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C:\Users\E37660\Downloads\"/>
    </mc:Choice>
  </mc:AlternateContent>
  <xr:revisionPtr revIDLastSave="0" documentId="8_{787F0069-353A-4B93-B323-6CC99E2C2F75}" xr6:coauthVersionLast="47" xr6:coauthVersionMax="47" xr10:uidLastSave="{00000000-0000-0000-0000-000000000000}"/>
  <bookViews>
    <workbookView xWindow="-108" yWindow="-108" windowWidth="23256" windowHeight="12456" xr2:uid="{00000000-000D-0000-FFFF-FFFF00000000}"/>
  </bookViews>
  <sheets>
    <sheet name="1- Ex Ante Results" sheetId="1" r:id="rId1"/>
    <sheet name="2- Costs" sheetId="2" r:id="rId2"/>
    <sheet name="5- CPAS" sheetId="7" r:id="rId3"/>
    <sheet name="3- Energy" sheetId="3" r:id="rId4"/>
    <sheet name="4- Other" sheetId="4" r:id="rId5"/>
    <sheet name="6- Historical Costs" sheetId="8"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7" i="1" l="1"/>
  <c r="R24" i="1"/>
  <c r="R28" i="1"/>
  <c r="L33" i="1"/>
  <c r="G33" i="1"/>
  <c r="O60" i="1"/>
  <c r="N60" i="1"/>
  <c r="N24" i="1"/>
  <c r="T40" i="1"/>
  <c r="Q35" i="1" l="1"/>
  <c r="Q30" i="4"/>
  <c r="Q31" i="4"/>
  <c r="Q32" i="4"/>
  <c r="Q33" i="4"/>
  <c r="S29" i="8"/>
  <c r="S28" i="8"/>
  <c r="Q70" i="1"/>
  <c r="C69" i="1" l="1"/>
  <c r="D69" i="1"/>
  <c r="E69" i="1"/>
  <c r="F69" i="1"/>
  <c r="H69" i="1"/>
  <c r="I69" i="1"/>
  <c r="J69" i="1"/>
  <c r="K69" i="1"/>
  <c r="N69" i="1"/>
  <c r="O69" i="1"/>
  <c r="P69" i="1"/>
  <c r="T69" i="1"/>
  <c r="U69" i="1"/>
  <c r="V69" i="1"/>
  <c r="W69" i="1"/>
  <c r="C70" i="1"/>
  <c r="D70" i="1"/>
  <c r="E70" i="1"/>
  <c r="F70" i="1"/>
  <c r="H70" i="1"/>
  <c r="I70" i="1"/>
  <c r="J70" i="1"/>
  <c r="K70" i="1"/>
  <c r="N70" i="1"/>
  <c r="O70" i="1"/>
  <c r="P70" i="1"/>
  <c r="T70" i="1"/>
  <c r="U70" i="1"/>
  <c r="V70" i="1"/>
  <c r="W70" i="1"/>
  <c r="C71" i="1"/>
  <c r="D71" i="1"/>
  <c r="E71" i="1"/>
  <c r="F71" i="1"/>
  <c r="H71" i="1"/>
  <c r="I71" i="1"/>
  <c r="J71" i="1"/>
  <c r="K71" i="1"/>
  <c r="N71" i="1"/>
  <c r="O71" i="1"/>
  <c r="P71" i="1"/>
  <c r="Q71" i="1"/>
  <c r="T71" i="1"/>
  <c r="U71" i="1"/>
  <c r="V71" i="1"/>
  <c r="W71" i="1"/>
  <c r="R30" i="4"/>
  <c r="S37" i="1"/>
  <c r="E35" i="7" l="1"/>
  <c r="E34" i="7"/>
  <c r="E26" i="7"/>
  <c r="R78" i="1"/>
  <c r="R79" i="1"/>
  <c r="R80" i="1"/>
  <c r="X24" i="1"/>
  <c r="X26" i="1"/>
  <c r="X69" i="1" s="1"/>
  <c r="X31" i="1"/>
  <c r="X32" i="1"/>
  <c r="X42" i="1"/>
  <c r="G57" i="1"/>
  <c r="G58" i="1"/>
  <c r="G59" i="1"/>
  <c r="G60" i="1"/>
  <c r="G61" i="1"/>
  <c r="G63" i="1"/>
  <c r="G64" i="1"/>
  <c r="G40" i="1"/>
  <c r="G71" i="1" s="1"/>
  <c r="G41" i="1"/>
  <c r="G42" i="1"/>
  <c r="G43" i="1"/>
  <c r="G44" i="1"/>
  <c r="G45" i="1"/>
  <c r="G46" i="1"/>
  <c r="G47" i="1"/>
  <c r="G48" i="1"/>
  <c r="G49" i="1"/>
  <c r="G50" i="1"/>
  <c r="G51" i="1"/>
  <c r="L40" i="1"/>
  <c r="L71" i="1" s="1"/>
  <c r="L41" i="1"/>
  <c r="L42" i="1"/>
  <c r="L43" i="1"/>
  <c r="L44" i="1"/>
  <c r="L45" i="1"/>
  <c r="L46" i="1"/>
  <c r="L47" i="1"/>
  <c r="L48" i="1"/>
  <c r="L49" i="1"/>
  <c r="L50" i="1"/>
  <c r="L51" i="1"/>
  <c r="L39" i="1"/>
  <c r="D72" i="1"/>
  <c r="E72" i="1"/>
  <c r="F72" i="1"/>
  <c r="H72" i="1"/>
  <c r="I72" i="1"/>
  <c r="J72" i="1"/>
  <c r="K72" i="1"/>
  <c r="N72" i="1"/>
  <c r="O72" i="1"/>
  <c r="P72" i="1"/>
  <c r="Q72" i="1"/>
  <c r="T72" i="1"/>
  <c r="U72" i="1"/>
  <c r="V72" i="1"/>
  <c r="W72" i="1"/>
  <c r="D73" i="1"/>
  <c r="E73" i="1"/>
  <c r="F73" i="1"/>
  <c r="H73" i="1"/>
  <c r="I73" i="1"/>
  <c r="J73" i="1"/>
  <c r="K73" i="1"/>
  <c r="N73" i="1"/>
  <c r="O73" i="1"/>
  <c r="P73" i="1"/>
  <c r="Q73" i="1"/>
  <c r="T73" i="1"/>
  <c r="U73" i="1"/>
  <c r="V73" i="1"/>
  <c r="W73" i="1"/>
  <c r="D74" i="1"/>
  <c r="E74" i="1"/>
  <c r="H74" i="1"/>
  <c r="I74" i="1"/>
  <c r="J74" i="1"/>
  <c r="N74" i="1"/>
  <c r="O74" i="1"/>
  <c r="P74" i="1"/>
  <c r="Q74" i="1"/>
  <c r="T74" i="1"/>
  <c r="U74" i="1"/>
  <c r="V74" i="1"/>
  <c r="W74" i="1"/>
  <c r="D75" i="1"/>
  <c r="E75" i="1"/>
  <c r="F75" i="1"/>
  <c r="H75" i="1"/>
  <c r="I75" i="1"/>
  <c r="J75" i="1"/>
  <c r="K75" i="1"/>
  <c r="N75" i="1"/>
  <c r="O75" i="1"/>
  <c r="P75" i="1"/>
  <c r="Q75" i="1"/>
  <c r="T75" i="1"/>
  <c r="U75" i="1"/>
  <c r="V75" i="1"/>
  <c r="W75" i="1"/>
  <c r="D76" i="1"/>
  <c r="E76" i="1"/>
  <c r="H76" i="1"/>
  <c r="I76" i="1"/>
  <c r="J76" i="1"/>
  <c r="N76" i="1"/>
  <c r="O76" i="1"/>
  <c r="P76" i="1"/>
  <c r="Q76" i="1"/>
  <c r="T76" i="1"/>
  <c r="U76" i="1"/>
  <c r="V76" i="1"/>
  <c r="W76" i="1"/>
  <c r="D77" i="1"/>
  <c r="E77" i="1"/>
  <c r="F77" i="1"/>
  <c r="H77" i="1"/>
  <c r="I77" i="1"/>
  <c r="J77" i="1"/>
  <c r="K77" i="1"/>
  <c r="N77" i="1"/>
  <c r="O77" i="1"/>
  <c r="P77" i="1"/>
  <c r="Q77" i="1"/>
  <c r="T77" i="1"/>
  <c r="U77" i="1"/>
  <c r="V77" i="1"/>
  <c r="W77" i="1"/>
  <c r="C77" i="1"/>
  <c r="G77" i="1" s="1"/>
  <c r="C76" i="1"/>
  <c r="C75" i="1"/>
  <c r="C74" i="1"/>
  <c r="C73" i="1"/>
  <c r="G73" i="1" s="1"/>
  <c r="C72" i="1"/>
  <c r="E18" i="7"/>
  <c r="X59" i="1"/>
  <c r="R59" i="1"/>
  <c r="L60" i="1"/>
  <c r="L58" i="1"/>
  <c r="L59" i="1"/>
  <c r="E24" i="7"/>
  <c r="B73" i="1"/>
  <c r="B72" i="1"/>
  <c r="I25" i="1"/>
  <c r="I83" i="1"/>
  <c r="K83" i="1"/>
  <c r="K29" i="1"/>
  <c r="K65" i="1"/>
  <c r="K76" i="1" s="1"/>
  <c r="K62" i="1"/>
  <c r="K56" i="1"/>
  <c r="F29" i="1"/>
  <c r="F62" i="1"/>
  <c r="F56" i="1"/>
  <c r="F65" i="1"/>
  <c r="S58" i="1"/>
  <c r="X58" i="1" s="1"/>
  <c r="S59" i="1"/>
  <c r="S61" i="1"/>
  <c r="S73" i="1" s="1"/>
  <c r="X73" i="1" s="1"/>
  <c r="S62" i="1"/>
  <c r="S74" i="1" s="1"/>
  <c r="X74" i="1" s="1"/>
  <c r="S63" i="1"/>
  <c r="S64" i="1"/>
  <c r="S75" i="1" s="1"/>
  <c r="S65" i="1"/>
  <c r="S76" i="1" s="1"/>
  <c r="S42" i="1"/>
  <c r="S43" i="1"/>
  <c r="X43" i="1" s="1"/>
  <c r="S44" i="1"/>
  <c r="S72" i="1" s="1"/>
  <c r="S45" i="1"/>
  <c r="X45" i="1" s="1"/>
  <c r="S46" i="1"/>
  <c r="X46" i="1" s="1"/>
  <c r="S47" i="1"/>
  <c r="X47" i="1" s="1"/>
  <c r="S48" i="1"/>
  <c r="X48" i="1" s="1"/>
  <c r="S49" i="1"/>
  <c r="X49" i="1" s="1"/>
  <c r="S50" i="1"/>
  <c r="X50" i="1" s="1"/>
  <c r="S51" i="1"/>
  <c r="M61" i="1"/>
  <c r="M73" i="1" s="1"/>
  <c r="R73" i="1" s="1"/>
  <c r="M62" i="1"/>
  <c r="M74" i="1" s="1"/>
  <c r="R74" i="1" s="1"/>
  <c r="M63" i="1"/>
  <c r="M64" i="1"/>
  <c r="M75" i="1" s="1"/>
  <c r="M65" i="1"/>
  <c r="M76" i="1" s="1"/>
  <c r="M58" i="1"/>
  <c r="R58" i="1" s="1"/>
  <c r="M59" i="1"/>
  <c r="M42" i="1"/>
  <c r="R42" i="1" s="1"/>
  <c r="M43" i="1"/>
  <c r="R43" i="1" s="1"/>
  <c r="M44" i="1"/>
  <c r="R44" i="1" s="1"/>
  <c r="M45" i="1"/>
  <c r="M77" i="1" s="1"/>
  <c r="R77" i="1" s="1"/>
  <c r="M50" i="1"/>
  <c r="R50" i="1" s="1"/>
  <c r="S33" i="1"/>
  <c r="X33" i="1" s="1"/>
  <c r="M33" i="1"/>
  <c r="R33" i="1" s="1"/>
  <c r="Q53" i="1"/>
  <c r="K74" i="1" l="1"/>
  <c r="F76" i="1"/>
  <c r="G65" i="1"/>
  <c r="L77" i="1"/>
  <c r="L73" i="1"/>
  <c r="L72" i="1"/>
  <c r="G76" i="1"/>
  <c r="G75" i="1"/>
  <c r="R76" i="1"/>
  <c r="X75" i="1"/>
  <c r="X76" i="1"/>
  <c r="R75" i="1"/>
  <c r="G56" i="1"/>
  <c r="L74" i="1"/>
  <c r="X72" i="1"/>
  <c r="L75" i="1"/>
  <c r="F74" i="1"/>
  <c r="G62" i="1"/>
  <c r="G72" i="1"/>
  <c r="L76" i="1"/>
  <c r="S77" i="1"/>
  <c r="X77" i="1" s="1"/>
  <c r="X44" i="1"/>
  <c r="M72" i="1"/>
  <c r="R72" i="1" s="1"/>
  <c r="R45" i="1"/>
  <c r="S60" i="1"/>
  <c r="X60" i="1" s="1"/>
  <c r="M60" i="1"/>
  <c r="R60" i="1" s="1"/>
  <c r="F30" i="2"/>
  <c r="R33" i="4"/>
  <c r="R32" i="4"/>
  <c r="R31" i="4"/>
  <c r="R53" i="1"/>
  <c r="G74" i="1" l="1"/>
  <c r="I33" i="3"/>
  <c r="D33" i="3"/>
  <c r="M25" i="1" l="1"/>
  <c r="R25" i="1" s="1"/>
  <c r="M26" i="1"/>
  <c r="M69" i="1" s="1"/>
  <c r="M27" i="1"/>
  <c r="R27" i="1" s="1"/>
  <c r="M28" i="1"/>
  <c r="M29" i="1"/>
  <c r="R29" i="1" s="1"/>
  <c r="M30" i="1"/>
  <c r="R30" i="1" s="1"/>
  <c r="M31" i="1"/>
  <c r="R31" i="1" s="1"/>
  <c r="M32" i="1"/>
  <c r="R32" i="1" s="1"/>
  <c r="M24" i="1"/>
  <c r="M23" i="1"/>
  <c r="R23" i="1" s="1"/>
  <c r="R70" i="1" l="1"/>
  <c r="M70" i="1"/>
  <c r="L63" i="1"/>
  <c r="L64" i="1"/>
  <c r="L65" i="1"/>
  <c r="L30" i="1"/>
  <c r="L31" i="1"/>
  <c r="L32" i="1"/>
  <c r="X63" i="1" l="1"/>
  <c r="X64" i="1"/>
  <c r="S30" i="1"/>
  <c r="X30" i="1" s="1"/>
  <c r="S31" i="1"/>
  <c r="S32" i="1"/>
  <c r="X79" i="1"/>
  <c r="X80" i="1"/>
  <c r="S80" i="1"/>
  <c r="S79" i="1"/>
  <c r="B76" i="1"/>
  <c r="M79" i="1"/>
  <c r="M80" i="1"/>
  <c r="L79" i="1"/>
  <c r="L80" i="1"/>
  <c r="R63" i="1"/>
  <c r="R64" i="1"/>
  <c r="R65" i="1"/>
  <c r="G79" i="1"/>
  <c r="G80" i="1"/>
  <c r="B75" i="1"/>
  <c r="B74" i="1"/>
  <c r="G30" i="1"/>
  <c r="G31" i="1"/>
  <c r="G32" i="1"/>
  <c r="X65" i="1" l="1"/>
  <c r="J67" i="1" l="1"/>
  <c r="J53" i="1"/>
  <c r="J35" i="1"/>
  <c r="J85" i="1" l="1"/>
  <c r="J36" i="1"/>
  <c r="J82" i="1" l="1"/>
  <c r="R33" i="8"/>
  <c r="R34" i="8"/>
  <c r="R35" i="8"/>
  <c r="R36" i="8"/>
  <c r="R28" i="8"/>
  <c r="R29" i="8"/>
  <c r="R32" i="8" s="1"/>
  <c r="R30" i="8"/>
  <c r="R31" i="8"/>
  <c r="Q36" i="8"/>
  <c r="Q35" i="8"/>
  <c r="Q29" i="8"/>
  <c r="Q30" i="8"/>
  <c r="S30" i="8" s="1"/>
  <c r="Q31" i="8"/>
  <c r="Q28" i="8"/>
  <c r="T25" i="8"/>
  <c r="T24" i="8"/>
  <c r="T23" i="8"/>
  <c r="T21" i="8"/>
  <c r="T20" i="8"/>
  <c r="T19" i="8"/>
  <c r="T16" i="8"/>
  <c r="T17" i="8"/>
  <c r="T15" i="8"/>
  <c r="R25" i="8"/>
  <c r="Q25" i="8"/>
  <c r="R24" i="8"/>
  <c r="Q24" i="8"/>
  <c r="R23" i="8"/>
  <c r="R26" i="8" s="1"/>
  <c r="Q23" i="8"/>
  <c r="R21" i="8"/>
  <c r="Q21" i="8"/>
  <c r="R20" i="8"/>
  <c r="Q20" i="8"/>
  <c r="R19" i="8"/>
  <c r="R22" i="8" s="1"/>
  <c r="Q19" i="8"/>
  <c r="Q16" i="8"/>
  <c r="R16" i="8"/>
  <c r="S16" i="8" s="1"/>
  <c r="Q17" i="8"/>
  <c r="R17" i="8"/>
  <c r="S17" i="8" s="1"/>
  <c r="R15" i="8"/>
  <c r="Q15" i="8"/>
  <c r="S35" i="8" l="1"/>
  <c r="R37" i="8"/>
  <c r="S36" i="8"/>
  <c r="S31" i="8"/>
  <c r="T26" i="8"/>
  <c r="T22" i="8"/>
  <c r="U17" i="8"/>
  <c r="U16" i="8"/>
  <c r="T18" i="8"/>
  <c r="S19" i="8"/>
  <c r="U19" i="8" s="1"/>
  <c r="R18" i="8"/>
  <c r="S15" i="8"/>
  <c r="S18" i="8" s="1"/>
  <c r="Q18" i="8"/>
  <c r="K37" i="8"/>
  <c r="L36" i="8"/>
  <c r="L35" i="8"/>
  <c r="K32" i="8"/>
  <c r="L32" i="8" s="1"/>
  <c r="J32" i="8"/>
  <c r="L31" i="8"/>
  <c r="L30" i="8"/>
  <c r="L29" i="8"/>
  <c r="L28" i="8"/>
  <c r="M26" i="8"/>
  <c r="K26" i="8"/>
  <c r="J26" i="8"/>
  <c r="L25" i="8"/>
  <c r="N25" i="8" s="1"/>
  <c r="L24" i="8"/>
  <c r="N24" i="8" s="1"/>
  <c r="L23" i="8"/>
  <c r="N23" i="8" s="1"/>
  <c r="M22" i="8"/>
  <c r="K22" i="8"/>
  <c r="J22" i="8"/>
  <c r="L21" i="8"/>
  <c r="N21" i="8" s="1"/>
  <c r="L20" i="8"/>
  <c r="N20" i="8" s="1"/>
  <c r="L19" i="8"/>
  <c r="N19" i="8" s="1"/>
  <c r="M18" i="8"/>
  <c r="K18" i="8"/>
  <c r="J18" i="8"/>
  <c r="L17" i="8"/>
  <c r="N17" i="8" s="1"/>
  <c r="L16" i="8"/>
  <c r="N16" i="8" s="1"/>
  <c r="L15" i="8"/>
  <c r="N15" i="8" s="1"/>
  <c r="G21" i="8"/>
  <c r="G19" i="8"/>
  <c r="E24" i="8"/>
  <c r="G24" i="8" s="1"/>
  <c r="E25" i="8"/>
  <c r="G25" i="8" s="1"/>
  <c r="E23" i="8"/>
  <c r="G23" i="8" s="1"/>
  <c r="E20" i="8"/>
  <c r="G20" i="8" s="1"/>
  <c r="E21" i="8"/>
  <c r="E19" i="8"/>
  <c r="E16" i="8"/>
  <c r="G16" i="8" s="1"/>
  <c r="E17" i="8"/>
  <c r="G17" i="8" s="1"/>
  <c r="E35" i="8"/>
  <c r="E36" i="8"/>
  <c r="E29" i="8"/>
  <c r="E30" i="8"/>
  <c r="E31" i="8"/>
  <c r="E28" i="8"/>
  <c r="D37" i="8"/>
  <c r="D32" i="8"/>
  <c r="C32" i="8"/>
  <c r="E32" i="8" s="1"/>
  <c r="D26" i="8"/>
  <c r="F26" i="8"/>
  <c r="C26" i="8"/>
  <c r="D22" i="8"/>
  <c r="E22" i="8"/>
  <c r="F22" i="8"/>
  <c r="C22" i="8"/>
  <c r="D18" i="8"/>
  <c r="F18" i="8"/>
  <c r="C18" i="8"/>
  <c r="E15" i="8"/>
  <c r="G15" i="8" s="1"/>
  <c r="E23" i="7"/>
  <c r="D30" i="4"/>
  <c r="E30" i="4"/>
  <c r="F30" i="4"/>
  <c r="G30" i="4"/>
  <c r="H30" i="4"/>
  <c r="I30" i="4"/>
  <c r="J30" i="4"/>
  <c r="K30" i="4"/>
  <c r="L30" i="4"/>
  <c r="M30" i="4"/>
  <c r="N30" i="4"/>
  <c r="O30" i="4"/>
  <c r="P30" i="4"/>
  <c r="D31" i="4"/>
  <c r="E31" i="4"/>
  <c r="F31" i="4"/>
  <c r="G31" i="4"/>
  <c r="H31" i="4"/>
  <c r="I31" i="4"/>
  <c r="J31" i="4"/>
  <c r="K31" i="4"/>
  <c r="L31" i="4"/>
  <c r="M31" i="4"/>
  <c r="N31" i="4"/>
  <c r="O31" i="4"/>
  <c r="P31" i="4"/>
  <c r="D32" i="4"/>
  <c r="E32" i="4"/>
  <c r="F32" i="4"/>
  <c r="G32" i="4"/>
  <c r="H32" i="4"/>
  <c r="I32" i="4"/>
  <c r="J32" i="4"/>
  <c r="K32" i="4"/>
  <c r="L32" i="4"/>
  <c r="M32" i="4"/>
  <c r="N32" i="4"/>
  <c r="O32" i="4"/>
  <c r="P32" i="4"/>
  <c r="D33" i="4"/>
  <c r="E33" i="4"/>
  <c r="F33" i="4"/>
  <c r="G33" i="4"/>
  <c r="H33" i="4"/>
  <c r="I33" i="4"/>
  <c r="J33" i="4"/>
  <c r="K33" i="4"/>
  <c r="L33" i="4"/>
  <c r="M33" i="4"/>
  <c r="N33" i="4"/>
  <c r="O33" i="4"/>
  <c r="P33" i="4"/>
  <c r="C31" i="4"/>
  <c r="C32" i="4"/>
  <c r="C33" i="4"/>
  <c r="C30" i="4"/>
  <c r="P12" i="4"/>
  <c r="J37" i="3"/>
  <c r="K37" i="3"/>
  <c r="J32" i="3"/>
  <c r="K32" i="3"/>
  <c r="I32" i="3"/>
  <c r="J27" i="3"/>
  <c r="K27" i="3"/>
  <c r="I27" i="3"/>
  <c r="J22" i="3"/>
  <c r="K22" i="3"/>
  <c r="I22" i="3"/>
  <c r="J18" i="3"/>
  <c r="K18" i="3"/>
  <c r="I18" i="3"/>
  <c r="F37" i="3"/>
  <c r="F32" i="3"/>
  <c r="E32" i="3"/>
  <c r="D32" i="3"/>
  <c r="E27" i="3"/>
  <c r="F27" i="3"/>
  <c r="D27" i="3"/>
  <c r="F22" i="3"/>
  <c r="G22" i="3" s="1"/>
  <c r="E22" i="3"/>
  <c r="D22" i="3"/>
  <c r="E18" i="3"/>
  <c r="F18" i="3"/>
  <c r="D18" i="3"/>
  <c r="L36" i="3"/>
  <c r="L35" i="3"/>
  <c r="L32" i="3"/>
  <c r="L31" i="3"/>
  <c r="L30" i="3"/>
  <c r="L29" i="3"/>
  <c r="L28" i="3"/>
  <c r="L27" i="3"/>
  <c r="L26" i="3"/>
  <c r="L25" i="3"/>
  <c r="L24" i="3"/>
  <c r="L23" i="3"/>
  <c r="L21" i="3"/>
  <c r="L20" i="3"/>
  <c r="L19" i="3"/>
  <c r="G35" i="3"/>
  <c r="G36" i="3"/>
  <c r="G16" i="3"/>
  <c r="G17" i="3"/>
  <c r="G18" i="3"/>
  <c r="G19" i="3"/>
  <c r="G20" i="3"/>
  <c r="G21" i="3"/>
  <c r="G23" i="3"/>
  <c r="G24" i="3"/>
  <c r="G25" i="3"/>
  <c r="G26" i="3"/>
  <c r="G28" i="3"/>
  <c r="G29" i="3"/>
  <c r="G30" i="3"/>
  <c r="G31" i="3"/>
  <c r="G15" i="3"/>
  <c r="E21" i="2"/>
  <c r="E22" i="2"/>
  <c r="E23" i="2"/>
  <c r="D24" i="2"/>
  <c r="W67" i="1"/>
  <c r="V67" i="1"/>
  <c r="U67" i="1"/>
  <c r="T67" i="1"/>
  <c r="W53" i="1"/>
  <c r="V53" i="1"/>
  <c r="U53" i="1"/>
  <c r="T53" i="1"/>
  <c r="W35" i="1"/>
  <c r="V35" i="1"/>
  <c r="U35" i="1"/>
  <c r="U36" i="1" s="1"/>
  <c r="T35" i="1"/>
  <c r="T36" i="1" s="1"/>
  <c r="O67" i="1"/>
  <c r="P67" i="1"/>
  <c r="Q67" i="1"/>
  <c r="N67" i="1"/>
  <c r="M67" i="1" s="1"/>
  <c r="P53" i="1"/>
  <c r="O53" i="1"/>
  <c r="N53" i="1"/>
  <c r="P35" i="1"/>
  <c r="P36" i="1" s="1"/>
  <c r="O35" i="1"/>
  <c r="O36" i="1" s="1"/>
  <c r="N35" i="1"/>
  <c r="N36" i="1" s="1"/>
  <c r="S84" i="1"/>
  <c r="S83" i="1"/>
  <c r="S57" i="1"/>
  <c r="X57" i="1" s="1"/>
  <c r="S56" i="1"/>
  <c r="X56" i="1" s="1"/>
  <c r="S55" i="1"/>
  <c r="X55" i="1" s="1"/>
  <c r="S54" i="1"/>
  <c r="S41" i="1"/>
  <c r="X41" i="1" s="1"/>
  <c r="S40" i="1"/>
  <c r="S71" i="1" s="1"/>
  <c r="S39" i="1"/>
  <c r="X39" i="1" s="1"/>
  <c r="X37" i="1"/>
  <c r="S29" i="1"/>
  <c r="X29" i="1" s="1"/>
  <c r="S28" i="1"/>
  <c r="X28" i="1" s="1"/>
  <c r="S27" i="1"/>
  <c r="S70" i="1" s="1"/>
  <c r="S26" i="1"/>
  <c r="S69" i="1" s="1"/>
  <c r="S25" i="1"/>
  <c r="X25" i="1" s="1"/>
  <c r="S24" i="1"/>
  <c r="S23" i="1"/>
  <c r="X23" i="1" s="1"/>
  <c r="R37" i="1"/>
  <c r="M39" i="1"/>
  <c r="R39" i="1" s="1"/>
  <c r="M40" i="1"/>
  <c r="M71" i="1" s="1"/>
  <c r="M41" i="1"/>
  <c r="R41" i="1" s="1"/>
  <c r="M46" i="1"/>
  <c r="R46" i="1" s="1"/>
  <c r="M47" i="1"/>
  <c r="R47" i="1" s="1"/>
  <c r="M48" i="1"/>
  <c r="R48" i="1" s="1"/>
  <c r="M49" i="1"/>
  <c r="R49" i="1" s="1"/>
  <c r="M54" i="1"/>
  <c r="M55" i="1"/>
  <c r="R55" i="1" s="1"/>
  <c r="M56" i="1"/>
  <c r="R56" i="1" s="1"/>
  <c r="M57" i="1"/>
  <c r="R57" i="1" s="1"/>
  <c r="M83" i="1"/>
  <c r="M84" i="1"/>
  <c r="X84" i="1"/>
  <c r="X83" i="1"/>
  <c r="R83" i="1"/>
  <c r="R84" i="1"/>
  <c r="K67" i="1"/>
  <c r="I67" i="1"/>
  <c r="H67" i="1"/>
  <c r="K53" i="1"/>
  <c r="I53" i="1"/>
  <c r="H53" i="1"/>
  <c r="K35" i="1"/>
  <c r="I35" i="1"/>
  <c r="L84" i="1"/>
  <c r="L62" i="1"/>
  <c r="L61" i="1"/>
  <c r="L57" i="1"/>
  <c r="L56" i="1"/>
  <c r="L55" i="1"/>
  <c r="L37" i="1"/>
  <c r="L28" i="1"/>
  <c r="L27" i="1"/>
  <c r="L70" i="1" s="1"/>
  <c r="L26" i="1"/>
  <c r="L69" i="1" s="1"/>
  <c r="L25" i="1"/>
  <c r="L24" i="1"/>
  <c r="L23" i="1"/>
  <c r="G37" i="1"/>
  <c r="G39" i="1"/>
  <c r="G55" i="1"/>
  <c r="G84" i="1"/>
  <c r="G24" i="1"/>
  <c r="G25" i="1"/>
  <c r="G26" i="1"/>
  <c r="G69" i="1" s="1"/>
  <c r="G27" i="1"/>
  <c r="G70" i="1" s="1"/>
  <c r="G28" i="1"/>
  <c r="F67" i="1"/>
  <c r="E67" i="1"/>
  <c r="D67" i="1"/>
  <c r="C67" i="1"/>
  <c r="F53" i="1"/>
  <c r="E53" i="1"/>
  <c r="D53" i="1"/>
  <c r="C53" i="1"/>
  <c r="M36" i="1" l="1"/>
  <c r="S36" i="1"/>
  <c r="D13" i="2" s="1"/>
  <c r="U85" i="1"/>
  <c r="T85" i="1"/>
  <c r="X40" i="1"/>
  <c r="X71" i="1" s="1"/>
  <c r="X27" i="1"/>
  <c r="X70" i="1" s="1"/>
  <c r="R40" i="1"/>
  <c r="R71" i="1" s="1"/>
  <c r="N85" i="1"/>
  <c r="O85" i="1"/>
  <c r="Q36" i="1"/>
  <c r="R26" i="1" s="1"/>
  <c r="Q85" i="1"/>
  <c r="P85" i="1"/>
  <c r="V85" i="1"/>
  <c r="V36" i="1"/>
  <c r="W36" i="1"/>
  <c r="W85" i="1"/>
  <c r="I85" i="1"/>
  <c r="I36" i="1"/>
  <c r="K36" i="1"/>
  <c r="K85" i="1"/>
  <c r="R67" i="1"/>
  <c r="G32" i="3"/>
  <c r="R62" i="1"/>
  <c r="X61" i="1"/>
  <c r="X62" i="1"/>
  <c r="R61" i="1"/>
  <c r="G53" i="1"/>
  <c r="G67" i="1"/>
  <c r="M53" i="1"/>
  <c r="C15" i="2" s="1"/>
  <c r="N22" i="8"/>
  <c r="U15" i="8"/>
  <c r="U18" i="8" s="1"/>
  <c r="N26" i="8"/>
  <c r="N18" i="8"/>
  <c r="L18" i="8"/>
  <c r="L22" i="8"/>
  <c r="L26" i="8"/>
  <c r="E26" i="8"/>
  <c r="G22" i="8"/>
  <c r="G18" i="8"/>
  <c r="G26" i="8"/>
  <c r="E18" i="8"/>
  <c r="D82" i="1"/>
  <c r="S67" i="1"/>
  <c r="D16" i="2" s="1"/>
  <c r="C14" i="2"/>
  <c r="H82" i="1"/>
  <c r="M35" i="1"/>
  <c r="D14" i="2"/>
  <c r="C82" i="1"/>
  <c r="S53" i="1"/>
  <c r="C13" i="2"/>
  <c r="L22" i="3"/>
  <c r="G27" i="3"/>
  <c r="V82" i="1"/>
  <c r="W82" i="1"/>
  <c r="T82" i="1"/>
  <c r="U82" i="1"/>
  <c r="O82" i="1"/>
  <c r="P82" i="1"/>
  <c r="N82" i="1"/>
  <c r="S35" i="1"/>
  <c r="I82" i="1"/>
  <c r="F82" i="1"/>
  <c r="L67" i="1"/>
  <c r="E82" i="1"/>
  <c r="K82" i="1"/>
  <c r="L53" i="1"/>
  <c r="X36" i="1" l="1"/>
  <c r="E13" i="2"/>
  <c r="R36" i="1"/>
  <c r="Q69" i="1"/>
  <c r="Q82" i="1" s="1"/>
  <c r="R69" i="1"/>
  <c r="X35" i="1"/>
  <c r="S85" i="1"/>
  <c r="X85" i="1" s="1"/>
  <c r="R35" i="1"/>
  <c r="M85" i="1"/>
  <c r="R85" i="1" s="1"/>
  <c r="D15" i="2"/>
  <c r="D18" i="2" s="1"/>
  <c r="C16" i="2"/>
  <c r="E16" i="2" s="1"/>
  <c r="E14" i="2"/>
  <c r="M82" i="1"/>
  <c r="C17" i="2" s="1"/>
  <c r="L82" i="1"/>
  <c r="X67" i="1"/>
  <c r="G82" i="1"/>
  <c r="X53" i="1"/>
  <c r="S82" i="1"/>
  <c r="E15" i="2" l="1"/>
  <c r="E18" i="2" s="1"/>
  <c r="C18" i="2"/>
  <c r="R82" i="1"/>
  <c r="L33" i="3"/>
  <c r="C24" i="2"/>
  <c r="E20" i="2"/>
  <c r="E24" i="2" s="1"/>
  <c r="X82" i="1"/>
  <c r="D17" i="2"/>
  <c r="C25" i="2" l="1"/>
  <c r="C30" i="2" s="1"/>
  <c r="E17" i="2"/>
  <c r="E25" i="2" s="1"/>
  <c r="E30" i="2" s="1"/>
  <c r="G30" i="2" s="1"/>
  <c r="D25" i="2"/>
  <c r="D30" i="2" s="1"/>
  <c r="J34" i="8" s="1"/>
  <c r="L34" i="8" s="1"/>
  <c r="E33" i="8" l="1"/>
  <c r="C34" i="8"/>
  <c r="C37" i="8" s="1"/>
  <c r="E37" i="8" s="1"/>
  <c r="Q33" i="8"/>
  <c r="J37" i="8"/>
  <c r="L37" i="8" s="1"/>
  <c r="L33" i="8"/>
  <c r="Q34" i="8" l="1"/>
  <c r="E34" i="8"/>
  <c r="S33" i="8"/>
  <c r="E37" i="7"/>
  <c r="S34" i="8" l="1"/>
  <c r="Q26" i="8"/>
  <c r="Q37" i="8"/>
  <c r="S37" i="8" s="1"/>
  <c r="E27" i="7"/>
  <c r="E35" i="1"/>
  <c r="E85" i="1" s="1"/>
  <c r="G23" i="1"/>
  <c r="D35" i="1"/>
  <c r="D85" i="1" s="1"/>
  <c r="F35" i="1"/>
  <c r="D36" i="1" l="1"/>
  <c r="E36" i="1"/>
  <c r="E33" i="3"/>
  <c r="F36" i="1"/>
  <c r="F85" i="1"/>
  <c r="E37" i="3" l="1"/>
  <c r="Q12" i="4"/>
  <c r="G33" i="3" l="1"/>
  <c r="H83" i="1"/>
  <c r="L83" i="1" s="1"/>
  <c r="G83" i="1"/>
  <c r="G29" i="1"/>
  <c r="C35" i="1" l="1"/>
  <c r="H35" i="1"/>
  <c r="L29" i="1"/>
  <c r="H85" i="1" l="1"/>
  <c r="H36" i="1"/>
  <c r="L36" i="1" s="1"/>
  <c r="L35" i="1"/>
  <c r="C85" i="1"/>
  <c r="C36" i="1"/>
  <c r="G36" i="1" s="1"/>
  <c r="G35" i="1"/>
  <c r="J87" i="1" l="1"/>
  <c r="E29" i="7"/>
  <c r="D34" i="3"/>
  <c r="G34" i="3" s="1"/>
  <c r="G85" i="1"/>
  <c r="I34" i="3"/>
  <c r="L85" i="1"/>
  <c r="I37" i="3" l="1"/>
  <c r="L37" i="3" s="1"/>
  <c r="L34" i="3"/>
  <c r="D37" i="3"/>
  <c r="G37" i="3" s="1"/>
  <c r="E36" i="7"/>
  <c r="E38" i="7" s="1"/>
  <c r="E39" i="7" s="1"/>
  <c r="E30" i="7"/>
  <c r="E28" i="7"/>
  <c r="U24" i="8"/>
  <c r="S24" i="8"/>
  <c r="U21" i="8"/>
  <c r="S21" i="8"/>
  <c r="U25" i="8"/>
  <c r="S25" i="8"/>
  <c r="S22" i="8"/>
  <c r="Q22" i="8"/>
  <c r="S20" i="8"/>
  <c r="U20" i="8"/>
  <c r="U22" i="8"/>
  <c r="U26" i="8"/>
  <c r="U23" i="8"/>
  <c r="S23" i="8"/>
  <c r="S26" i="8"/>
  <c r="Q32" i="8"/>
  <c r="S32" i="8"/>
</calcChain>
</file>

<file path=xl/sharedStrings.xml><?xml version="1.0" encoding="utf-8"?>
<sst xmlns="http://schemas.openxmlformats.org/spreadsheetml/2006/main" count="587" uniqueCount="281">
  <si>
    <t>Statewide Quarterly Report Template</t>
  </si>
  <si>
    <t>Tab 1: Ex Ante Results</t>
  </si>
  <si>
    <t>Final (updated 2-7-2020)</t>
  </si>
  <si>
    <r>
      <rPr>
        <b/>
        <sz val="11"/>
        <rFont val="Century Gothic"/>
        <family val="2"/>
      </rPr>
      <t>Background:
*</t>
    </r>
    <r>
      <rPr>
        <sz val="11"/>
        <rFont val="Century Gothic"/>
        <family val="2"/>
      </rPr>
      <t>Definitions used within this template correspond to IL Energy Efficiency Policy Manual Version 2.0.
*Footnotes have been added where clarifying information may be helpful.
*See Section 6.6 of IL Energy Efficiency Policy Manual Version 2.0 for a full list of requirements for Program Administrator Quarterly Reports.</t>
    </r>
  </si>
  <si>
    <r>
      <rPr>
        <b/>
        <sz val="11"/>
        <color theme="1"/>
        <rFont val="Century Gothic"/>
        <family val="2"/>
      </rPr>
      <t>Instructions:</t>
    </r>
    <r>
      <rPr>
        <sz val="11"/>
        <color theme="1"/>
        <rFont val="Century Gothic"/>
        <family val="2"/>
      </rPr>
      <t xml:space="preserve">
*"Sector-level" refers to residential and commercial and industrial Programs pursuant to Section 8-103B and 8-104; and Third-Party Energy Efficiency Implementation Program pursuant to Section 8-103B(g)(4). 
*If a utility offers Demand Response, information should be listed separately in this table as a separate program.
*If Program Administrators want to include historical spend information, they can do so. ICC Staff appreciates this information. However, providing historical spend data is not a requirement for Quarterly Reports; it is a requirement for Annual Reports.
*For Program Costs Year to Date (YTD), each Program Administrator should include actual costs incurred from the beginning of the Program Year through the end of the applicable quarter, regardless of what Program Year the costs are associated with.
*Program Administrators will also report information on low income, public sector, public housing, and market transformation consistent with Program delivery requirements of Sections 8-103B and 8-104 of the Act.  
*Program Administrators are encouraged to report public sector savings at the program-level, where available. 
*Program Administrators should add a footnote specifying if there are non-rider energy efficiency costs that are not reported in the Quarterly Reports.</t>
    </r>
  </si>
  <si>
    <t>[Ameren Illinois] Ex Ante Results - Section 8-103B/8-104 (EEPS) Programs [PY2023 Q4]</t>
  </si>
  <si>
    <r>
      <rPr>
        <b/>
        <sz val="10"/>
        <color rgb="FF00B050"/>
        <rFont val="Century Gothic"/>
        <family val="2"/>
      </rPr>
      <t>Electric</t>
    </r>
    <r>
      <rPr>
        <sz val="10"/>
        <color theme="1"/>
        <rFont val="Century Gothic"/>
        <family val="2"/>
      </rPr>
      <t xml:space="preserve"> Savings</t>
    </r>
  </si>
  <si>
    <r>
      <rPr>
        <b/>
        <sz val="10"/>
        <color rgb="FF00B0F0"/>
        <rFont val="Century Gothic"/>
        <family val="2"/>
      </rPr>
      <t>Gas</t>
    </r>
    <r>
      <rPr>
        <sz val="10"/>
        <color theme="1"/>
        <rFont val="Century Gothic"/>
        <family val="2"/>
      </rPr>
      <t xml:space="preserve"> Savings</t>
    </r>
  </si>
  <si>
    <r>
      <rPr>
        <b/>
        <sz val="10"/>
        <color rgb="FF00B050"/>
        <rFont val="Century Gothic"/>
        <family val="2"/>
      </rPr>
      <t>Electric</t>
    </r>
    <r>
      <rPr>
        <sz val="10"/>
        <color theme="1"/>
        <rFont val="Century Gothic"/>
        <family val="2"/>
      </rPr>
      <t xml:space="preserve"> Costs</t>
    </r>
  </si>
  <si>
    <r>
      <rPr>
        <b/>
        <sz val="10"/>
        <color rgb="FF00B0F0"/>
        <rFont val="Century Gothic"/>
        <family val="2"/>
      </rPr>
      <t>Gas</t>
    </r>
    <r>
      <rPr>
        <sz val="10"/>
        <color theme="1"/>
        <rFont val="Century Gothic"/>
        <family val="2"/>
      </rPr>
      <t xml:space="preserve"> Costs</t>
    </r>
  </si>
  <si>
    <t xml:space="preserve"> Section 8-103B/8-104
(EEPS) Program</t>
  </si>
  <si>
    <t>Net Energy Savings Achieved
(MWh or therms)</t>
  </si>
  <si>
    <t>2022 Original Plan 
Savings Goal
(MWh or therms)****</t>
  </si>
  <si>
    <t>Approved Net Energy Savings Goal (MWh or therms)***</t>
  </si>
  <si>
    <t>Implementation Plan Savings Goal
(MWh or therms)</t>
  </si>
  <si>
    <t>% Savings Achieved Compared to Implementation Plan Savings Goal</t>
  </si>
  <si>
    <t>Program Costs YTD</t>
  </si>
  <si>
    <t>Incentive Costs YTD</t>
  </si>
  <si>
    <t>Non-Incentive Costs YTD</t>
  </si>
  <si>
    <t>2022 Original Plan 
Budget*</t>
  </si>
  <si>
    <t>2022
Approved Budget**</t>
  </si>
  <si>
    <t>% of Costs YTD Compared to Approved Budget</t>
  </si>
  <si>
    <t>Commercial &amp; Industrial Programs</t>
  </si>
  <si>
    <t>Standard - Prescriptive</t>
  </si>
  <si>
    <t>Standard - SBDI</t>
  </si>
  <si>
    <t>Standard - Small Business Energy Performance</t>
  </si>
  <si>
    <t>Midstream - Lighting</t>
  </si>
  <si>
    <t>Midstream - HVAC</t>
  </si>
  <si>
    <t>Midstream - Food Service</t>
  </si>
  <si>
    <t>Custom</t>
  </si>
  <si>
    <t>Retro-Commissioning</t>
  </si>
  <si>
    <t>Streetlights - Municipality-Owned</t>
  </si>
  <si>
    <t>Streetlights - Utility-Owned</t>
  </si>
  <si>
    <t>Business Market Transformation</t>
  </si>
  <si>
    <t>C&amp;I Programs Subtotal</t>
  </si>
  <si>
    <t>C&amp;I Programs - Private Sector Total</t>
  </si>
  <si>
    <t>C&amp;I Programs - Public Sector Total</t>
  </si>
  <si>
    <t>Residential Programs</t>
  </si>
  <si>
    <t>Home Efficiency</t>
  </si>
  <si>
    <t>Midstream - Midstream HVAC</t>
  </si>
  <si>
    <t>Multifamily - Direct Install</t>
  </si>
  <si>
    <t>Multifamily - Heat Pumps</t>
  </si>
  <si>
    <t>Multifamily - Whole Building</t>
  </si>
  <si>
    <t>DDEP - School Kits</t>
  </si>
  <si>
    <t>DDEP - High School Innovation/Residential Targeted</t>
  </si>
  <si>
    <t>Retail Products - POP</t>
  </si>
  <si>
    <t>Retail Products - Online Marketplace</t>
  </si>
  <si>
    <t>Retail Products - ECT</t>
  </si>
  <si>
    <t>Resisdential Market Transformation</t>
  </si>
  <si>
    <t>Public Housing</t>
  </si>
  <si>
    <t>Residential Programs Subtotal</t>
  </si>
  <si>
    <t>Income Qualified Programs</t>
  </si>
  <si>
    <t>IQ - CAA</t>
  </si>
  <si>
    <t>IQ - Single Family</t>
  </si>
  <si>
    <t>IQ - Single Family JU</t>
  </si>
  <si>
    <t>IQ - Multifamily</t>
  </si>
  <si>
    <t>IQ - Multifamily JU</t>
  </si>
  <si>
    <t>IQ - Retail Products (POP, OM)</t>
  </si>
  <si>
    <t>IQ - Community Kits</t>
  </si>
  <si>
    <t>IQ - Smart Savers</t>
  </si>
  <si>
    <t>IQ - Electrification</t>
  </si>
  <si>
    <t>IQ - Manufactured Homes</t>
  </si>
  <si>
    <t>IQ - Healthier Homes</t>
  </si>
  <si>
    <t>Income Qualified Programs Subtotal</t>
  </si>
  <si>
    <t>Third Party Programs (Section 8-103B - Beginning in 2019)</t>
  </si>
  <si>
    <t>Midstream - Lighting (Business)</t>
  </si>
  <si>
    <t>Midstream - HVAC (Business)</t>
  </si>
  <si>
    <t>Midstream - Midstream HVAC (Residential)</t>
  </si>
  <si>
    <t>One Stop Shop for Homeless Facilities</t>
  </si>
  <si>
    <t>NA</t>
  </si>
  <si>
    <t>Smart Home Engagement</t>
  </si>
  <si>
    <t>Advanced Thermostats with TOU</t>
  </si>
  <si>
    <t>Third Party Programs (Section 8-103B - Beginning in 2019) Subtotal</t>
  </si>
  <si>
    <t>BTU Conversion for Alternate Fuels</t>
  </si>
  <si>
    <t>Voltage Opimization</t>
  </si>
  <si>
    <t>Overall Total [Ameren Illinois] Section 8-103B/8-104 (EEPS) Programs</t>
  </si>
  <si>
    <t>Footnotes:</t>
  </si>
  <si>
    <t>*Original Plan Budget refers to the budget contained in the approved EE Plan, which could be the original filed EE Plan or a compliance EE Plan.</t>
  </si>
  <si>
    <t>**Approved Budget refers to the Program Administrator's current budget for this Program Year, that may have been modified in light of the flexibility policy. This may also be the Implementation Plan Budget.</t>
  </si>
  <si>
    <t xml:space="preserve">***The Approved Net Energy Savings Goal refers to the most updated portfolio-level savings goal. In the case of Section 8-104 programs, the values in this column should match the Adjusted Energy Savings Goal contained in the Program Administrator's updated Adjustable Savings Goal Template. </t>
  </si>
  <si>
    <t>****Original Plan Savings Goal refers to the original savings goal approved in the Commission's Final Order approving the EE Plan. For Section 8-104 programs, this value should match the Plan Energy Savings Goal set forth in the completed Adjustable Savings Goal Template.</t>
  </si>
  <si>
    <t>Tab 2: Costs</t>
  </si>
  <si>
    <t>Final (updated 10-18-18)</t>
  </si>
  <si>
    <r>
      <t xml:space="preserve">Instructions:
</t>
    </r>
    <r>
      <rPr>
        <sz val="11"/>
        <color theme="1"/>
        <rFont val="Century Gothic"/>
        <family val="2"/>
      </rPr>
      <t>*For Program and Portfolio-Level Costs, each Program Administrator should include actual costs incurred from the beginning of the Program Year through the end of the applicable quarter, regardless of what Program Year the costs are associated with. 
*Program Administrators should add a footnote specifying if there are non-rider energy efficiency costs that are not reported in the Quarterly Reports.</t>
    </r>
  </si>
  <si>
    <t>[Ameren Illinois] Section 8-103B/8-104 (EEPS) Costs [PY2023 Q4]</t>
  </si>
  <si>
    <t>Section 8-103B/8-104 (EEPS) Cost Category</t>
  </si>
  <si>
    <r>
      <rPr>
        <b/>
        <sz val="10"/>
        <color rgb="FFFF0000"/>
        <rFont val="Century Gothic"/>
        <family val="2"/>
      </rPr>
      <t xml:space="preserve"> </t>
    </r>
    <r>
      <rPr>
        <b/>
        <sz val="10"/>
        <color theme="0"/>
        <rFont val="Century Gothic"/>
        <family val="2"/>
      </rPr>
      <t xml:space="preserve">2023
Actual </t>
    </r>
    <r>
      <rPr>
        <b/>
        <sz val="10"/>
        <color rgb="FF00B050"/>
        <rFont val="Century Gothic"/>
        <family val="2"/>
      </rPr>
      <t>Electric</t>
    </r>
    <r>
      <rPr>
        <b/>
        <sz val="10"/>
        <color theme="0"/>
        <rFont val="Century Gothic"/>
        <family val="2"/>
      </rPr>
      <t xml:space="preserve"> Costs YTD</t>
    </r>
  </si>
  <si>
    <r>
      <rPr>
        <b/>
        <sz val="10"/>
        <color rgb="FFFF0000"/>
        <rFont val="Century Gothic"/>
        <family val="2"/>
      </rPr>
      <t xml:space="preserve"> </t>
    </r>
    <r>
      <rPr>
        <b/>
        <sz val="10"/>
        <color theme="0"/>
        <rFont val="Century Gothic"/>
        <family val="2"/>
      </rPr>
      <t xml:space="preserve">2023
Actual </t>
    </r>
    <r>
      <rPr>
        <b/>
        <sz val="10"/>
        <color rgb="FF00B0F0"/>
        <rFont val="Century Gothic"/>
        <family val="2"/>
      </rPr>
      <t>Gas</t>
    </r>
    <r>
      <rPr>
        <b/>
        <sz val="10"/>
        <color theme="0"/>
        <rFont val="Century Gothic"/>
        <family val="2"/>
      </rPr>
      <t xml:space="preserve"> Costs YTD</t>
    </r>
  </si>
  <si>
    <r>
      <rPr>
        <b/>
        <sz val="10"/>
        <color rgb="FFFF0000"/>
        <rFont val="Century Gothic"/>
        <family val="2"/>
      </rPr>
      <t xml:space="preserve"> </t>
    </r>
    <r>
      <rPr>
        <b/>
        <sz val="10"/>
        <color theme="0"/>
        <rFont val="Century Gothic"/>
        <family val="2"/>
      </rPr>
      <t>2023
Total Actual Costs YTD</t>
    </r>
  </si>
  <si>
    <t>Program Costs by Sector</t>
  </si>
  <si>
    <t>C&amp;I Programs (Private Sector)</t>
  </si>
  <si>
    <t xml:space="preserve">Public Sector Programs </t>
  </si>
  <si>
    <t>Third Party Programs (Beginning in 2019)</t>
  </si>
  <si>
    <t>Total [Ameren Illinois] Program Costs</t>
  </si>
  <si>
    <t>Portfolio-Level Costs by Portfolio Cost Category (Section 8-103B/8-104 EEPS)</t>
  </si>
  <si>
    <t>Market Development Initiative</t>
  </si>
  <si>
    <t>Evaluation Costs</t>
  </si>
  <si>
    <t>Marketing Costs (including Education and Outreach)</t>
  </si>
  <si>
    <t xml:space="preserve">Portfolio Administrative Costs </t>
  </si>
  <si>
    <t>Total [Ameren Illinois] Portfolio-Level Costs</t>
  </si>
  <si>
    <t>Total [Ameren Illinois] Program and Portfolio-Level Section 8-103B/8-104 (EEPS) Costs</t>
  </si>
  <si>
    <t>[Ameren Illinois] Section 8-103B/8-104 (EEPS) Costs  [PY2023 Q4]</t>
  </si>
  <si>
    <t>Overall Total Costs</t>
  </si>
  <si>
    <t xml:space="preserve"> 2023
Actual Electric Costs YTD</t>
  </si>
  <si>
    <t xml:space="preserve"> 2023
Actual Gas Costs YTD</t>
  </si>
  <si>
    <t xml:space="preserve"> 2023
Total Actual Costs YTD</t>
  </si>
  <si>
    <t>2023
Approved Budget</t>
  </si>
  <si>
    <t>Tab 5: CPAS Progress</t>
  </si>
  <si>
    <r>
      <rPr>
        <b/>
        <sz val="11"/>
        <color theme="1"/>
        <rFont val="Century Gothic"/>
        <family val="2"/>
      </rPr>
      <t>Instructions:</t>
    </r>
    <r>
      <rPr>
        <sz val="11"/>
        <color theme="1"/>
        <rFont val="Century Gothic"/>
        <family val="2"/>
      </rPr>
      <t xml:space="preserve">
*The electric utilities Ameren Illinois and ComEd should complete the CPAS and AAIG Progress Ex Ante Results table in Quarterly Reports.</t>
    </r>
  </si>
  <si>
    <t>Color Coded Key:</t>
  </si>
  <si>
    <t>Reported items</t>
  </si>
  <si>
    <t>Statutory and/or approved plan inputs</t>
  </si>
  <si>
    <t>Calculations</t>
  </si>
  <si>
    <t>[Ameren Illinois] CPAS and AAIG Progress Ex Ante Results - Section 8-103B Portfolio [PY2023 Q4]</t>
  </si>
  <si>
    <t>Cumulative Persisting Annual Savings (CPAS) Goal Progress [PY2023 Q1]</t>
  </si>
  <si>
    <t>a</t>
  </si>
  <si>
    <t>Current Year CPAS Goal (% of Eligible 2014-2016 Average Annual Sales)</t>
  </si>
  <si>
    <t>ICC approved plan compliance filing</t>
  </si>
  <si>
    <t>b</t>
  </si>
  <si>
    <t>Baseline - 2014-2016 Average Annual Sales Less Exempt Customers (MWh)</t>
  </si>
  <si>
    <t>c</t>
  </si>
  <si>
    <t>Current Year CPAS Goal (MWh)</t>
  </si>
  <si>
    <t>= a * b</t>
  </si>
  <si>
    <t>d</t>
  </si>
  <si>
    <t>CPAS Achieved at End of Previous Year (MWh)</t>
  </si>
  <si>
    <t>verification report for previous year</t>
  </si>
  <si>
    <t>Savings Expiring in Current Year</t>
  </si>
  <si>
    <t>e</t>
  </si>
  <si>
    <t>2012-2017 Legacy Savings Persisting in Current Year (MWh)</t>
  </si>
  <si>
    <t>statute</t>
  </si>
  <si>
    <t>f</t>
  </si>
  <si>
    <t>2012-2017 Legacy Savings Persisting in Previous Year (MWh)</t>
  </si>
  <si>
    <t>g</t>
  </si>
  <si>
    <t>2012-2017 Legacy Savings Expiring in Current Year (% of Sales)</t>
  </si>
  <si>
    <t>= e / b</t>
  </si>
  <si>
    <t>h</t>
  </si>
  <si>
    <t>2012-2017 Legacy Savings Expiring in Current Year (MWh)</t>
  </si>
  <si>
    <t>= f - e</t>
  </si>
  <si>
    <t>i</t>
  </si>
  <si>
    <t>Savings from Measures Installed post-2017 Expiring in Current Year (MWh)</t>
  </si>
  <si>
    <t>j</t>
  </si>
  <si>
    <t>Total Savings Expiring in Current Year (MWh)</t>
  </si>
  <si>
    <t>= h + i</t>
  </si>
  <si>
    <t>k</t>
  </si>
  <si>
    <t>New Annual Savings Needed to Meet Current Year CPAS Goal (MWh)</t>
  </si>
  <si>
    <t>= c - d + j</t>
  </si>
  <si>
    <t>l</t>
  </si>
  <si>
    <t>New Annual Savings this Quarter (MWh)</t>
  </si>
  <si>
    <t>utility report</t>
  </si>
  <si>
    <t>m</t>
  </si>
  <si>
    <t>New Annual Savings this YTD (MWh)</t>
  </si>
  <si>
    <t>sum of utility reports for all quarters to date</t>
  </si>
  <si>
    <t>n</t>
  </si>
  <si>
    <t>New Annual Savings YTD as % Needed to Meet Current Year CPAS Goal</t>
  </si>
  <si>
    <t>= m / k</t>
  </si>
  <si>
    <t>Applicable Annual Incremental Goal (AAIG) Progress</t>
  </si>
  <si>
    <t>o</t>
  </si>
  <si>
    <t>Previous Year's CPAS Goal (% of Sales)</t>
  </si>
  <si>
    <t>p</t>
  </si>
  <si>
    <t>Previous Year's CPAS Goal (MWh)</t>
  </si>
  <si>
    <t>q</t>
  </si>
  <si>
    <t>Current Year Applicable Annual Incremental Goal (MWh)</t>
  </si>
  <si>
    <t>= c - p</t>
  </si>
  <si>
    <t>r</t>
  </si>
  <si>
    <t>New Savings Required to Meet AAIG (MWh)</t>
  </si>
  <si>
    <t>= q + j</t>
  </si>
  <si>
    <t>s</t>
  </si>
  <si>
    <t>New Savings Achieved YTD (MWh)</t>
  </si>
  <si>
    <t>same as "m"</t>
  </si>
  <si>
    <t>t</t>
  </si>
  <si>
    <t>Expiring savings that have to be offset before counting progress towards AAIG (MWh)</t>
  </si>
  <si>
    <t>= j</t>
  </si>
  <si>
    <t>u</t>
  </si>
  <si>
    <t>Progress towards AAIG (after offsetting expiring savings) - MWh YTD</t>
  </si>
  <si>
    <t>= s - t</t>
  </si>
  <si>
    <t>v</t>
  </si>
  <si>
    <t>Progress towards AAIG (after offsetting expiring savings) - % YTD</t>
  </si>
  <si>
    <t>= u / q</t>
  </si>
  <si>
    <t>Tab 3: Historical Energy Saved</t>
  </si>
  <si>
    <r>
      <t xml:space="preserve">Instructions:
</t>
    </r>
    <r>
      <rPr>
        <sz val="11"/>
        <color theme="1"/>
        <rFont val="Century Gothic"/>
        <family val="2"/>
      </rPr>
      <t>*Each Program Administrator will fill out the historical "Energy Saved" table for Quarterly Reports. The "IL Department of Commerce Energy Saved" historical table may also be added to each utility's Quarterly Report.
*Program Administrators are encouraged to provide source references for greater transparency.</t>
    </r>
  </si>
  <si>
    <t>[Ameren Illinois] Section 8-103B/8-104 (EEPS) Energy Saved (MWh or therms) as of [PY2023 Q4]</t>
  </si>
  <si>
    <t xml:space="preserve">IL Department of Commerce and Economic Opportunity Energy Saved (MWh and/or therms) </t>
  </si>
  <si>
    <r>
      <rPr>
        <b/>
        <sz val="11"/>
        <color rgb="FF00B050"/>
        <rFont val="Century Gothic"/>
        <family val="2"/>
      </rPr>
      <t>Electric</t>
    </r>
    <r>
      <rPr>
        <sz val="11"/>
        <rFont val="Century Gothic"/>
        <family val="2"/>
      </rPr>
      <t xml:space="preserve"> Portfolio</t>
    </r>
  </si>
  <si>
    <r>
      <rPr>
        <b/>
        <sz val="11"/>
        <color rgb="FF00B0F0"/>
        <rFont val="Century Gothic"/>
        <family val="2"/>
      </rPr>
      <t>Gas</t>
    </r>
    <r>
      <rPr>
        <sz val="11"/>
        <rFont val="Century Gothic"/>
        <family val="2"/>
      </rPr>
      <t xml:space="preserve"> Portfolio</t>
    </r>
  </si>
  <si>
    <t>Program Year</t>
  </si>
  <si>
    <t>Evaluation Status
(Ex Ante, Verified***, or ICC Approved)</t>
  </si>
  <si>
    <t>Net Energy Savings Achieved
(MWh)</t>
  </si>
  <si>
    <t>Original Plan Savings Goal** (MWh)</t>
  </si>
  <si>
    <t>Net Energy Savings Goal* (MWh)</t>
  </si>
  <si>
    <t>% of Net Energy Savings Goal Achieved</t>
  </si>
  <si>
    <t>Net Energy Savings Achieved
(Therms)</t>
  </si>
  <si>
    <t>Original Plan Savings Goal** (Therms)</t>
  </si>
  <si>
    <t>Net Energy Savings Goal* (Therms)</t>
  </si>
  <si>
    <t>Department</t>
  </si>
  <si>
    <t>PY1</t>
  </si>
  <si>
    <t>PY2</t>
  </si>
  <si>
    <t>PY3</t>
  </si>
  <si>
    <t>PY4</t>
  </si>
  <si>
    <t>PY5</t>
  </si>
  <si>
    <t>PY6</t>
  </si>
  <si>
    <t>PY7</t>
  </si>
  <si>
    <t>PY8</t>
  </si>
  <si>
    <t>PY9</t>
  </si>
  <si>
    <t>Transition Period</t>
  </si>
  <si>
    <t>PY1
 6/1/08-5/31/09</t>
  </si>
  <si>
    <t>ICC Approved</t>
  </si>
  <si>
    <t>Net Savings Achieved (MWh)</t>
  </si>
  <si>
    <t>PY2
 6/1/09-5/31/10</t>
  </si>
  <si>
    <t>Evaluation Status (Ex Ante, Verified**, or ICC Approved)</t>
  </si>
  <si>
    <t>Verified</t>
  </si>
  <si>
    <t>PY3
 6/1/10-5/31/11</t>
  </si>
  <si>
    <t>Source</t>
  </si>
  <si>
    <t>AIU PY1 Portfolio Cost-Effectiveness Evaluation (2009-12-30), p. 5.</t>
  </si>
  <si>
    <t>Docket 10-0520, Staff Ex. 1.1, p. 12 (Navigant Memo, DCEO PY2 Energy Impact Summary (2011-09-21)).</t>
  </si>
  <si>
    <t>Docket 11-0592.</t>
  </si>
  <si>
    <t>Docket 14-0594.</t>
  </si>
  <si>
    <t>Docket 14-0595.</t>
  </si>
  <si>
    <t>Docket 15-0296.</t>
  </si>
  <si>
    <t>EPY7/GPY4 DCEO Cost Effectiveness Summary Report, p. 7.</t>
  </si>
  <si>
    <t>https://www.icc.illinois.gov/downloads/public/edocket/501631.pdf</t>
  </si>
  <si>
    <t>Plan 1 Total</t>
  </si>
  <si>
    <t>PY4 
6/1/11-5/31/12</t>
  </si>
  <si>
    <t>PY5 
6/1/12-5/31/13</t>
  </si>
  <si>
    <t>PY6 
6/1/13-5/31/14</t>
  </si>
  <si>
    <t>Net Savings Achieved (Therms)</t>
  </si>
  <si>
    <t>Plan 2 Total</t>
  </si>
  <si>
    <t>PY7 
6/1/14-5/31/15</t>
  </si>
  <si>
    <t>PY8 
6/1/15-5/31/16</t>
  </si>
  <si>
    <t>PY9 
6/1/16-5/31/17</t>
  </si>
  <si>
    <t>Transition Period 
6/1/17-12/31/17</t>
  </si>
  <si>
    <t>*Electric Program Year 9 (EPY9) and Gas Program Year 6 (GPY6) covers energy efficiency programs offered from June 1, 2016 to May 31, 2017.</t>
  </si>
  <si>
    <t>Plan 3 Total</t>
  </si>
  <si>
    <t>**Verified savings refer to evaluator estimated savings that are intended to count toward compliance with a Program Administrator's energy savings goal. Verified savings generally utilize deemed net-to-gross ratios and IL-TRM algorithms, where applicable. See also the definition of 'savings verification' in the IL-TRM Policy Document.</t>
  </si>
  <si>
    <t>2018-2021 Plan Total</t>
  </si>
  <si>
    <t>Ex Ante</t>
  </si>
  <si>
    <t>2022-2025 Plan Total</t>
  </si>
  <si>
    <t>*Net Energy Savings Goal refers to the most updated portfolio-level savings goal. In the case of Section 8-104 programs, the values in this column should match the Adjusted Energy Savings Goal contained in the Program Administrator's updated Adjustable Savings Goal Template.</t>
  </si>
  <si>
    <t>**Original Plan Savings Goal refers to the original savings goal approved in the Commission's Final Order approving the EE Plan. For Section 8-104 programs, this value should match the Plan Energy Savings Goal set forth in the completed Adjustable Savings Goal Template.</t>
  </si>
  <si>
    <t>***Verified savings refer to evaluator estimated savings that are intended to count toward compliance with a Program Administrator's energy savings goal. Verified savings generally utilize deemed net-to-gross ratios and IL-TRM algorithms, where applicable. See also the definition of 'savings verification' in the IL-TRM Policy Document.</t>
  </si>
  <si>
    <t>Tab 4: Historical Other - Environmental and Economic Impacts</t>
  </si>
  <si>
    <r>
      <rPr>
        <b/>
        <sz val="11"/>
        <color theme="1"/>
        <rFont val="Century Gothic"/>
        <family val="2"/>
      </rPr>
      <t>Instructions:</t>
    </r>
    <r>
      <rPr>
        <sz val="11"/>
        <color theme="1"/>
        <rFont val="Century Gothic"/>
        <family val="2"/>
      </rPr>
      <t xml:space="preserve">
*Each Program Administrator should complete the Environmental and Economic Impacts table for Quarterly Reports.
*Each Program Administrator should include a footnote to explain how performance metrics are derived (for example: the calculation for "Direct Portfolio Jobs.")</t>
    </r>
  </si>
  <si>
    <t>Environmental and Economic Impacts for the [Ameren Illinois] Service Territory as of [PY2023 Q4]</t>
  </si>
  <si>
    <r>
      <rPr>
        <b/>
        <sz val="11"/>
        <color rgb="FF00B050"/>
        <rFont val="Century Gothic"/>
        <family val="2"/>
      </rPr>
      <t>Electric</t>
    </r>
    <r>
      <rPr>
        <b/>
        <sz val="11"/>
        <color theme="0"/>
        <rFont val="Century Gothic"/>
        <family val="2"/>
      </rPr>
      <t xml:space="preserve"> Portfolio Performance Metrics (Equivalents)*</t>
    </r>
  </si>
  <si>
    <t>Net Energy Savings Achieved (MWh or therms)**</t>
  </si>
  <si>
    <t>Carbon reduction (tons)</t>
  </si>
  <si>
    <t>Passenger vehicles driven for one year</t>
  </si>
  <si>
    <t>Acres of U.S. forests in one year</t>
  </si>
  <si>
    <t>Homes energy use for one year</t>
  </si>
  <si>
    <t>Direct Portfolio Jobs*****</t>
  </si>
  <si>
    <t>TBD</t>
  </si>
  <si>
    <t>See Below</t>
  </si>
  <si>
    <t>Income qualified homes served***</t>
  </si>
  <si>
    <r>
      <rPr>
        <b/>
        <sz val="11"/>
        <color rgb="FF00B0F0"/>
        <rFont val="Century Gothic"/>
        <family val="2"/>
      </rPr>
      <t>Gas</t>
    </r>
    <r>
      <rPr>
        <b/>
        <sz val="11"/>
        <color theme="0"/>
        <rFont val="Century Gothic"/>
        <family val="2"/>
      </rPr>
      <t xml:space="preserve"> Portfolio Performance Metrics (Equivalents)*</t>
    </r>
  </si>
  <si>
    <t>Total Performance Metrics (Equivalents)*</t>
  </si>
  <si>
    <t>*Unless otherwise noted, performance metrics for carbon reduction, cars removed from the road, and acres of trees planted are derived from the U.S. EPA Greenhouse Gas Equivalencies Calculator: https://www.epa.gov/energy/greenhouse-gas-equivalencies-calculator</t>
  </si>
  <si>
    <t>**This includes Sections 8-103, 8-103B, 8-104, and 16-111.5B savings achieved.  In addition, this includes Illinois Department of Commerce and Economic Opportunity program savings achieved through May 31, 2017.</t>
  </si>
  <si>
    <t>***To the extent the portfolio offers a low income program and tracks participation. Low income customers were previously served by the IL Department of Commerce and Economic Opportunity until May 31, 2017. Utilities began serving both low income and public sector customers on June 1, 2017.</t>
  </si>
  <si>
    <r>
      <t xml:space="preserve">****Electric Program Year 9 (EPY9) and Gas Program Year 6 (GPY6) covers energy efficiency programs offered from June 1, 2016 to December 31, 2017. </t>
    </r>
    <r>
      <rPr>
        <b/>
        <sz val="10"/>
        <color theme="1"/>
        <rFont val="Century Gothic"/>
        <family val="2"/>
      </rPr>
      <t>IQ homes served initiatives (school kits, direct install and full comprehensive retrofit) contain measures that provide both electric and gas savings.  Therefore, AIC is reporting IQ homes served as a total. See quarterly report narrative for detailed breakout of IQ homes served.</t>
    </r>
  </si>
  <si>
    <t>*****Direct Portfolio Jobs will be updated at least once per year.</t>
  </si>
  <si>
    <t>Tab 6: Historical Costs</t>
  </si>
  <si>
    <r>
      <t xml:space="preserve">Instructions:
</t>
    </r>
    <r>
      <rPr>
        <sz val="11"/>
        <color theme="1"/>
        <rFont val="Century Gothic"/>
        <family val="2"/>
      </rPr>
      <t xml:space="preserve">*Each Program Administrator will fill out the "Historical Energy Efficiency Costs" table for Quarterly Reports. 
*For Costs, each Program Administrator should include actual costs incurred from the beginning of the Program Year through the end of the applicable quarter or Program Year, regardless of what Program Year the costs are associated with. Costs include both Program and Portfolio-Level Costs as well as On-Bill Financing costs.
*Program Administrators should add a footnote specifying if there are non-rider energy efficiency costs that are not reported in the Quarterly Reports.  </t>
    </r>
  </si>
  <si>
    <t>[Ameren Illinois] Service Territory Historical Energy Efficiency Costs as of [PY2023 Q4]</t>
  </si>
  <si>
    <r>
      <rPr>
        <b/>
        <sz val="11"/>
        <color rgb="FF00B050"/>
        <rFont val="Calibri"/>
        <family val="2"/>
        <scheme val="minor"/>
      </rPr>
      <t>Electric</t>
    </r>
    <r>
      <rPr>
        <sz val="11"/>
        <color theme="1"/>
        <rFont val="Calibri"/>
        <family val="2"/>
        <scheme val="minor"/>
      </rPr>
      <t xml:space="preserve"> Costs</t>
    </r>
  </si>
  <si>
    <r>
      <rPr>
        <b/>
        <sz val="11"/>
        <color rgb="FF00B0F0"/>
        <rFont val="Calibri"/>
        <family val="2"/>
        <scheme val="minor"/>
      </rPr>
      <t>Gas</t>
    </r>
    <r>
      <rPr>
        <sz val="11"/>
        <color theme="1"/>
        <rFont val="Calibri"/>
        <family val="2"/>
        <scheme val="minor"/>
      </rPr>
      <t xml:space="preserve"> Costs</t>
    </r>
  </si>
  <si>
    <r>
      <t xml:space="preserve">Total </t>
    </r>
    <r>
      <rPr>
        <b/>
        <sz val="11"/>
        <color rgb="FF00B050"/>
        <rFont val="Calibri"/>
        <family val="2"/>
        <scheme val="minor"/>
      </rPr>
      <t>Electric</t>
    </r>
    <r>
      <rPr>
        <sz val="11"/>
        <color theme="1"/>
        <rFont val="Calibri"/>
        <family val="2"/>
        <scheme val="minor"/>
      </rPr>
      <t xml:space="preserve"> &amp; </t>
    </r>
    <r>
      <rPr>
        <b/>
        <sz val="11"/>
        <color rgb="FF00B0F0"/>
        <rFont val="Calibri"/>
        <family val="2"/>
        <scheme val="minor"/>
      </rPr>
      <t>Gas</t>
    </r>
    <r>
      <rPr>
        <sz val="11"/>
        <color theme="1"/>
        <rFont val="Calibri"/>
        <family val="2"/>
        <scheme val="minor"/>
      </rPr>
      <t xml:space="preserve"> Costs</t>
    </r>
  </si>
  <si>
    <r>
      <t xml:space="preserve">Actual </t>
    </r>
    <r>
      <rPr>
        <b/>
        <sz val="11"/>
        <color rgb="FFFF0000"/>
        <rFont val="Century Gothic"/>
        <family val="2"/>
      </rPr>
      <t>Ameren Illinois</t>
    </r>
    <r>
      <rPr>
        <b/>
        <sz val="11"/>
        <color theme="0"/>
        <rFont val="Century Gothic"/>
        <family val="2"/>
      </rPr>
      <t xml:space="preserve"> EEPS Costs</t>
    </r>
  </si>
  <si>
    <t>Actual DCEO EEPS Costs</t>
  </si>
  <si>
    <r>
      <t>Total Actual EEPS Costs (</t>
    </r>
    <r>
      <rPr>
        <b/>
        <sz val="11"/>
        <color rgb="FFFF0000"/>
        <rFont val="Century Gothic"/>
        <family val="2"/>
      </rPr>
      <t>Ameren Illinois</t>
    </r>
    <r>
      <rPr>
        <b/>
        <sz val="11"/>
        <color theme="0"/>
        <rFont val="Century Gothic"/>
        <family val="2"/>
      </rPr>
      <t xml:space="preserve"> + DCEO + IPA)</t>
    </r>
  </si>
  <si>
    <t>Actual Section 16-111.5B Costs</t>
  </si>
  <si>
    <t>Total Actual EEPS + Section 16-111.5B Costs</t>
  </si>
  <si>
    <t>PY1- 6/1/08-5/31/09</t>
  </si>
  <si>
    <t>PY2- 6/1/09-5/31/10</t>
  </si>
  <si>
    <t>PY3- 6/1/10-5/31/11</t>
  </si>
  <si>
    <t>PY4/GPY1- 6/1/11-5/31/12</t>
  </si>
  <si>
    <t>PY5/GPY2- 6/1/12-5/31/13</t>
  </si>
  <si>
    <t>PY6/GPY3- 6/1/13-5/31/14</t>
  </si>
  <si>
    <t>PY7/GPY4- 6/1/14-5/31/15</t>
  </si>
  <si>
    <t>PY8/GPY5- 6/1/15-5/31/16</t>
  </si>
  <si>
    <t>PY9/GPY6 &amp; Transition Period - 6/1/16-12/31/17</t>
  </si>
  <si>
    <r>
      <t xml:space="preserve">Actual </t>
    </r>
    <r>
      <rPr>
        <b/>
        <sz val="11"/>
        <color rgb="FFFF0000"/>
        <rFont val="Century Gothic"/>
        <family val="2"/>
      </rPr>
      <t>Ameren Illinois</t>
    </r>
    <r>
      <rPr>
        <b/>
        <sz val="11"/>
        <color theme="0"/>
        <rFont val="Century Gothic"/>
        <family val="2"/>
      </rPr>
      <t xml:space="preserve"> EEPS Costs YTD</t>
    </r>
  </si>
  <si>
    <r>
      <t xml:space="preserve">Approved </t>
    </r>
    <r>
      <rPr>
        <b/>
        <sz val="11"/>
        <color rgb="FFFF0000"/>
        <rFont val="Century Gothic"/>
        <family val="2"/>
      </rPr>
      <t>Ameren Illinois</t>
    </r>
    <r>
      <rPr>
        <b/>
        <sz val="11"/>
        <color theme="0"/>
        <rFont val="Century Gothic"/>
        <family val="2"/>
      </rPr>
      <t xml:space="preserve"> EEPS Budget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</si>
</sst>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 #,##0_);_(* \(#,##0\);_(* &quot;-&quot;???_);_(@_)"/>
    <numFmt numFmtId="167" formatCode="_(* #,##0.0000_);_(* \(#,##0.0000\);_(* &quot;-&quot;??_);_(@_)"/>
    <numFmt numFmtId="168" formatCode="0.0%"/>
    <numFmt numFmtId="169" formatCode="_(* #,##0.000000_);_(* \(#,##0.000000\);_(* &quot;-&quot;??_);_(@_)"/>
  </numFmts>
  <fonts count="44" x14ac:knownFonts="1">
    <font>
      <sz val="11"/>
      <color theme="1"/>
      <name val="Calibri"/>
      <family val="2"/>
      <scheme val="minor"/>
    </font>
    <font>
      <sz val="11"/>
      <color theme="1"/>
      <name val="Calibri"/>
      <family val="2"/>
      <scheme val="minor"/>
    </font>
    <font>
      <sz val="10"/>
      <name val="Century Gothic"/>
      <family val="2"/>
    </font>
    <font>
      <b/>
      <sz val="10"/>
      <name val="Century Gothic"/>
      <family val="2"/>
    </font>
    <font>
      <b/>
      <sz val="10"/>
      <color theme="0"/>
      <name val="Century Gothic"/>
      <family val="2"/>
    </font>
    <font>
      <sz val="11"/>
      <color theme="1"/>
      <name val="Century Gothic"/>
      <family val="2"/>
    </font>
    <font>
      <b/>
      <sz val="11"/>
      <color theme="1"/>
      <name val="Century Gothic"/>
      <family val="2"/>
    </font>
    <font>
      <sz val="10"/>
      <color theme="1"/>
      <name val="Century Gothic"/>
      <family val="2"/>
    </font>
    <font>
      <sz val="11"/>
      <color rgb="FFCC0033"/>
      <name val="Century Gothic"/>
      <family val="2"/>
    </font>
    <font>
      <b/>
      <sz val="11"/>
      <color theme="0"/>
      <name val="Century Gothic"/>
      <family val="2"/>
    </font>
    <font>
      <b/>
      <sz val="10"/>
      <color theme="1"/>
      <name val="Century Gothic"/>
      <family val="2"/>
    </font>
    <font>
      <sz val="11"/>
      <name val="Century Gothic"/>
      <family val="2"/>
    </font>
    <font>
      <b/>
      <sz val="11"/>
      <name val="Century Gothic"/>
      <family val="2"/>
    </font>
    <font>
      <b/>
      <sz val="14"/>
      <color theme="0"/>
      <name val="Arial"/>
      <family val="2"/>
    </font>
    <font>
      <u/>
      <sz val="11"/>
      <color theme="10"/>
      <name val="Calibri"/>
      <family val="2"/>
    </font>
    <font>
      <u/>
      <sz val="10"/>
      <color theme="10"/>
      <name val="Century Gothic"/>
      <family val="2"/>
    </font>
    <font>
      <u/>
      <sz val="11"/>
      <color theme="10"/>
      <name val="Century Gothic"/>
      <family val="2"/>
    </font>
    <font>
      <b/>
      <sz val="10"/>
      <color indexed="9"/>
      <name val="Century Gothic"/>
      <family val="2"/>
    </font>
    <font>
      <sz val="10"/>
      <color theme="1"/>
      <name val="Calibri"/>
      <family val="2"/>
      <scheme val="minor"/>
    </font>
    <font>
      <i/>
      <sz val="10"/>
      <color theme="1"/>
      <name val="Century Gothic"/>
      <family val="2"/>
    </font>
    <font>
      <b/>
      <sz val="10"/>
      <color rgb="FFFF0000"/>
      <name val="Century Gothic"/>
      <family val="2"/>
    </font>
    <font>
      <i/>
      <sz val="10"/>
      <name val="Century Gothic"/>
      <family val="2"/>
    </font>
    <font>
      <b/>
      <i/>
      <sz val="11"/>
      <color rgb="FFFF0000"/>
      <name val="Calibri"/>
      <family val="2"/>
      <scheme val="minor"/>
    </font>
    <font>
      <b/>
      <sz val="12"/>
      <color theme="1"/>
      <name val="Calibri"/>
      <family val="2"/>
      <scheme val="minor"/>
    </font>
    <font>
      <b/>
      <sz val="14"/>
      <color rgb="FF0070C0"/>
      <name val="Calibri"/>
      <family val="2"/>
      <scheme val="minor"/>
    </font>
    <font>
      <b/>
      <sz val="14"/>
      <name val="Calibri"/>
      <family val="2"/>
      <scheme val="minor"/>
    </font>
    <font>
      <b/>
      <i/>
      <sz val="11"/>
      <color theme="1"/>
      <name val="Century Gothic"/>
      <family val="2"/>
    </font>
    <font>
      <b/>
      <sz val="11"/>
      <color rgb="FFFF0000"/>
      <name val="Century Gothic"/>
      <family val="2"/>
    </font>
    <font>
      <i/>
      <sz val="11"/>
      <color theme="1"/>
      <name val="Century Gothic"/>
      <family val="2"/>
    </font>
    <font>
      <b/>
      <sz val="11"/>
      <color theme="1"/>
      <name val="Calibri"/>
      <family val="2"/>
      <scheme val="minor"/>
    </font>
    <font>
      <sz val="11"/>
      <name val="Calibri"/>
      <family val="2"/>
      <scheme val="minor"/>
    </font>
    <font>
      <sz val="10"/>
      <color theme="0" tint="-0.34998626667073579"/>
      <name val="Century Gothic"/>
      <family val="2"/>
    </font>
    <font>
      <sz val="11"/>
      <color theme="0" tint="-0.34998626667073579"/>
      <name val="Calibri"/>
      <family val="2"/>
      <scheme val="minor"/>
    </font>
    <font>
      <b/>
      <sz val="10"/>
      <color theme="0" tint="-0.499984740745262"/>
      <name val="Century Gothic"/>
      <family val="2"/>
    </font>
    <font>
      <b/>
      <sz val="10"/>
      <color rgb="FF00B050"/>
      <name val="Century Gothic"/>
      <family val="2"/>
    </font>
    <font>
      <b/>
      <sz val="10"/>
      <color rgb="FF00B0F0"/>
      <name val="Century Gothic"/>
      <family val="2"/>
    </font>
    <font>
      <b/>
      <sz val="11"/>
      <color rgb="FF00B050"/>
      <name val="Century Gothic"/>
      <family val="2"/>
    </font>
    <font>
      <b/>
      <sz val="11"/>
      <color rgb="FF00B0F0"/>
      <name val="Century Gothic"/>
      <family val="2"/>
    </font>
    <font>
      <b/>
      <sz val="11"/>
      <color rgb="FF00B050"/>
      <name val="Calibri"/>
      <family val="2"/>
      <scheme val="minor"/>
    </font>
    <font>
      <b/>
      <sz val="11"/>
      <color rgb="FF00B0F0"/>
      <name val="Calibri"/>
      <family val="2"/>
      <scheme val="minor"/>
    </font>
    <font>
      <sz val="11"/>
      <color rgb="FF000000"/>
      <name val="Calibri"/>
      <family val="2"/>
    </font>
    <font>
      <sz val="11"/>
      <color theme="0" tint="-4.9989318521683403E-2"/>
      <name val="Calibri"/>
      <family val="2"/>
      <scheme val="minor"/>
    </font>
    <font>
      <sz val="10"/>
      <color theme="0" tint="-0.14999847407452621"/>
      <name val="Century Gothic"/>
      <family val="2"/>
    </font>
    <font>
      <b/>
      <sz val="10"/>
      <color rgb="FF000000"/>
      <name val="Century Gothic"/>
      <family val="2"/>
    </font>
  </fonts>
  <fills count="14">
    <fill>
      <patternFill patternType="none"/>
    </fill>
    <fill>
      <patternFill patternType="gray125"/>
    </fill>
    <fill>
      <patternFill patternType="solid">
        <fgColor rgb="FF65656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theme="1" tint="0.34998626667073579"/>
        <bgColor indexed="64"/>
      </patternFill>
    </fill>
    <fill>
      <patternFill patternType="solid">
        <fgColor rgb="FFF2F2F2"/>
        <bgColor indexed="64"/>
      </patternFill>
    </fill>
    <fill>
      <patternFill patternType="solid">
        <fgColor rgb="FFA6A6A6"/>
        <bgColor indexed="64"/>
      </patternFill>
    </fill>
  </fills>
  <borders count="46">
    <border>
      <left/>
      <right/>
      <top/>
      <bottom/>
      <diagonal/>
    </border>
    <border>
      <left style="thin">
        <color indexed="64"/>
      </left>
      <right style="thin">
        <color indexed="64"/>
      </right>
      <top style="thin">
        <color auto="1"/>
      </top>
      <bottom style="thin">
        <color indexed="64"/>
      </bottom>
      <diagonal/>
    </border>
    <border>
      <left/>
      <right/>
      <top/>
      <bottom style="thin">
        <color indexed="64"/>
      </bottom>
      <diagonal/>
    </border>
    <border>
      <left style="thin">
        <color indexed="64"/>
      </left>
      <right/>
      <top style="thin">
        <color auto="1"/>
      </top>
      <bottom/>
      <diagonal/>
    </border>
    <border>
      <left/>
      <right/>
      <top style="thin">
        <color auto="1"/>
      </top>
      <bottom/>
      <diagonal/>
    </border>
    <border>
      <left/>
      <right style="thin">
        <color indexed="64"/>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auto="1"/>
      </top>
      <bottom style="thin">
        <color indexed="64"/>
      </bottom>
      <diagonal/>
    </border>
    <border>
      <left/>
      <right style="medium">
        <color indexed="64"/>
      </right>
      <top style="thin">
        <color auto="1"/>
      </top>
      <bottom style="thin">
        <color indexed="64"/>
      </bottom>
      <diagonal/>
    </border>
    <border>
      <left style="medium">
        <color indexed="64"/>
      </left>
      <right style="thin">
        <color indexed="64"/>
      </right>
      <top style="thin">
        <color auto="1"/>
      </top>
      <bottom style="thin">
        <color indexed="64"/>
      </bottom>
      <diagonal/>
    </border>
    <border>
      <left style="thin">
        <color indexed="64"/>
      </left>
      <right style="medium">
        <color indexed="64"/>
      </right>
      <top style="thin">
        <color auto="1"/>
      </top>
      <bottom style="thin">
        <color indexed="64"/>
      </bottom>
      <diagonal/>
    </border>
    <border>
      <left style="medium">
        <color indexed="64"/>
      </left>
      <right style="thin">
        <color indexed="64"/>
      </right>
      <top style="thin">
        <color auto="1"/>
      </top>
      <bottom style="medium">
        <color indexed="64"/>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auto="1"/>
      </top>
      <bottom style="medium">
        <color indexed="64"/>
      </bottom>
      <diagonal/>
    </border>
    <border>
      <left style="thin">
        <color indexed="64"/>
      </left>
      <right style="thin">
        <color indexed="64"/>
      </right>
      <top style="thin">
        <color auto="1"/>
      </top>
      <bottom/>
      <diagonal/>
    </border>
    <border>
      <left/>
      <right style="thin">
        <color indexed="64"/>
      </right>
      <top style="thin">
        <color auto="1"/>
      </top>
      <bottom style="medium">
        <color indexed="64"/>
      </bottom>
      <diagonal/>
    </border>
    <border>
      <left style="medium">
        <color indexed="64"/>
      </left>
      <right/>
      <top style="thin">
        <color auto="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14" fillId="0" borderId="0" applyNumberFormat="0" applyFill="0" applyBorder="0" applyAlignment="0" applyProtection="0">
      <alignment vertical="top"/>
      <protection locked="0"/>
    </xf>
    <xf numFmtId="9" fontId="1" fillId="0" borderId="0" applyFont="0" applyFill="0" applyBorder="0" applyAlignment="0" applyProtection="0"/>
  </cellStyleXfs>
  <cellXfs count="373">
    <xf numFmtId="0" fontId="0" fillId="0" borderId="0" xfId="0"/>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1" xfId="0" applyFont="1" applyFill="1" applyBorder="1" applyAlignment="1">
      <alignment vertical="center" wrapText="1"/>
    </xf>
    <xf numFmtId="0" fontId="17"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0" fillId="3" borderId="1" xfId="0" applyFont="1" applyFill="1" applyBorder="1" applyAlignment="1">
      <alignment vertical="center"/>
    </xf>
    <xf numFmtId="0" fontId="5" fillId="7" borderId="1" xfId="0" quotePrefix="1" applyFont="1" applyFill="1" applyBorder="1" applyAlignment="1">
      <alignment vertical="center"/>
    </xf>
    <xf numFmtId="0" fontId="5" fillId="9" borderId="1" xfId="0" applyFont="1" applyFill="1" applyBorder="1" applyAlignment="1">
      <alignment vertical="center"/>
    </xf>
    <xf numFmtId="0" fontId="5" fillId="8" borderId="1" xfId="0" applyFont="1" applyFill="1" applyBorder="1" applyAlignment="1">
      <alignment vertical="center"/>
    </xf>
    <xf numFmtId="0" fontId="17" fillId="2" borderId="13" xfId="0" applyFont="1" applyFill="1" applyBorder="1" applyAlignment="1">
      <alignment horizontal="center" vertical="center" wrapText="1"/>
    </xf>
    <xf numFmtId="0" fontId="17" fillId="2" borderId="17" xfId="0" applyFont="1" applyFill="1" applyBorder="1" applyAlignment="1">
      <alignment horizontal="center" vertical="center" wrapText="1"/>
    </xf>
    <xf numFmtId="10" fontId="2" fillId="3" borderId="22" xfId="4" applyNumberFormat="1" applyFont="1" applyFill="1" applyBorder="1" applyAlignment="1">
      <alignment horizontal="center" wrapText="1"/>
    </xf>
    <xf numFmtId="10" fontId="3" fillId="6" borderId="22" xfId="4" applyNumberFormat="1" applyFont="1" applyFill="1" applyBorder="1" applyAlignment="1">
      <alignment horizontal="center"/>
    </xf>
    <xf numFmtId="10" fontId="4" fillId="5" borderId="25" xfId="4" applyNumberFormat="1" applyFont="1" applyFill="1" applyBorder="1" applyAlignment="1">
      <alignment horizontal="center" vertical="center"/>
    </xf>
    <xf numFmtId="10" fontId="4" fillId="6" borderId="22" xfId="4" applyNumberFormat="1" applyFont="1" applyFill="1" applyBorder="1" applyAlignment="1">
      <alignment horizontal="center"/>
    </xf>
    <xf numFmtId="165" fontId="3" fillId="6" borderId="21" xfId="1" applyNumberFormat="1" applyFont="1" applyFill="1" applyBorder="1" applyAlignment="1">
      <alignment horizontal="left"/>
    </xf>
    <xf numFmtId="165" fontId="3" fillId="6" borderId="1" xfId="1" applyNumberFormat="1" applyFont="1" applyFill="1" applyBorder="1" applyAlignment="1">
      <alignment horizontal="center"/>
    </xf>
    <xf numFmtId="165" fontId="4" fillId="5" borderId="24" xfId="1" applyNumberFormat="1" applyFont="1" applyFill="1" applyBorder="1" applyAlignment="1">
      <alignment horizontal="center" vertical="center"/>
    </xf>
    <xf numFmtId="44" fontId="3" fillId="6" borderId="21" xfId="2" applyFont="1" applyFill="1" applyBorder="1" applyAlignment="1">
      <alignment horizontal="left"/>
    </xf>
    <xf numFmtId="44" fontId="4" fillId="6" borderId="21" xfId="2" applyFont="1" applyFill="1" applyBorder="1" applyAlignment="1">
      <alignment horizontal="left"/>
    </xf>
    <xf numFmtId="44" fontId="3" fillId="6" borderId="1" xfId="2" applyFont="1" applyFill="1" applyBorder="1" applyAlignment="1">
      <alignment horizontal="center"/>
    </xf>
    <xf numFmtId="44" fontId="4" fillId="6" borderId="1" xfId="2" applyFont="1" applyFill="1" applyBorder="1" applyAlignment="1">
      <alignment horizontal="center"/>
    </xf>
    <xf numFmtId="0" fontId="17" fillId="2" borderId="21" xfId="0" applyFont="1" applyFill="1" applyBorder="1" applyAlignment="1">
      <alignment horizontal="center" vertical="center" wrapText="1"/>
    </xf>
    <xf numFmtId="0" fontId="4" fillId="2" borderId="26" xfId="0" applyFont="1" applyFill="1" applyBorder="1" applyAlignment="1">
      <alignment horizontal="center" vertical="center"/>
    </xf>
    <xf numFmtId="0" fontId="4" fillId="2" borderId="26" xfId="0" applyFont="1" applyFill="1" applyBorder="1" applyAlignment="1">
      <alignment horizontal="center" vertical="center" wrapText="1"/>
    </xf>
    <xf numFmtId="0" fontId="10" fillId="3" borderId="26" xfId="0" applyFont="1" applyFill="1" applyBorder="1" applyAlignment="1">
      <alignment vertical="center"/>
    </xf>
    <xf numFmtId="44" fontId="10" fillId="3" borderId="26" xfId="2" applyFont="1" applyFill="1" applyBorder="1" applyAlignment="1">
      <alignment vertical="center"/>
    </xf>
    <xf numFmtId="44" fontId="10" fillId="3" borderId="1" xfId="2" applyFont="1" applyFill="1" applyBorder="1" applyAlignment="1">
      <alignment vertical="center"/>
    </xf>
    <xf numFmtId="0" fontId="9" fillId="2" borderId="30"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12" fillId="4" borderId="33" xfId="0" applyFont="1" applyFill="1" applyBorder="1" applyAlignment="1">
      <alignment horizontal="center" vertical="center" wrapText="1"/>
    </xf>
    <xf numFmtId="0" fontId="11" fillId="0" borderId="33" xfId="0" applyFont="1" applyBorder="1" applyAlignment="1">
      <alignment horizontal="center" vertical="center"/>
    </xf>
    <xf numFmtId="0" fontId="12" fillId="4" borderId="34" xfId="0" applyFont="1" applyFill="1" applyBorder="1" applyAlignment="1">
      <alignment horizontal="center" vertical="center" wrapText="1"/>
    </xf>
    <xf numFmtId="0" fontId="11" fillId="0" borderId="35" xfId="0" applyFont="1" applyBorder="1" applyAlignment="1">
      <alignment horizontal="center" vertical="center"/>
    </xf>
    <xf numFmtId="3" fontId="5" fillId="0" borderId="30" xfId="0" applyNumberFormat="1" applyFont="1" applyBorder="1" applyAlignment="1">
      <alignment horizontal="center" vertical="center"/>
    </xf>
    <xf numFmtId="10" fontId="5" fillId="0" borderId="31" xfId="0" applyNumberFormat="1" applyFont="1" applyBorder="1" applyAlignment="1">
      <alignment horizontal="center" vertical="center"/>
    </xf>
    <xf numFmtId="0" fontId="11" fillId="0" borderId="10" xfId="0" applyFont="1" applyBorder="1" applyAlignment="1">
      <alignment horizontal="center" vertical="center"/>
    </xf>
    <xf numFmtId="3" fontId="5" fillId="0" borderId="1" xfId="0" applyNumberFormat="1" applyFont="1" applyBorder="1" applyAlignment="1">
      <alignment horizontal="center" vertical="center"/>
    </xf>
    <xf numFmtId="10" fontId="5" fillId="0" borderId="22" xfId="0" applyNumberFormat="1" applyFont="1" applyBorder="1" applyAlignment="1">
      <alignment horizontal="center" vertical="center"/>
    </xf>
    <xf numFmtId="0" fontId="12" fillId="4" borderId="10" xfId="0" applyFont="1" applyFill="1" applyBorder="1" applyAlignment="1">
      <alignment horizontal="center" vertical="center"/>
    </xf>
    <xf numFmtId="3" fontId="6" fillId="4" borderId="1" xfId="0" applyNumberFormat="1" applyFont="1" applyFill="1" applyBorder="1" applyAlignment="1">
      <alignment horizontal="center" vertical="center"/>
    </xf>
    <xf numFmtId="10" fontId="6" fillId="4" borderId="22" xfId="0" applyNumberFormat="1" applyFont="1" applyFill="1" applyBorder="1" applyAlignment="1">
      <alignment horizontal="center" vertical="center"/>
    </xf>
    <xf numFmtId="0" fontId="5" fillId="0" borderId="10" xfId="0" applyFont="1" applyBorder="1" applyAlignment="1">
      <alignment horizontal="center" vertical="center"/>
    </xf>
    <xf numFmtId="0" fontId="12" fillId="4" borderId="27" xfId="0" applyFont="1" applyFill="1" applyBorder="1" applyAlignment="1">
      <alignment horizontal="center" vertical="center"/>
    </xf>
    <xf numFmtId="3" fontId="6" fillId="4" borderId="24" xfId="0" applyNumberFormat="1" applyFont="1" applyFill="1" applyBorder="1" applyAlignment="1">
      <alignment horizontal="center" vertical="center"/>
    </xf>
    <xf numFmtId="10" fontId="6" fillId="4" borderId="25" xfId="0" applyNumberFormat="1" applyFont="1" applyFill="1" applyBorder="1" applyAlignment="1">
      <alignment horizontal="center" vertical="center"/>
    </xf>
    <xf numFmtId="0" fontId="11" fillId="0" borderId="29" xfId="0" applyFont="1" applyBorder="1" applyAlignment="1">
      <alignment horizontal="center" vertical="center"/>
    </xf>
    <xf numFmtId="0" fontId="11" fillId="0" borderId="21" xfId="0" applyFont="1" applyBorder="1" applyAlignment="1">
      <alignment horizontal="center" vertical="center"/>
    </xf>
    <xf numFmtId="0" fontId="12" fillId="4" borderId="21" xfId="0" applyFont="1" applyFill="1" applyBorder="1" applyAlignment="1">
      <alignment horizontal="center" vertical="center"/>
    </xf>
    <xf numFmtId="0" fontId="6" fillId="10" borderId="0" xfId="0" applyFont="1" applyFill="1" applyAlignment="1">
      <alignment vertical="center"/>
    </xf>
    <xf numFmtId="0" fontId="0" fillId="10" borderId="0" xfId="0" applyFill="1"/>
    <xf numFmtId="0" fontId="6" fillId="10" borderId="0" xfId="0" applyFont="1" applyFill="1"/>
    <xf numFmtId="0" fontId="6" fillId="10" borderId="0" xfId="0" applyFont="1" applyFill="1" applyAlignment="1">
      <alignment horizontal="left" vertical="center" wrapText="1"/>
    </xf>
    <xf numFmtId="0" fontId="0" fillId="10" borderId="0" xfId="0" applyFill="1" applyAlignment="1">
      <alignment vertical="center"/>
    </xf>
    <xf numFmtId="0" fontId="12" fillId="10" borderId="0" xfId="0" applyFont="1" applyFill="1" applyAlignment="1">
      <alignment vertical="center"/>
    </xf>
    <xf numFmtId="0" fontId="13" fillId="10" borderId="0" xfId="0" applyFont="1" applyFill="1"/>
    <xf numFmtId="0" fontId="12" fillId="10" borderId="0" xfId="0" applyFont="1" applyFill="1"/>
    <xf numFmtId="0" fontId="3" fillId="10" borderId="0" xfId="0" applyFont="1" applyFill="1" applyAlignment="1">
      <alignment horizontal="left" vertical="center"/>
    </xf>
    <xf numFmtId="0" fontId="7" fillId="10" borderId="0" xfId="0" applyFont="1" applyFill="1" applyAlignment="1">
      <alignment vertical="top" wrapText="1"/>
    </xf>
    <xf numFmtId="0" fontId="12" fillId="10" borderId="0" xfId="0" applyFont="1" applyFill="1" applyAlignment="1">
      <alignment horizontal="center" vertical="center" wrapText="1"/>
    </xf>
    <xf numFmtId="0" fontId="11" fillId="10" borderId="0" xfId="0" applyFont="1" applyFill="1" applyAlignment="1">
      <alignment horizontal="center"/>
    </xf>
    <xf numFmtId="3" fontId="5" fillId="10" borderId="0" xfId="0" applyNumberFormat="1" applyFont="1" applyFill="1" applyAlignment="1">
      <alignment horizontal="center"/>
    </xf>
    <xf numFmtId="9" fontId="5" fillId="10" borderId="0" xfId="0" applyNumberFormat="1" applyFont="1" applyFill="1" applyAlignment="1">
      <alignment horizontal="center"/>
    </xf>
    <xf numFmtId="0" fontId="2" fillId="10" borderId="0" xfId="0" applyFont="1" applyFill="1" applyAlignment="1">
      <alignment horizontal="left" vertical="center" wrapText="1"/>
    </xf>
    <xf numFmtId="0" fontId="7" fillId="10" borderId="0" xfId="0" applyFont="1" applyFill="1" applyAlignment="1">
      <alignment horizontal="left" vertical="center" wrapText="1"/>
    </xf>
    <xf numFmtId="0" fontId="5" fillId="10" borderId="21" xfId="0" applyFont="1" applyFill="1" applyBorder="1" applyAlignment="1">
      <alignment vertical="center" wrapText="1"/>
    </xf>
    <xf numFmtId="0" fontId="11" fillId="10" borderId="21" xfId="0" applyFont="1" applyFill="1" applyBorder="1" applyAlignment="1">
      <alignment horizontal="center" vertical="center"/>
    </xf>
    <xf numFmtId="165" fontId="5" fillId="10" borderId="1" xfId="1" applyNumberFormat="1" applyFont="1" applyFill="1" applyBorder="1" applyAlignment="1">
      <alignment horizontal="center" vertical="center"/>
    </xf>
    <xf numFmtId="165" fontId="5" fillId="10" borderId="22" xfId="1" applyNumberFormat="1" applyFont="1" applyFill="1" applyBorder="1" applyAlignment="1">
      <alignment horizontal="center" vertical="center"/>
    </xf>
    <xf numFmtId="0" fontId="5" fillId="10" borderId="23" xfId="0" applyFont="1" applyFill="1" applyBorder="1" applyAlignment="1">
      <alignment vertical="center" wrapText="1"/>
    </xf>
    <xf numFmtId="165" fontId="16" fillId="10" borderId="24" xfId="3" applyNumberFormat="1" applyFont="1" applyFill="1" applyBorder="1" applyAlignment="1" applyProtection="1">
      <alignment vertical="center"/>
    </xf>
    <xf numFmtId="165" fontId="5" fillId="10" borderId="24" xfId="1" applyNumberFormat="1" applyFont="1" applyFill="1" applyBorder="1" applyAlignment="1">
      <alignment vertical="center"/>
    </xf>
    <xf numFmtId="165" fontId="14" fillId="10" borderId="24" xfId="3" applyNumberFormat="1" applyFill="1" applyBorder="1" applyAlignment="1" applyProtection="1">
      <alignment vertical="center"/>
    </xf>
    <xf numFmtId="0" fontId="0" fillId="10" borderId="25" xfId="0" applyFill="1" applyBorder="1"/>
    <xf numFmtId="0" fontId="9" fillId="2" borderId="39" xfId="0" applyFont="1" applyFill="1" applyBorder="1" applyAlignment="1">
      <alignment horizontal="center" vertical="center"/>
    </xf>
    <xf numFmtId="0" fontId="9" fillId="2" borderId="40" xfId="0" applyFont="1" applyFill="1" applyBorder="1" applyAlignment="1">
      <alignment horizontal="center" vertical="center" wrapText="1"/>
    </xf>
    <xf numFmtId="0" fontId="9" fillId="2" borderId="41" xfId="0" applyFont="1" applyFill="1" applyBorder="1" applyAlignment="1">
      <alignment horizontal="center" vertical="center" wrapText="1"/>
    </xf>
    <xf numFmtId="0" fontId="9" fillId="2" borderId="42" xfId="0" applyFont="1" applyFill="1" applyBorder="1" applyAlignment="1">
      <alignment horizontal="center" vertical="center" wrapText="1"/>
    </xf>
    <xf numFmtId="10" fontId="5" fillId="0" borderId="21" xfId="0" applyNumberFormat="1" applyFont="1" applyBorder="1" applyAlignment="1">
      <alignment horizontal="center" vertical="center"/>
    </xf>
    <xf numFmtId="10" fontId="6" fillId="4" borderId="21" xfId="0" applyNumberFormat="1" applyFont="1" applyFill="1" applyBorder="1" applyAlignment="1">
      <alignment horizontal="center" vertical="center"/>
    </xf>
    <xf numFmtId="3" fontId="5" fillId="0" borderId="1" xfId="1" applyNumberFormat="1" applyFont="1" applyFill="1" applyBorder="1" applyAlignment="1">
      <alignment horizontal="center" vertical="center"/>
    </xf>
    <xf numFmtId="165" fontId="6" fillId="4" borderId="1" xfId="1" applyNumberFormat="1" applyFont="1" applyFill="1" applyBorder="1" applyAlignment="1">
      <alignment horizontal="center" vertical="center"/>
    </xf>
    <xf numFmtId="10" fontId="6" fillId="4" borderId="23" xfId="0" applyNumberFormat="1" applyFont="1" applyFill="1" applyBorder="1" applyAlignment="1">
      <alignment horizontal="center" vertical="center"/>
    </xf>
    <xf numFmtId="165" fontId="6" fillId="4" borderId="24" xfId="1" applyNumberFormat="1" applyFont="1" applyFill="1" applyBorder="1" applyAlignment="1">
      <alignment horizontal="center" vertical="center"/>
    </xf>
    <xf numFmtId="0" fontId="5" fillId="10" borderId="17" xfId="0" applyFont="1" applyFill="1" applyBorder="1" applyAlignment="1">
      <alignment vertical="center" wrapText="1"/>
    </xf>
    <xf numFmtId="165" fontId="5" fillId="10" borderId="13" xfId="1" applyNumberFormat="1" applyFont="1" applyFill="1" applyBorder="1"/>
    <xf numFmtId="165" fontId="5" fillId="10" borderId="18" xfId="1" applyNumberFormat="1" applyFont="1" applyFill="1" applyBorder="1"/>
    <xf numFmtId="0" fontId="9" fillId="2" borderId="43" xfId="0" applyFont="1" applyFill="1" applyBorder="1" applyAlignment="1">
      <alignment vertical="center"/>
    </xf>
    <xf numFmtId="0" fontId="9" fillId="2" borderId="44" xfId="0" applyFont="1" applyFill="1" applyBorder="1" applyAlignment="1">
      <alignment horizontal="center" vertical="center"/>
    </xf>
    <xf numFmtId="0" fontId="9" fillId="2" borderId="45" xfId="0" applyFont="1" applyFill="1" applyBorder="1" applyAlignment="1">
      <alignment horizontal="center" vertical="center"/>
    </xf>
    <xf numFmtId="0" fontId="6" fillId="10" borderId="0" xfId="0" applyFont="1" applyFill="1" applyAlignment="1">
      <alignment wrapText="1"/>
    </xf>
    <xf numFmtId="0" fontId="6" fillId="10" borderId="0" xfId="0" applyFont="1" applyFill="1" applyAlignment="1">
      <alignment horizontal="left" vertical="center"/>
    </xf>
    <xf numFmtId="0" fontId="18" fillId="10" borderId="0" xfId="0" applyFont="1" applyFill="1"/>
    <xf numFmtId="0" fontId="29" fillId="10" borderId="0" xfId="0" applyFont="1" applyFill="1"/>
    <xf numFmtId="165" fontId="2" fillId="10" borderId="1" xfId="1" applyNumberFormat="1" applyFont="1" applyFill="1" applyBorder="1" applyAlignment="1">
      <alignment horizontal="center" wrapText="1"/>
    </xf>
    <xf numFmtId="10" fontId="2" fillId="10" borderId="22" xfId="4" applyNumberFormat="1" applyFont="1" applyFill="1" applyBorder="1" applyAlignment="1">
      <alignment horizontal="center" wrapText="1"/>
    </xf>
    <xf numFmtId="165" fontId="2" fillId="10" borderId="21" xfId="1" applyNumberFormat="1" applyFont="1" applyFill="1" applyBorder="1" applyAlignment="1">
      <alignment horizontal="center" wrapText="1"/>
    </xf>
    <xf numFmtId="44" fontId="2" fillId="10" borderId="21" xfId="2" applyFont="1" applyFill="1" applyBorder="1" applyAlignment="1">
      <alignment horizontal="center" wrapText="1"/>
    </xf>
    <xf numFmtId="44" fontId="2" fillId="10" borderId="1" xfId="2" applyFont="1" applyFill="1" applyBorder="1" applyAlignment="1">
      <alignment horizontal="center" wrapText="1"/>
    </xf>
    <xf numFmtId="0" fontId="30" fillId="10" borderId="0" xfId="0" applyFont="1" applyFill="1"/>
    <xf numFmtId="165" fontId="2" fillId="10" borderId="21" xfId="1" applyNumberFormat="1" applyFont="1" applyFill="1" applyBorder="1" applyAlignment="1">
      <alignment horizontal="left" wrapText="1"/>
    </xf>
    <xf numFmtId="165" fontId="2" fillId="10" borderId="21" xfId="1" applyNumberFormat="1" applyFont="1" applyFill="1" applyBorder="1" applyAlignment="1">
      <alignment horizontal="center"/>
    </xf>
    <xf numFmtId="165" fontId="2" fillId="10" borderId="1" xfId="1" applyNumberFormat="1" applyFont="1" applyFill="1" applyBorder="1" applyAlignment="1">
      <alignment horizontal="center"/>
    </xf>
    <xf numFmtId="44" fontId="2" fillId="10" borderId="21" xfId="2" applyFont="1" applyFill="1" applyBorder="1" applyAlignment="1">
      <alignment horizontal="center"/>
    </xf>
    <xf numFmtId="44" fontId="2" fillId="10" borderId="1" xfId="2" applyFont="1" applyFill="1" applyBorder="1" applyAlignment="1">
      <alignment horizontal="center"/>
    </xf>
    <xf numFmtId="10" fontId="2" fillId="10" borderId="22" xfId="4" applyNumberFormat="1" applyFont="1" applyFill="1" applyBorder="1" applyAlignment="1">
      <alignment horizontal="center"/>
    </xf>
    <xf numFmtId="165" fontId="31" fillId="10" borderId="1" xfId="1" applyNumberFormat="1" applyFont="1" applyFill="1" applyBorder="1" applyAlignment="1">
      <alignment horizontal="left" wrapText="1"/>
    </xf>
    <xf numFmtId="10" fontId="31" fillId="10" borderId="22" xfId="4" applyNumberFormat="1" applyFont="1" applyFill="1" applyBorder="1" applyAlignment="1">
      <alignment horizontal="center"/>
    </xf>
    <xf numFmtId="44" fontId="31" fillId="10" borderId="1" xfId="2" applyFont="1" applyFill="1" applyBorder="1" applyAlignment="1">
      <alignment horizontal="left" wrapText="1"/>
    </xf>
    <xf numFmtId="0" fontId="32" fillId="10" borderId="0" xfId="0" applyFont="1" applyFill="1"/>
    <xf numFmtId="165" fontId="2" fillId="10" borderId="21" xfId="1" applyNumberFormat="1" applyFont="1" applyFill="1" applyBorder="1" applyAlignment="1">
      <alignment horizontal="left"/>
    </xf>
    <xf numFmtId="0" fontId="4" fillId="10" borderId="0" xfId="0" applyFont="1" applyFill="1" applyAlignment="1">
      <alignment horizontal="left" vertical="center" wrapText="1"/>
    </xf>
    <xf numFmtId="0" fontId="4" fillId="10" borderId="0" xfId="0" applyFont="1" applyFill="1" applyAlignment="1">
      <alignment horizontal="left" wrapText="1"/>
    </xf>
    <xf numFmtId="3" fontId="4" fillId="10" borderId="0" xfId="1" applyNumberFormat="1" applyFont="1" applyFill="1" applyBorder="1" applyAlignment="1">
      <alignment horizontal="center" vertical="center"/>
    </xf>
    <xf numFmtId="3" fontId="4" fillId="10" borderId="0" xfId="1" applyNumberFormat="1" applyFont="1" applyFill="1" applyBorder="1" applyAlignment="1">
      <alignment horizontal="center"/>
    </xf>
    <xf numFmtId="9" fontId="4" fillId="10" borderId="0" xfId="0" applyNumberFormat="1" applyFont="1" applyFill="1" applyAlignment="1">
      <alignment horizontal="center"/>
    </xf>
    <xf numFmtId="164" fontId="4" fillId="10" borderId="0" xfId="0" applyNumberFormat="1" applyFont="1" applyFill="1"/>
    <xf numFmtId="37" fontId="4" fillId="10" borderId="0" xfId="1" applyNumberFormat="1" applyFont="1" applyFill="1" applyBorder="1" applyAlignment="1">
      <alignment horizontal="center"/>
    </xf>
    <xf numFmtId="0" fontId="3" fillId="10" borderId="0" xfId="0" applyFont="1" applyFill="1" applyAlignment="1">
      <alignment horizontal="left" wrapText="1"/>
    </xf>
    <xf numFmtId="0" fontId="0" fillId="10" borderId="0" xfId="0" applyFill="1" applyAlignment="1">
      <alignment horizontal="center"/>
    </xf>
    <xf numFmtId="165" fontId="3" fillId="12" borderId="19" xfId="1" applyNumberFormat="1" applyFont="1" applyFill="1" applyBorder="1" applyAlignment="1">
      <alignment vertical="center" wrapText="1"/>
    </xf>
    <xf numFmtId="165" fontId="3" fillId="12" borderId="9" xfId="1" applyNumberFormat="1" applyFont="1" applyFill="1" applyBorder="1" applyAlignment="1">
      <alignment vertical="center" wrapText="1"/>
    </xf>
    <xf numFmtId="10" fontId="3" fillId="12" borderId="20" xfId="4" applyNumberFormat="1" applyFont="1" applyFill="1" applyBorder="1" applyAlignment="1">
      <alignment vertical="center" wrapText="1"/>
    </xf>
    <xf numFmtId="165" fontId="3" fillId="12" borderId="28" xfId="1" applyNumberFormat="1" applyFont="1" applyFill="1" applyBorder="1" applyAlignment="1">
      <alignment vertical="center" wrapText="1"/>
    </xf>
    <xf numFmtId="165" fontId="3" fillId="12" borderId="4" xfId="1" applyNumberFormat="1" applyFont="1" applyFill="1" applyBorder="1" applyAlignment="1">
      <alignment vertical="center" wrapText="1"/>
    </xf>
    <xf numFmtId="44" fontId="3" fillId="12" borderId="28" xfId="2" applyFont="1" applyFill="1" applyBorder="1" applyAlignment="1">
      <alignment vertical="center" wrapText="1"/>
    </xf>
    <xf numFmtId="44" fontId="3" fillId="12" borderId="9" xfId="2" applyFont="1" applyFill="1" applyBorder="1" applyAlignment="1">
      <alignment vertical="center" wrapText="1"/>
    </xf>
    <xf numFmtId="0" fontId="3" fillId="12" borderId="19" xfId="0" applyFont="1" applyFill="1" applyBorder="1" applyAlignment="1">
      <alignment vertical="center" wrapText="1"/>
    </xf>
    <xf numFmtId="0" fontId="3" fillId="12" borderId="9" xfId="0" applyFont="1" applyFill="1" applyBorder="1" applyAlignment="1">
      <alignment vertical="center" wrapText="1"/>
    </xf>
    <xf numFmtId="0" fontId="3" fillId="12" borderId="20" xfId="0" applyFont="1" applyFill="1" applyBorder="1" applyAlignment="1">
      <alignment vertical="center" wrapText="1"/>
    </xf>
    <xf numFmtId="165" fontId="33" fillId="6" borderId="21" xfId="1" applyNumberFormat="1" applyFont="1" applyFill="1" applyBorder="1" applyAlignment="1">
      <alignment horizontal="left"/>
    </xf>
    <xf numFmtId="165" fontId="33" fillId="6" borderId="1" xfId="1" applyNumberFormat="1" applyFont="1" applyFill="1" applyBorder="1" applyAlignment="1">
      <alignment horizontal="center"/>
    </xf>
    <xf numFmtId="10" fontId="33" fillId="6" borderId="22" xfId="4" applyNumberFormat="1" applyFont="1" applyFill="1" applyBorder="1" applyAlignment="1">
      <alignment horizontal="center"/>
    </xf>
    <xf numFmtId="44" fontId="33" fillId="6" borderId="21" xfId="2" applyFont="1" applyFill="1" applyBorder="1" applyAlignment="1">
      <alignment horizontal="left"/>
    </xf>
    <xf numFmtId="44" fontId="33" fillId="6" borderId="1" xfId="2" applyFont="1" applyFill="1" applyBorder="1" applyAlignment="1">
      <alignment horizontal="center"/>
    </xf>
    <xf numFmtId="10" fontId="2" fillId="10" borderId="8" xfId="4" applyNumberFormat="1" applyFont="1" applyFill="1" applyBorder="1" applyAlignment="1">
      <alignment horizontal="center" wrapText="1"/>
    </xf>
    <xf numFmtId="10" fontId="3" fillId="6" borderId="8" xfId="4" applyNumberFormat="1" applyFont="1" applyFill="1" applyBorder="1" applyAlignment="1">
      <alignment horizontal="center"/>
    </xf>
    <xf numFmtId="10" fontId="2" fillId="3" borderId="8" xfId="4" applyNumberFormat="1" applyFont="1" applyFill="1" applyBorder="1" applyAlignment="1">
      <alignment horizontal="center" wrapText="1"/>
    </xf>
    <xf numFmtId="10" fontId="3" fillId="12" borderId="9" xfId="4" applyNumberFormat="1" applyFont="1" applyFill="1" applyBorder="1" applyAlignment="1">
      <alignment vertical="center" wrapText="1"/>
    </xf>
    <xf numFmtId="10" fontId="2" fillId="10" borderId="8" xfId="4" applyNumberFormat="1" applyFont="1" applyFill="1" applyBorder="1" applyAlignment="1">
      <alignment horizontal="center"/>
    </xf>
    <xf numFmtId="10" fontId="33" fillId="6" borderId="8" xfId="4" applyNumberFormat="1" applyFont="1" applyFill="1" applyBorder="1" applyAlignment="1">
      <alignment horizontal="center"/>
    </xf>
    <xf numFmtId="10" fontId="4" fillId="6" borderId="8" xfId="4" applyNumberFormat="1" applyFont="1" applyFill="1" applyBorder="1" applyAlignment="1">
      <alignment horizontal="center"/>
    </xf>
    <xf numFmtId="0" fontId="5" fillId="10" borderId="0" xfId="0" applyFont="1" applyFill="1"/>
    <xf numFmtId="0" fontId="7" fillId="10" borderId="13" xfId="0" applyFont="1" applyFill="1" applyBorder="1" applyAlignment="1">
      <alignment vertical="center"/>
    </xf>
    <xf numFmtId="44" fontId="7" fillId="10" borderId="13" xfId="2" applyFont="1" applyFill="1" applyBorder="1" applyAlignment="1">
      <alignment vertical="center"/>
    </xf>
    <xf numFmtId="0" fontId="7" fillId="10" borderId="1" xfId="0" applyFont="1" applyFill="1" applyBorder="1" applyAlignment="1">
      <alignment vertical="center"/>
    </xf>
    <xf numFmtId="44" fontId="7" fillId="10" borderId="1" xfId="2" applyFont="1" applyFill="1" applyBorder="1" applyAlignment="1">
      <alignment vertical="center"/>
    </xf>
    <xf numFmtId="0" fontId="31" fillId="10" borderId="1" xfId="0" applyFont="1" applyFill="1" applyBorder="1" applyAlignment="1">
      <alignment vertical="center"/>
    </xf>
    <xf numFmtId="44" fontId="31" fillId="10" borderId="1" xfId="2" applyFont="1" applyFill="1" applyBorder="1" applyAlignment="1">
      <alignment vertical="center"/>
    </xf>
    <xf numFmtId="44" fontId="31" fillId="10" borderId="13" xfId="2" applyFont="1" applyFill="1" applyBorder="1" applyAlignment="1">
      <alignment vertical="center"/>
    </xf>
    <xf numFmtId="0" fontId="7" fillId="10" borderId="13" xfId="0" applyFont="1" applyFill="1" applyBorder="1" applyAlignment="1">
      <alignment horizontal="left" vertical="center" wrapText="1"/>
    </xf>
    <xf numFmtId="44" fontId="10" fillId="10" borderId="13" xfId="2" applyFont="1" applyFill="1" applyBorder="1" applyAlignment="1">
      <alignment horizontal="left" vertical="center"/>
    </xf>
    <xf numFmtId="0" fontId="7" fillId="10" borderId="1" xfId="0" applyFont="1" applyFill="1" applyBorder="1" applyAlignment="1">
      <alignment vertical="center" wrapText="1"/>
    </xf>
    <xf numFmtId="0" fontId="3" fillId="10" borderId="1" xfId="0" applyFont="1" applyFill="1" applyBorder="1" applyAlignment="1">
      <alignment vertical="center" wrapText="1"/>
    </xf>
    <xf numFmtId="0" fontId="10" fillId="10" borderId="0" xfId="0" applyFont="1" applyFill="1"/>
    <xf numFmtId="0" fontId="4" fillId="10" borderId="0" xfId="0" applyFont="1" applyFill="1" applyAlignment="1">
      <alignment vertical="center" wrapText="1"/>
    </xf>
    <xf numFmtId="44" fontId="3" fillId="10" borderId="1" xfId="2" applyFont="1" applyFill="1" applyBorder="1" applyAlignment="1">
      <alignment vertical="center"/>
    </xf>
    <xf numFmtId="0" fontId="3" fillId="12" borderId="8" xfId="0" applyFont="1" applyFill="1" applyBorder="1" applyAlignment="1">
      <alignment vertical="center"/>
    </xf>
    <xf numFmtId="44" fontId="3" fillId="12" borderId="9" xfId="2" applyFont="1" applyFill="1" applyBorder="1" applyAlignment="1">
      <alignment vertical="center"/>
    </xf>
    <xf numFmtId="44" fontId="3" fillId="12" borderId="10" xfId="2" applyFont="1" applyFill="1" applyBorder="1" applyAlignment="1">
      <alignment vertical="center"/>
    </xf>
    <xf numFmtId="0" fontId="10" fillId="12" borderId="8" xfId="0" applyFont="1" applyFill="1" applyBorder="1" applyAlignment="1">
      <alignment vertical="center" wrapText="1"/>
    </xf>
    <xf numFmtId="44" fontId="10" fillId="12" borderId="9" xfId="2" applyFont="1" applyFill="1" applyBorder="1" applyAlignment="1">
      <alignment vertical="center" wrapText="1"/>
    </xf>
    <xf numFmtId="44" fontId="10" fillId="12" borderId="10" xfId="2" applyFont="1" applyFill="1" applyBorder="1" applyAlignment="1">
      <alignment vertical="center" wrapText="1"/>
    </xf>
    <xf numFmtId="0" fontId="3" fillId="13" borderId="1" xfId="0" applyFont="1" applyFill="1" applyBorder="1" applyAlignment="1">
      <alignment vertical="center" wrapText="1"/>
    </xf>
    <xf numFmtId="44" fontId="4" fillId="13" borderId="1" xfId="2" applyFont="1" applyFill="1" applyBorder="1" applyAlignment="1">
      <alignment vertical="center"/>
    </xf>
    <xf numFmtId="0" fontId="17" fillId="2" borderId="6"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3" fillId="12" borderId="33" xfId="0" applyFont="1" applyFill="1" applyBorder="1" applyAlignment="1">
      <alignment vertical="center" wrapText="1"/>
    </xf>
    <xf numFmtId="0" fontId="2" fillId="10" borderId="33" xfId="0" applyFont="1" applyFill="1" applyBorder="1" applyAlignment="1">
      <alignment horizontal="left" wrapText="1"/>
    </xf>
    <xf numFmtId="0" fontId="3" fillId="6" borderId="33" xfId="0" applyFont="1" applyFill="1" applyBorder="1" applyAlignment="1">
      <alignment horizontal="left" wrapText="1"/>
    </xf>
    <xf numFmtId="0" fontId="21" fillId="3" borderId="33" xfId="0" applyFont="1" applyFill="1" applyBorder="1" applyAlignment="1">
      <alignment horizontal="right" wrapText="1"/>
    </xf>
    <xf numFmtId="0" fontId="3" fillId="4" borderId="33" xfId="0" applyFont="1" applyFill="1" applyBorder="1" applyAlignment="1">
      <alignment vertical="center" wrapText="1"/>
    </xf>
    <xf numFmtId="0" fontId="3" fillId="6" borderId="33" xfId="0" applyFont="1" applyFill="1" applyBorder="1" applyAlignment="1">
      <alignment horizontal="left" vertical="center" wrapText="1"/>
    </xf>
    <xf numFmtId="0" fontId="3" fillId="5" borderId="34" xfId="0" applyFont="1" applyFill="1" applyBorder="1" applyAlignment="1">
      <alignment horizontal="left" vertical="center" wrapText="1"/>
    </xf>
    <xf numFmtId="0" fontId="8" fillId="10" borderId="0" xfId="0" applyFont="1" applyFill="1"/>
    <xf numFmtId="0" fontId="4" fillId="10" borderId="0" xfId="0" applyFont="1" applyFill="1"/>
    <xf numFmtId="0" fontId="7" fillId="10" borderId="1" xfId="0" applyFont="1" applyFill="1" applyBorder="1"/>
    <xf numFmtId="0" fontId="2" fillId="10" borderId="1" xfId="0" applyFont="1" applyFill="1" applyBorder="1"/>
    <xf numFmtId="0" fontId="7" fillId="10" borderId="0" xfId="0" applyFont="1" applyFill="1"/>
    <xf numFmtId="3" fontId="7" fillId="10" borderId="0" xfId="0" applyNumberFormat="1" applyFont="1" applyFill="1" applyAlignment="1">
      <alignment horizontal="center"/>
    </xf>
    <xf numFmtId="1" fontId="7" fillId="10" borderId="0" xfId="0" applyNumberFormat="1" applyFont="1" applyFill="1" applyAlignment="1">
      <alignment horizontal="center"/>
    </xf>
    <xf numFmtId="0" fontId="7" fillId="10" borderId="0" xfId="0" applyFont="1" applyFill="1" applyAlignment="1">
      <alignment horizontal="center"/>
    </xf>
    <xf numFmtId="3" fontId="10" fillId="10" borderId="0" xfId="0" applyNumberFormat="1" applyFont="1" applyFill="1" applyAlignment="1">
      <alignment horizontal="center"/>
    </xf>
    <xf numFmtId="1" fontId="10" fillId="10" borderId="0" xfId="0" applyNumberFormat="1" applyFont="1" applyFill="1" applyAlignment="1">
      <alignment horizontal="center"/>
    </xf>
    <xf numFmtId="0" fontId="10" fillId="10" borderId="0" xfId="0" applyFont="1" applyFill="1" applyAlignment="1">
      <alignment horizontal="center"/>
    </xf>
    <xf numFmtId="0" fontId="15" fillId="10" borderId="0" xfId="3" applyFont="1" applyFill="1" applyAlignment="1" applyProtection="1"/>
    <xf numFmtId="0" fontId="16" fillId="10" borderId="0" xfId="3" applyFont="1" applyFill="1" applyAlignment="1" applyProtection="1"/>
    <xf numFmtId="0" fontId="7" fillId="10" borderId="0" xfId="0" applyFont="1" applyFill="1" applyAlignment="1">
      <alignment vertical="center"/>
    </xf>
    <xf numFmtId="3" fontId="19" fillId="10" borderId="0" xfId="0" applyNumberFormat="1" applyFont="1" applyFill="1" applyAlignment="1">
      <alignment vertical="center" wrapText="1"/>
    </xf>
    <xf numFmtId="0" fontId="7" fillId="10" borderId="0" xfId="0" applyFont="1" applyFill="1" applyAlignment="1">
      <alignment horizontal="center" vertical="center"/>
    </xf>
    <xf numFmtId="165" fontId="7" fillId="10" borderId="1" xfId="1" applyNumberFormat="1" applyFont="1" applyFill="1" applyBorder="1" applyAlignment="1">
      <alignment horizontal="center"/>
    </xf>
    <xf numFmtId="165" fontId="0" fillId="10" borderId="1" xfId="1" applyNumberFormat="1" applyFont="1" applyFill="1" applyBorder="1" applyAlignment="1">
      <alignment horizontal="center"/>
    </xf>
    <xf numFmtId="165" fontId="1" fillId="10" borderId="1" xfId="1" applyNumberFormat="1" applyFont="1" applyFill="1" applyBorder="1" applyAlignment="1">
      <alignment horizontal="center"/>
    </xf>
    <xf numFmtId="165" fontId="7" fillId="10" borderId="1" xfId="1" applyNumberFormat="1" applyFont="1" applyFill="1" applyBorder="1" applyAlignment="1">
      <alignment horizontal="center" wrapText="1"/>
    </xf>
    <xf numFmtId="0" fontId="5" fillId="8" borderId="1" xfId="0" quotePrefix="1" applyFont="1" applyFill="1" applyBorder="1" applyAlignment="1">
      <alignment vertical="center"/>
    </xf>
    <xf numFmtId="0" fontId="5" fillId="8" borderId="1" xfId="0" applyFont="1" applyFill="1" applyBorder="1"/>
    <xf numFmtId="0" fontId="5" fillId="10" borderId="0" xfId="0" applyFont="1" applyFill="1" applyAlignment="1">
      <alignment horizontal="center"/>
    </xf>
    <xf numFmtId="9" fontId="5" fillId="10" borderId="0" xfId="4" applyFont="1" applyFill="1"/>
    <xf numFmtId="0" fontId="5" fillId="10" borderId="0" xfId="0" quotePrefix="1" applyFont="1" applyFill="1"/>
    <xf numFmtId="0" fontId="22" fillId="10" borderId="0" xfId="0" applyFont="1" applyFill="1"/>
    <xf numFmtId="0" fontId="5" fillId="10" borderId="1" xfId="0" applyFont="1" applyFill="1" applyBorder="1" applyAlignment="1">
      <alignment horizontal="center" vertical="center"/>
    </xf>
    <xf numFmtId="0" fontId="5" fillId="10" borderId="1" xfId="0" applyFont="1" applyFill="1" applyBorder="1"/>
    <xf numFmtId="0" fontId="25" fillId="10" borderId="0" xfId="0" applyFont="1" applyFill="1"/>
    <xf numFmtId="0" fontId="25" fillId="10" borderId="0" xfId="0" applyFont="1" applyFill="1" applyAlignment="1">
      <alignment horizontal="center"/>
    </xf>
    <xf numFmtId="0" fontId="23" fillId="10" borderId="0" xfId="0" applyFont="1" applyFill="1"/>
    <xf numFmtId="0" fontId="24" fillId="10" borderId="0" xfId="0" applyFont="1" applyFill="1"/>
    <xf numFmtId="0" fontId="26" fillId="10" borderId="8" xfId="0" applyFont="1" applyFill="1" applyBorder="1" applyAlignment="1">
      <alignment vertical="center"/>
    </xf>
    <xf numFmtId="0" fontId="26" fillId="10" borderId="9" xfId="0" applyFont="1" applyFill="1" applyBorder="1" applyAlignment="1">
      <alignment vertical="center"/>
    </xf>
    <xf numFmtId="0" fontId="26" fillId="10" borderId="10" xfId="0" applyFont="1" applyFill="1" applyBorder="1" applyAlignment="1">
      <alignment vertical="center"/>
    </xf>
    <xf numFmtId="0" fontId="5" fillId="10" borderId="13" xfId="0" applyFont="1" applyFill="1" applyBorder="1" applyAlignment="1">
      <alignment horizontal="center" vertical="center"/>
    </xf>
    <xf numFmtId="0" fontId="5" fillId="9" borderId="13" xfId="0" applyFont="1" applyFill="1" applyBorder="1" applyAlignment="1">
      <alignment vertical="center"/>
    </xf>
    <xf numFmtId="0" fontId="9" fillId="11" borderId="8" xfId="0" applyFont="1" applyFill="1" applyBorder="1" applyAlignment="1">
      <alignment horizontal="left" vertical="center"/>
    </xf>
    <xf numFmtId="0" fontId="9" fillId="11" borderId="9" xfId="0" applyFont="1" applyFill="1" applyBorder="1" applyAlignment="1">
      <alignment horizontal="left" vertical="center"/>
    </xf>
    <xf numFmtId="0" fontId="9" fillId="11" borderId="10" xfId="0" applyFont="1" applyFill="1" applyBorder="1" applyAlignment="1">
      <alignment horizontal="left" vertical="center"/>
    </xf>
    <xf numFmtId="10" fontId="5" fillId="9" borderId="13" xfId="0" applyNumberFormat="1" applyFont="1" applyFill="1" applyBorder="1" applyAlignment="1">
      <alignment horizontal="right" vertical="center"/>
    </xf>
    <xf numFmtId="165" fontId="5" fillId="9" borderId="1" xfId="1" applyNumberFormat="1" applyFont="1" applyFill="1" applyBorder="1" applyAlignment="1">
      <alignment horizontal="right" vertical="center"/>
    </xf>
    <xf numFmtId="165" fontId="5" fillId="7" borderId="1" xfId="0" applyNumberFormat="1" applyFont="1" applyFill="1" applyBorder="1" applyAlignment="1">
      <alignment horizontal="right" vertical="center"/>
    </xf>
    <xf numFmtId="166" fontId="5" fillId="8" borderId="1" xfId="0" applyNumberFormat="1" applyFont="1" applyFill="1" applyBorder="1" applyAlignment="1">
      <alignment horizontal="right" vertical="center"/>
    </xf>
    <xf numFmtId="0" fontId="26" fillId="10" borderId="9" xfId="0" applyFont="1" applyFill="1" applyBorder="1" applyAlignment="1">
      <alignment horizontal="right" vertical="center"/>
    </xf>
    <xf numFmtId="10" fontId="5" fillId="7" borderId="1" xfId="0" applyNumberFormat="1" applyFont="1" applyFill="1" applyBorder="1" applyAlignment="1">
      <alignment horizontal="right" vertical="center"/>
    </xf>
    <xf numFmtId="166" fontId="5" fillId="7" borderId="1" xfId="0" applyNumberFormat="1" applyFont="1" applyFill="1" applyBorder="1" applyAlignment="1">
      <alignment horizontal="right" vertical="center"/>
    </xf>
    <xf numFmtId="165" fontId="5" fillId="8" borderId="1" xfId="0" applyNumberFormat="1" applyFont="1" applyFill="1" applyBorder="1" applyAlignment="1">
      <alignment horizontal="right" vertical="center"/>
    </xf>
    <xf numFmtId="9" fontId="6" fillId="7" borderId="1" xfId="4" applyFont="1" applyFill="1" applyBorder="1" applyAlignment="1">
      <alignment horizontal="right" vertical="center"/>
    </xf>
    <xf numFmtId="166" fontId="5" fillId="7" borderId="1" xfId="4" applyNumberFormat="1" applyFont="1" applyFill="1" applyBorder="1" applyAlignment="1">
      <alignment horizontal="right" vertical="center"/>
    </xf>
    <xf numFmtId="10" fontId="5" fillId="8" borderId="1" xfId="0" applyNumberFormat="1" applyFont="1" applyFill="1" applyBorder="1" applyAlignment="1">
      <alignment horizontal="right" vertical="center"/>
    </xf>
    <xf numFmtId="0" fontId="9" fillId="10" borderId="0" xfId="0" applyFont="1" applyFill="1" applyAlignment="1">
      <alignment horizontal="center" vertical="center" wrapText="1"/>
    </xf>
    <xf numFmtId="0" fontId="9" fillId="2" borderId="29" xfId="0" applyFont="1" applyFill="1" applyBorder="1" applyAlignment="1">
      <alignment horizontal="center" vertical="center"/>
    </xf>
    <xf numFmtId="0" fontId="11" fillId="0" borderId="21" xfId="0" applyFont="1" applyBorder="1" applyAlignment="1">
      <alignment horizontal="center" vertical="center" wrapText="1"/>
    </xf>
    <xf numFmtId="0" fontId="12" fillId="13" borderId="21" xfId="0" applyFont="1" applyFill="1" applyBorder="1" applyAlignment="1">
      <alignment horizontal="center" vertical="center" wrapText="1"/>
    </xf>
    <xf numFmtId="0" fontId="12" fillId="13" borderId="23" xfId="0" applyFont="1" applyFill="1" applyBorder="1" applyAlignment="1">
      <alignment horizontal="center" vertical="center" wrapText="1"/>
    </xf>
    <xf numFmtId="0" fontId="17" fillId="2" borderId="31" xfId="0" applyFont="1" applyFill="1" applyBorder="1" applyAlignment="1">
      <alignment horizontal="center" vertical="center" wrapText="1"/>
    </xf>
    <xf numFmtId="44" fontId="11" fillId="10" borderId="1" xfId="2" applyFont="1" applyFill="1" applyBorder="1" applyAlignment="1">
      <alignment horizontal="center"/>
    </xf>
    <xf numFmtId="44" fontId="5" fillId="10" borderId="1" xfId="2" applyFont="1" applyFill="1" applyBorder="1" applyAlignment="1">
      <alignment horizontal="center"/>
    </xf>
    <xf numFmtId="44" fontId="5" fillId="10" borderId="22" xfId="2" applyFont="1" applyFill="1" applyBorder="1" applyAlignment="1">
      <alignment horizontal="center"/>
    </xf>
    <xf numFmtId="44" fontId="11" fillId="10" borderId="1" xfId="2" applyFont="1" applyFill="1" applyBorder="1" applyAlignment="1">
      <alignment horizontal="center" vertical="center"/>
    </xf>
    <xf numFmtId="44" fontId="5" fillId="10" borderId="1" xfId="2" applyFont="1" applyFill="1" applyBorder="1" applyAlignment="1">
      <alignment horizontal="center" vertical="center"/>
    </xf>
    <xf numFmtId="44" fontId="11" fillId="13" borderId="1" xfId="2" applyFont="1" applyFill="1" applyBorder="1" applyAlignment="1">
      <alignment horizontal="center"/>
    </xf>
    <xf numFmtId="44" fontId="11" fillId="13" borderId="22" xfId="2" applyFont="1" applyFill="1" applyBorder="1" applyAlignment="1">
      <alignment horizontal="center"/>
    </xf>
    <xf numFmtId="44" fontId="11" fillId="13" borderId="24" xfId="2" applyFont="1" applyFill="1" applyBorder="1" applyAlignment="1">
      <alignment horizontal="center"/>
    </xf>
    <xf numFmtId="44" fontId="11" fillId="13" borderId="25" xfId="2" applyFont="1" applyFill="1" applyBorder="1" applyAlignment="1">
      <alignment horizontal="center"/>
    </xf>
    <xf numFmtId="168" fontId="5" fillId="10" borderId="22" xfId="4" applyNumberFormat="1" applyFont="1" applyFill="1" applyBorder="1" applyAlignment="1">
      <alignment horizontal="center"/>
    </xf>
    <xf numFmtId="168" fontId="5" fillId="13" borderId="25" xfId="4" applyNumberFormat="1" applyFont="1" applyFill="1" applyBorder="1" applyAlignment="1">
      <alignment horizontal="center"/>
    </xf>
    <xf numFmtId="168" fontId="3" fillId="10" borderId="1" xfId="4" applyNumberFormat="1" applyFont="1" applyFill="1" applyBorder="1" applyAlignment="1">
      <alignment vertical="center"/>
    </xf>
    <xf numFmtId="0" fontId="17" fillId="2" borderId="8" xfId="0" applyFont="1" applyFill="1" applyBorder="1" applyAlignment="1">
      <alignment horizontal="center" vertical="center" wrapText="1"/>
    </xf>
    <xf numFmtId="0" fontId="17" fillId="2" borderId="29" xfId="0" applyFont="1" applyFill="1" applyBorder="1" applyAlignment="1">
      <alignment horizontal="center" vertical="center" wrapText="1"/>
    </xf>
    <xf numFmtId="0" fontId="17" fillId="2" borderId="30" xfId="0" applyFont="1" applyFill="1" applyBorder="1" applyAlignment="1">
      <alignment horizontal="center" vertical="center" wrapText="1"/>
    </xf>
    <xf numFmtId="44" fontId="3" fillId="10" borderId="0" xfId="0" applyNumberFormat="1" applyFont="1" applyFill="1" applyAlignment="1">
      <alignment horizontal="center"/>
    </xf>
    <xf numFmtId="3" fontId="5" fillId="10" borderId="1" xfId="0" applyNumberFormat="1" applyFont="1" applyFill="1" applyBorder="1" applyAlignment="1">
      <alignment horizontal="center" vertical="center"/>
    </xf>
    <xf numFmtId="169" fontId="0" fillId="10" borderId="0" xfId="0" applyNumberFormat="1" applyFill="1"/>
    <xf numFmtId="165" fontId="2" fillId="10" borderId="10" xfId="1" applyNumberFormat="1" applyFont="1" applyFill="1" applyBorder="1" applyAlignment="1">
      <alignment horizontal="center"/>
    </xf>
    <xf numFmtId="44" fontId="2" fillId="0" borderId="21" xfId="2" applyFont="1" applyFill="1" applyBorder="1" applyAlignment="1">
      <alignment horizontal="center"/>
    </xf>
    <xf numFmtId="43" fontId="0" fillId="10" borderId="0" xfId="1" applyFont="1" applyFill="1"/>
    <xf numFmtId="43" fontId="0" fillId="10" borderId="0" xfId="0" applyNumberFormat="1" applyFill="1"/>
    <xf numFmtId="165" fontId="7" fillId="0" borderId="1" xfId="1" applyNumberFormat="1" applyFont="1" applyFill="1" applyBorder="1" applyAlignment="1">
      <alignment horizontal="center"/>
    </xf>
    <xf numFmtId="0" fontId="9" fillId="11" borderId="8" xfId="0" applyFont="1" applyFill="1" applyBorder="1" applyAlignment="1">
      <alignment horizontal="left" vertical="top"/>
    </xf>
    <xf numFmtId="0" fontId="9" fillId="11" borderId="9" xfId="0" applyFont="1" applyFill="1" applyBorder="1" applyAlignment="1">
      <alignment horizontal="left" vertical="top"/>
    </xf>
    <xf numFmtId="0" fontId="9" fillId="11" borderId="9" xfId="0" applyFont="1" applyFill="1" applyBorder="1" applyAlignment="1">
      <alignment horizontal="right" vertical="top"/>
    </xf>
    <xf numFmtId="0" fontId="9" fillId="11" borderId="10" xfId="0" applyFont="1" applyFill="1" applyBorder="1" applyAlignment="1">
      <alignment horizontal="left" vertical="top"/>
    </xf>
    <xf numFmtId="44" fontId="5" fillId="0" borderId="1" xfId="2" applyFont="1" applyFill="1" applyBorder="1" applyAlignment="1">
      <alignment horizontal="center"/>
    </xf>
    <xf numFmtId="44" fontId="7" fillId="0" borderId="13" xfId="2" applyFont="1" applyFill="1" applyBorder="1" applyAlignment="1">
      <alignment horizontal="left" vertical="center"/>
    </xf>
    <xf numFmtId="44" fontId="7" fillId="0" borderId="1" xfId="2" applyFont="1" applyFill="1" applyBorder="1" applyAlignment="1">
      <alignment vertical="center"/>
    </xf>
    <xf numFmtId="165" fontId="0" fillId="0" borderId="1" xfId="1" applyNumberFormat="1" applyFont="1" applyFill="1" applyBorder="1" applyAlignment="1">
      <alignment horizontal="center"/>
    </xf>
    <xf numFmtId="164" fontId="4" fillId="5" borderId="23" xfId="2" applyNumberFormat="1" applyFont="1" applyFill="1" applyBorder="1" applyAlignment="1">
      <alignment horizontal="left" vertical="center" wrapText="1"/>
    </xf>
    <xf numFmtId="164" fontId="4" fillId="5" borderId="24" xfId="2" applyNumberFormat="1" applyFont="1" applyFill="1" applyBorder="1" applyAlignment="1">
      <alignment horizontal="center" vertical="center"/>
    </xf>
    <xf numFmtId="165" fontId="0" fillId="10" borderId="0" xfId="0" applyNumberFormat="1" applyFill="1"/>
    <xf numFmtId="165" fontId="2" fillId="10" borderId="21" xfId="1" applyNumberFormat="1" applyFont="1" applyFill="1" applyBorder="1" applyAlignment="1">
      <alignment horizontal="center" vertical="center" wrapText="1"/>
    </xf>
    <xf numFmtId="165" fontId="4" fillId="6" borderId="1" xfId="1" applyNumberFormat="1" applyFont="1" applyFill="1" applyBorder="1" applyAlignment="1">
      <alignment horizontal="center"/>
    </xf>
    <xf numFmtId="44" fontId="2" fillId="3" borderId="21" xfId="2" applyFont="1" applyFill="1" applyBorder="1" applyAlignment="1">
      <alignment horizontal="center" wrapText="1"/>
    </xf>
    <xf numFmtId="44" fontId="2" fillId="3" borderId="1" xfId="2" applyFont="1" applyFill="1" applyBorder="1" applyAlignment="1">
      <alignment horizontal="center" wrapText="1"/>
    </xf>
    <xf numFmtId="44" fontId="2" fillId="3" borderId="1" xfId="2" applyFont="1" applyFill="1" applyBorder="1" applyAlignment="1">
      <alignment horizontal="center"/>
    </xf>
    <xf numFmtId="165" fontId="2" fillId="3" borderId="1" xfId="1" applyNumberFormat="1" applyFont="1" applyFill="1" applyBorder="1" applyAlignment="1">
      <alignment horizontal="center" wrapText="1"/>
    </xf>
    <xf numFmtId="165" fontId="2" fillId="3" borderId="1" xfId="1" applyNumberFormat="1" applyFont="1" applyFill="1" applyBorder="1" applyAlignment="1">
      <alignment horizontal="center"/>
    </xf>
    <xf numFmtId="10" fontId="0" fillId="10" borderId="0" xfId="0" applyNumberFormat="1" applyFill="1"/>
    <xf numFmtId="0" fontId="41" fillId="10" borderId="0" xfId="0" applyFont="1" applyFill="1"/>
    <xf numFmtId="165" fontId="2" fillId="10" borderId="1" xfId="1" applyNumberFormat="1" applyFont="1" applyFill="1" applyBorder="1" applyAlignment="1">
      <alignment horizontal="left" wrapText="1"/>
    </xf>
    <xf numFmtId="44" fontId="2" fillId="10" borderId="10" xfId="2" applyFont="1" applyFill="1" applyBorder="1" applyAlignment="1">
      <alignment horizontal="left" wrapText="1"/>
    </xf>
    <xf numFmtId="44" fontId="2" fillId="10" borderId="1" xfId="2" applyFont="1" applyFill="1" applyBorder="1" applyAlignment="1">
      <alignment horizontal="left" wrapText="1"/>
    </xf>
    <xf numFmtId="165" fontId="31" fillId="10" borderId="19" xfId="1" applyNumberFormat="1" applyFont="1" applyFill="1" applyBorder="1" applyAlignment="1">
      <alignment horizontal="left" wrapText="1"/>
    </xf>
    <xf numFmtId="10" fontId="31" fillId="10" borderId="8" xfId="4" applyNumberFormat="1" applyFont="1" applyFill="1" applyBorder="1" applyAlignment="1">
      <alignment horizontal="center"/>
    </xf>
    <xf numFmtId="44" fontId="31" fillId="10" borderId="19" xfId="2" applyFont="1" applyFill="1" applyBorder="1" applyAlignment="1">
      <alignment horizontal="left" wrapText="1"/>
    </xf>
    <xf numFmtId="167" fontId="31" fillId="10" borderId="33" xfId="1" applyNumberFormat="1" applyFont="1" applyFill="1" applyBorder="1" applyAlignment="1">
      <alignment horizontal="left" wrapText="1"/>
    </xf>
    <xf numFmtId="165" fontId="42" fillId="10" borderId="21" xfId="1" applyNumberFormat="1" applyFont="1" applyFill="1" applyBorder="1" applyAlignment="1">
      <alignment horizontal="left" wrapText="1"/>
    </xf>
    <xf numFmtId="165" fontId="42" fillId="10" borderId="1" xfId="1" applyNumberFormat="1" applyFont="1" applyFill="1" applyBorder="1" applyAlignment="1">
      <alignment horizontal="left" wrapText="1"/>
    </xf>
    <xf numFmtId="10" fontId="42" fillId="10" borderId="22" xfId="4" applyNumberFormat="1" applyFont="1" applyFill="1" applyBorder="1" applyAlignment="1">
      <alignment horizontal="center"/>
    </xf>
    <xf numFmtId="165" fontId="42" fillId="10" borderId="10" xfId="1" applyNumberFormat="1" applyFont="1" applyFill="1" applyBorder="1" applyAlignment="1">
      <alignment horizontal="left" wrapText="1"/>
    </xf>
    <xf numFmtId="44" fontId="42" fillId="10" borderId="9" xfId="2" applyFont="1" applyFill="1" applyBorder="1" applyAlignment="1">
      <alignment horizontal="left" wrapText="1"/>
    </xf>
    <xf numFmtId="44" fontId="42" fillId="10" borderId="1" xfId="2" applyFont="1" applyFill="1" applyBorder="1" applyAlignment="1">
      <alignment horizontal="left" wrapText="1"/>
    </xf>
    <xf numFmtId="44" fontId="42" fillId="10" borderId="10" xfId="2" applyFont="1" applyFill="1" applyBorder="1" applyAlignment="1">
      <alignment horizontal="left" wrapText="1"/>
    </xf>
    <xf numFmtId="167" fontId="31" fillId="0" borderId="33" xfId="1" applyNumberFormat="1" applyFont="1" applyFill="1" applyBorder="1" applyAlignment="1">
      <alignment horizontal="left" wrapText="1"/>
    </xf>
    <xf numFmtId="0" fontId="5" fillId="8" borderId="1" xfId="0" applyFont="1" applyFill="1" applyBorder="1" applyAlignment="1">
      <alignment horizontal="center" vertical="center"/>
    </xf>
    <xf numFmtId="165" fontId="4" fillId="6" borderId="21" xfId="1" applyNumberFormat="1" applyFont="1" applyFill="1" applyBorder="1" applyAlignment="1">
      <alignment horizontal="left"/>
    </xf>
    <xf numFmtId="8" fontId="2" fillId="3" borderId="21" xfId="2" applyNumberFormat="1" applyFont="1" applyFill="1" applyBorder="1" applyAlignment="1">
      <alignment horizontal="center" wrapText="1"/>
    </xf>
    <xf numFmtId="165" fontId="0" fillId="10" borderId="0" xfId="0" applyNumberFormat="1" applyFill="1" applyAlignment="1">
      <alignment vertical="center"/>
    </xf>
    <xf numFmtId="165" fontId="2" fillId="3" borderId="21" xfId="1" applyNumberFormat="1" applyFont="1" applyFill="1" applyBorder="1" applyAlignment="1">
      <alignment horizontal="left" wrapText="1"/>
    </xf>
    <xf numFmtId="165" fontId="2" fillId="3" borderId="21" xfId="1" applyNumberFormat="1" applyFont="1" applyFill="1" applyBorder="1" applyAlignment="1">
      <alignment horizontal="center"/>
    </xf>
    <xf numFmtId="44" fontId="40" fillId="3" borderId="10" xfId="0" applyNumberFormat="1" applyFont="1" applyFill="1" applyBorder="1"/>
    <xf numFmtId="165" fontId="43" fillId="6" borderId="21" xfId="1" applyNumberFormat="1" applyFont="1" applyFill="1" applyBorder="1" applyAlignment="1">
      <alignment horizontal="left"/>
    </xf>
    <xf numFmtId="0" fontId="7" fillId="10" borderId="1" xfId="0" applyFont="1" applyFill="1" applyBorder="1" applyAlignment="1">
      <alignment horizontal="left" vertical="center" wrapText="1"/>
    </xf>
    <xf numFmtId="0" fontId="11" fillId="10" borderId="3" xfId="0" applyFont="1" applyFill="1" applyBorder="1" applyAlignment="1">
      <alignment horizontal="left" vertical="center" wrapText="1"/>
    </xf>
    <xf numFmtId="0" fontId="11" fillId="10" borderId="4" xfId="0" applyFont="1" applyFill="1" applyBorder="1" applyAlignment="1">
      <alignment horizontal="left" vertical="center" wrapText="1"/>
    </xf>
    <xf numFmtId="0" fontId="11" fillId="10" borderId="5" xfId="0" applyFont="1" applyFill="1" applyBorder="1" applyAlignment="1">
      <alignment horizontal="left" vertical="center" wrapText="1"/>
    </xf>
    <xf numFmtId="0" fontId="11" fillId="10" borderId="6" xfId="0" applyFont="1" applyFill="1" applyBorder="1" applyAlignment="1">
      <alignment horizontal="left" vertical="center" wrapText="1"/>
    </xf>
    <xf numFmtId="0" fontId="11" fillId="10" borderId="2" xfId="0" applyFont="1" applyFill="1" applyBorder="1" applyAlignment="1">
      <alignment horizontal="left" vertical="center" wrapText="1"/>
    </xf>
    <xf numFmtId="0" fontId="11" fillId="10" borderId="7" xfId="0" applyFont="1" applyFill="1" applyBorder="1" applyAlignment="1">
      <alignment horizontal="left" vertical="center" wrapText="1"/>
    </xf>
    <xf numFmtId="0" fontId="5" fillId="10" borderId="1" xfId="0" applyFont="1" applyFill="1" applyBorder="1" applyAlignment="1">
      <alignment horizontal="left" vertical="center" wrapText="1"/>
    </xf>
    <xf numFmtId="0" fontId="7" fillId="10" borderId="3" xfId="0" applyFont="1" applyFill="1" applyBorder="1" applyAlignment="1">
      <alignment horizontal="left" vertical="center" wrapText="1"/>
    </xf>
    <xf numFmtId="0" fontId="7" fillId="10" borderId="4" xfId="0" applyFont="1" applyFill="1" applyBorder="1" applyAlignment="1">
      <alignment horizontal="left" vertical="center" wrapText="1"/>
    </xf>
    <xf numFmtId="0" fontId="7" fillId="10" borderId="5" xfId="0" applyFont="1" applyFill="1" applyBorder="1" applyAlignment="1">
      <alignment horizontal="left" vertical="center" wrapText="1"/>
    </xf>
    <xf numFmtId="0" fontId="7" fillId="10" borderId="6" xfId="0" applyFont="1" applyFill="1" applyBorder="1" applyAlignment="1">
      <alignment horizontal="left" vertical="center" wrapText="1"/>
    </xf>
    <xf numFmtId="0" fontId="7" fillId="10" borderId="2" xfId="0" applyFont="1" applyFill="1" applyBorder="1" applyAlignment="1">
      <alignment horizontal="left" vertical="center" wrapText="1"/>
    </xf>
    <xf numFmtId="0" fontId="7" fillId="10" borderId="7" xfId="0" applyFont="1" applyFill="1" applyBorder="1" applyAlignment="1">
      <alignment horizontal="left" vertical="center" wrapText="1"/>
    </xf>
    <xf numFmtId="0" fontId="2" fillId="10" borderId="8" xfId="0" applyFont="1" applyFill="1" applyBorder="1" applyAlignment="1">
      <alignment horizontal="left" vertical="center" wrapText="1"/>
    </xf>
    <xf numFmtId="0" fontId="2" fillId="10" borderId="9" xfId="0" applyFont="1" applyFill="1" applyBorder="1" applyAlignment="1">
      <alignment horizontal="left" vertical="center" wrapText="1"/>
    </xf>
    <xf numFmtId="0" fontId="2" fillId="10" borderId="10" xfId="0" applyFont="1" applyFill="1" applyBorder="1" applyAlignment="1">
      <alignment horizontal="left" vertical="center" wrapText="1"/>
    </xf>
    <xf numFmtId="0" fontId="7" fillId="10" borderId="8" xfId="0" applyFont="1" applyFill="1" applyBorder="1" applyAlignment="1">
      <alignment horizontal="left" vertical="center" wrapText="1"/>
    </xf>
    <xf numFmtId="0" fontId="7" fillId="10" borderId="9" xfId="0" applyFont="1" applyFill="1" applyBorder="1" applyAlignment="1">
      <alignment horizontal="left" vertical="center" wrapText="1"/>
    </xf>
    <xf numFmtId="0" fontId="7" fillId="10" borderId="10" xfId="0" applyFont="1" applyFill="1" applyBorder="1" applyAlignment="1">
      <alignment horizontal="left" vertical="center" wrapText="1"/>
    </xf>
    <xf numFmtId="0" fontId="7" fillId="10" borderId="14" xfId="0" applyFont="1" applyFill="1" applyBorder="1" applyAlignment="1">
      <alignment horizontal="center" vertical="center" wrapText="1"/>
    </xf>
    <xf numFmtId="0" fontId="7" fillId="10" borderId="15" xfId="0" applyFont="1" applyFill="1" applyBorder="1" applyAlignment="1">
      <alignment horizontal="center" vertical="center" wrapText="1"/>
    </xf>
    <xf numFmtId="0" fontId="7" fillId="10" borderId="16" xfId="0" applyFont="1" applyFill="1" applyBorder="1" applyAlignment="1">
      <alignment horizontal="center" vertical="center" wrapText="1"/>
    </xf>
    <xf numFmtId="0" fontId="6" fillId="10" borderId="3" xfId="0" applyFont="1" applyFill="1" applyBorder="1" applyAlignment="1">
      <alignment horizontal="left" vertical="center" wrapText="1"/>
    </xf>
    <xf numFmtId="0" fontId="6" fillId="10" borderId="4" xfId="0" applyFont="1" applyFill="1" applyBorder="1" applyAlignment="1">
      <alignment horizontal="left" vertical="center" wrapText="1"/>
    </xf>
    <xf numFmtId="0" fontId="6" fillId="10" borderId="5" xfId="0" applyFont="1" applyFill="1" applyBorder="1" applyAlignment="1">
      <alignment horizontal="left" vertical="center" wrapText="1"/>
    </xf>
    <xf numFmtId="0" fontId="6" fillId="10" borderId="11" xfId="0" applyFont="1" applyFill="1" applyBorder="1" applyAlignment="1">
      <alignment horizontal="left" vertical="center" wrapText="1"/>
    </xf>
    <xf numFmtId="0" fontId="6" fillId="10" borderId="0" xfId="0" applyFont="1" applyFill="1" applyAlignment="1">
      <alignment horizontal="left" vertical="center" wrapText="1"/>
    </xf>
    <xf numFmtId="0" fontId="6" fillId="10" borderId="12" xfId="0" applyFont="1" applyFill="1" applyBorder="1" applyAlignment="1">
      <alignment horizontal="left" vertical="center" wrapText="1"/>
    </xf>
    <xf numFmtId="0" fontId="6" fillId="10" borderId="6" xfId="0" applyFont="1" applyFill="1" applyBorder="1" applyAlignment="1">
      <alignment horizontal="left" vertical="center" wrapText="1"/>
    </xf>
    <xf numFmtId="0" fontId="6" fillId="10" borderId="2" xfId="0" applyFont="1" applyFill="1" applyBorder="1" applyAlignment="1">
      <alignment horizontal="left" vertical="center" wrapText="1"/>
    </xf>
    <xf numFmtId="0" fontId="6" fillId="10" borderId="7" xfId="0" applyFont="1" applyFill="1" applyBorder="1" applyAlignment="1">
      <alignment horizontal="left" vertical="center" wrapText="1"/>
    </xf>
    <xf numFmtId="0" fontId="6" fillId="10" borderId="1" xfId="0" applyFont="1" applyFill="1" applyBorder="1" applyAlignment="1">
      <alignment horizontal="left" vertical="center"/>
    </xf>
    <xf numFmtId="0" fontId="5" fillId="10" borderId="8" xfId="0" applyFont="1" applyFill="1" applyBorder="1" applyAlignment="1">
      <alignment horizontal="left" vertical="center" wrapText="1"/>
    </xf>
    <xf numFmtId="0" fontId="5" fillId="10" borderId="10" xfId="0" applyFont="1" applyFill="1" applyBorder="1" applyAlignment="1">
      <alignment horizontal="left" vertical="center" wrapText="1"/>
    </xf>
    <xf numFmtId="0" fontId="5" fillId="10" borderId="8" xfId="0" applyFont="1" applyFill="1" applyBorder="1" applyAlignment="1">
      <alignment horizontal="left" vertical="center"/>
    </xf>
    <xf numFmtId="0" fontId="5" fillId="10" borderId="10" xfId="0" applyFont="1" applyFill="1" applyBorder="1" applyAlignment="1">
      <alignment horizontal="left" vertical="center"/>
    </xf>
    <xf numFmtId="0" fontId="5" fillId="10" borderId="6" xfId="0" applyFont="1" applyFill="1" applyBorder="1" applyAlignment="1">
      <alignment horizontal="left" vertical="center"/>
    </xf>
    <xf numFmtId="0" fontId="5" fillId="10" borderId="7" xfId="0" applyFont="1" applyFill="1" applyBorder="1" applyAlignment="1">
      <alignment horizontal="left" vertical="center"/>
    </xf>
    <xf numFmtId="0" fontId="6" fillId="8" borderId="1" xfId="0" applyFont="1" applyFill="1" applyBorder="1" applyAlignment="1">
      <alignment horizontal="left" vertical="center" wrapText="1"/>
    </xf>
    <xf numFmtId="0" fontId="6" fillId="9" borderId="1" xfId="0" applyFont="1" applyFill="1" applyBorder="1" applyAlignment="1">
      <alignment horizontal="left" vertical="center" wrapText="1"/>
    </xf>
    <xf numFmtId="0" fontId="6" fillId="7" borderId="1" xfId="0" applyFont="1" applyFill="1" applyBorder="1" applyAlignment="1">
      <alignment horizontal="left" vertical="center" wrapText="1"/>
    </xf>
    <xf numFmtId="0" fontId="6" fillId="10" borderId="8" xfId="0" applyFont="1" applyFill="1" applyBorder="1" applyAlignment="1">
      <alignment horizontal="left" vertical="center" wrapText="1"/>
    </xf>
    <xf numFmtId="0" fontId="6" fillId="10" borderId="10" xfId="0" applyFont="1" applyFill="1" applyBorder="1" applyAlignment="1">
      <alignment horizontal="left" vertical="center" wrapText="1"/>
    </xf>
    <xf numFmtId="0" fontId="28" fillId="10" borderId="8" xfId="0" applyFont="1" applyFill="1" applyBorder="1" applyAlignment="1">
      <alignment horizontal="right" vertical="center"/>
    </xf>
    <xf numFmtId="0" fontId="28" fillId="10" borderId="10" xfId="0" applyFont="1" applyFill="1" applyBorder="1" applyAlignment="1">
      <alignment horizontal="right" vertical="center"/>
    </xf>
    <xf numFmtId="0" fontId="26" fillId="10" borderId="8" xfId="0" applyFont="1" applyFill="1" applyBorder="1" applyAlignment="1">
      <alignment horizontal="left" vertical="center"/>
    </xf>
    <xf numFmtId="0" fontId="26" fillId="10" borderId="10" xfId="0" applyFont="1" applyFill="1" applyBorder="1" applyAlignment="1">
      <alignment horizontal="left" vertical="center"/>
    </xf>
    <xf numFmtId="0" fontId="5" fillId="8" borderId="8" xfId="0" applyFont="1" applyFill="1" applyBorder="1" applyAlignment="1">
      <alignment horizontal="left" vertical="center"/>
    </xf>
    <xf numFmtId="0" fontId="5" fillId="8" borderId="10" xfId="0" applyFont="1" applyFill="1" applyBorder="1" applyAlignment="1">
      <alignment horizontal="left" vertical="center"/>
    </xf>
    <xf numFmtId="0" fontId="5" fillId="10" borderId="8" xfId="0" applyFont="1" applyFill="1" applyBorder="1" applyAlignment="1">
      <alignment horizontal="left"/>
    </xf>
    <xf numFmtId="0" fontId="5" fillId="10" borderId="10" xfId="0" applyFont="1" applyFill="1" applyBorder="1" applyAlignment="1">
      <alignment horizontal="left"/>
    </xf>
    <xf numFmtId="0" fontId="11" fillId="10" borderId="36" xfId="0" applyFont="1" applyFill="1" applyBorder="1" applyAlignment="1">
      <alignment horizontal="left" vertical="center"/>
    </xf>
    <xf numFmtId="0" fontId="11" fillId="10" borderId="37" xfId="0" applyFont="1" applyFill="1" applyBorder="1" applyAlignment="1">
      <alignment horizontal="left" vertical="center"/>
    </xf>
    <xf numFmtId="0" fontId="11" fillId="10" borderId="38" xfId="0" applyFont="1" applyFill="1" applyBorder="1" applyAlignment="1">
      <alignment horizontal="left" vertical="center"/>
    </xf>
    <xf numFmtId="0" fontId="6" fillId="10" borderId="1" xfId="0" applyFont="1" applyFill="1" applyBorder="1" applyAlignment="1">
      <alignment horizontal="left" vertical="center" wrapText="1"/>
    </xf>
    <xf numFmtId="0" fontId="2" fillId="10" borderId="1" xfId="0" applyFont="1" applyFill="1" applyBorder="1" applyAlignment="1">
      <alignment horizontal="left" vertical="center" wrapText="1"/>
    </xf>
    <xf numFmtId="0" fontId="7" fillId="10" borderId="3" xfId="0" applyFont="1" applyFill="1" applyBorder="1" applyAlignment="1">
      <alignment horizontal="left" vertical="top" wrapText="1"/>
    </xf>
    <xf numFmtId="0" fontId="7" fillId="10" borderId="4" xfId="0" applyFont="1" applyFill="1" applyBorder="1" applyAlignment="1">
      <alignment horizontal="left" vertical="top" wrapText="1"/>
    </xf>
    <xf numFmtId="0" fontId="7" fillId="10" borderId="5" xfId="0" applyFont="1" applyFill="1" applyBorder="1" applyAlignment="1">
      <alignment horizontal="left" vertical="top" wrapText="1"/>
    </xf>
    <xf numFmtId="0" fontId="11" fillId="10" borderId="14" xfId="0" applyFont="1" applyFill="1" applyBorder="1" applyAlignment="1">
      <alignment horizontal="center" vertical="center"/>
    </xf>
    <xf numFmtId="0" fontId="11" fillId="10" borderId="15" xfId="0" applyFont="1" applyFill="1" applyBorder="1" applyAlignment="1">
      <alignment horizontal="center" vertical="center"/>
    </xf>
    <xf numFmtId="0" fontId="11" fillId="10" borderId="16" xfId="0" applyFont="1" applyFill="1" applyBorder="1" applyAlignment="1">
      <alignment horizontal="center" vertical="center"/>
    </xf>
    <xf numFmtId="0" fontId="7" fillId="10" borderId="8" xfId="0" applyFont="1" applyFill="1" applyBorder="1" applyAlignment="1">
      <alignment horizontal="left" vertical="top" wrapText="1"/>
    </xf>
    <xf numFmtId="0" fontId="7" fillId="10" borderId="9" xfId="0" applyFont="1" applyFill="1" applyBorder="1" applyAlignment="1">
      <alignment horizontal="left" vertical="top" wrapText="1"/>
    </xf>
    <xf numFmtId="0" fontId="7" fillId="10" borderId="10" xfId="0" applyFont="1" applyFill="1" applyBorder="1" applyAlignment="1">
      <alignment horizontal="left" vertical="top" wrapText="1"/>
    </xf>
    <xf numFmtId="0" fontId="2" fillId="10" borderId="8" xfId="0" applyFont="1" applyFill="1" applyBorder="1" applyAlignment="1">
      <alignment horizontal="left" vertical="center"/>
    </xf>
    <xf numFmtId="0" fontId="2" fillId="10" borderId="9" xfId="0" applyFont="1" applyFill="1" applyBorder="1" applyAlignment="1">
      <alignment horizontal="left" vertical="center"/>
    </xf>
    <xf numFmtId="0" fontId="2" fillId="10" borderId="10" xfId="0" applyFont="1" applyFill="1" applyBorder="1" applyAlignment="1">
      <alignment horizontal="left" vertical="center"/>
    </xf>
    <xf numFmtId="0" fontId="7" fillId="10" borderId="1" xfId="0" applyFont="1" applyFill="1" applyBorder="1" applyAlignment="1">
      <alignment horizontal="left" vertical="top" wrapText="1"/>
    </xf>
    <xf numFmtId="0" fontId="0" fillId="10" borderId="14" xfId="0" applyFill="1" applyBorder="1" applyAlignment="1">
      <alignment horizontal="center" vertical="center"/>
    </xf>
    <xf numFmtId="0" fontId="0" fillId="10" borderId="15" xfId="0" applyFill="1" applyBorder="1" applyAlignment="1">
      <alignment horizontal="center" vertical="center"/>
    </xf>
    <xf numFmtId="0" fontId="0" fillId="10" borderId="16" xfId="0" applyFill="1" applyBorder="1" applyAlignment="1">
      <alignment horizontal="center" vertical="center"/>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2" defaultPivotStyle="PivotStyleLight16"/>
  <colors>
    <mruColors>
      <color rgb="FF656565"/>
      <color rgb="FFA6A6A6"/>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ilsagfiles.org/SAG_files/Evaluation_Documents/TRC_Reports/DCEO/Department_of_Commerce_Cost_Effectiveness_Report_EPY7-GPY4_Final_Report.pdf" TargetMode="External"/><Relationship Id="rId7" Type="http://schemas.openxmlformats.org/officeDocument/2006/relationships/printerSettings" Target="../printerSettings/printerSettings4.bin"/><Relationship Id="rId2" Type="http://schemas.openxmlformats.org/officeDocument/2006/relationships/hyperlink" Target="https://www.icc.illinois.gov/downloads/public/edocket/303831.pdf" TargetMode="External"/><Relationship Id="rId1" Type="http://schemas.openxmlformats.org/officeDocument/2006/relationships/hyperlink" Target="http://ilsagfiles.org/SAG_files/Evaluation_Documents/TRC_Reports/Ameren_IL/AIU_PY1_Cost-effectiveness_analysis_only.pdf" TargetMode="External"/><Relationship Id="rId6" Type="http://schemas.openxmlformats.org/officeDocument/2006/relationships/hyperlink" Target="http://ilsagfiles.org/SAG_files/Evaluation_Documents/TRC_Reports/DCEO/Department_of_Commerce_Cost_Effectiveness_Report_EPY7-GPY4_Final_Report.pdf" TargetMode="External"/><Relationship Id="rId5" Type="http://schemas.openxmlformats.org/officeDocument/2006/relationships/hyperlink" Target="https://www.icc.illinois.gov/downloads/public/edocket/501631.pdf" TargetMode="External"/><Relationship Id="rId4" Type="http://schemas.openxmlformats.org/officeDocument/2006/relationships/hyperlink" Target="https://www.icc.illinois.gov/downloads/public/edocket/501631.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X93"/>
  <sheetViews>
    <sheetView tabSelected="1" topLeftCell="A18" zoomScale="85" zoomScaleNormal="85" workbookViewId="0">
      <pane xSplit="2" ySplit="4" topLeftCell="C22" activePane="bottomRight" state="frozen"/>
      <selection pane="topRight" activeCell="C18" sqref="C18"/>
      <selection pane="bottomLeft" activeCell="A22" sqref="A22"/>
      <selection pane="bottomRight" activeCell="C21" sqref="C21"/>
    </sheetView>
  </sheetViews>
  <sheetFormatPr defaultColWidth="9.109375" defaultRowHeight="14.4" x14ac:dyDescent="0.3"/>
  <cols>
    <col min="1" max="1" width="2.88671875" style="53" customWidth="1"/>
    <col min="2" max="2" width="64.6640625" style="53" customWidth="1"/>
    <col min="3" max="12" width="17.6640625" style="53" customWidth="1"/>
    <col min="13" max="24" width="19.33203125" style="53" customWidth="1"/>
    <col min="25" max="16384" width="9.109375" style="53"/>
  </cols>
  <sheetData>
    <row r="1" spans="2:24" x14ac:dyDescent="0.3">
      <c r="B1" s="54" t="s">
        <v>0</v>
      </c>
      <c r="C1" s="54"/>
    </row>
    <row r="2" spans="2:24" x14ac:dyDescent="0.3">
      <c r="B2" s="54" t="s">
        <v>1</v>
      </c>
      <c r="C2" s="54"/>
    </row>
    <row r="3" spans="2:24" x14ac:dyDescent="0.3">
      <c r="B3" s="54" t="s">
        <v>2</v>
      </c>
      <c r="C3" s="54"/>
    </row>
    <row r="4" spans="2:24" x14ac:dyDescent="0.3">
      <c r="B4" s="54"/>
      <c r="C4" s="54"/>
    </row>
    <row r="5" spans="2:24" ht="42" customHeight="1" x14ac:dyDescent="0.3">
      <c r="B5" s="301" t="s">
        <v>3</v>
      </c>
      <c r="C5" s="302"/>
      <c r="D5" s="302"/>
      <c r="E5" s="302"/>
      <c r="F5" s="302"/>
      <c r="G5" s="302"/>
      <c r="H5" s="302"/>
      <c r="I5" s="302"/>
      <c r="J5" s="302"/>
      <c r="K5" s="302"/>
      <c r="L5" s="302"/>
      <c r="M5" s="302"/>
      <c r="N5" s="302"/>
      <c r="O5" s="302"/>
      <c r="P5" s="302"/>
      <c r="Q5" s="302"/>
      <c r="R5" s="302"/>
      <c r="S5" s="302"/>
      <c r="T5" s="302"/>
      <c r="U5" s="302"/>
      <c r="V5" s="302"/>
      <c r="W5" s="302"/>
      <c r="X5" s="303"/>
    </row>
    <row r="6" spans="2:24" ht="23.1" customHeight="1" x14ac:dyDescent="0.3">
      <c r="B6" s="304"/>
      <c r="C6" s="305"/>
      <c r="D6" s="305"/>
      <c r="E6" s="305"/>
      <c r="F6" s="305"/>
      <c r="G6" s="305"/>
      <c r="H6" s="305"/>
      <c r="I6" s="305"/>
      <c r="J6" s="305"/>
      <c r="K6" s="305"/>
      <c r="L6" s="305"/>
      <c r="M6" s="305"/>
      <c r="N6" s="305"/>
      <c r="O6" s="305"/>
      <c r="P6" s="305"/>
      <c r="Q6" s="305"/>
      <c r="R6" s="305"/>
      <c r="S6" s="305"/>
      <c r="T6" s="305"/>
      <c r="U6" s="305"/>
      <c r="V6" s="305"/>
      <c r="W6" s="305"/>
      <c r="X6" s="306"/>
    </row>
    <row r="7" spans="2:24" x14ac:dyDescent="0.3">
      <c r="B7" s="93"/>
      <c r="C7" s="54"/>
    </row>
    <row r="8" spans="2:24" ht="14.4" customHeight="1" x14ac:dyDescent="0.3">
      <c r="B8" s="307" t="s">
        <v>4</v>
      </c>
      <c r="C8" s="307"/>
      <c r="D8" s="307"/>
      <c r="E8" s="307"/>
      <c r="F8" s="307"/>
      <c r="G8" s="307"/>
      <c r="H8" s="307"/>
      <c r="I8" s="307"/>
      <c r="J8" s="307"/>
      <c r="K8" s="307"/>
      <c r="L8" s="307"/>
      <c r="M8" s="307"/>
      <c r="N8" s="307"/>
      <c r="O8" s="307"/>
      <c r="P8" s="307"/>
      <c r="Q8" s="307"/>
      <c r="R8" s="307"/>
      <c r="S8" s="307"/>
      <c r="T8" s="307"/>
      <c r="U8" s="307"/>
      <c r="V8" s="307"/>
      <c r="W8" s="307"/>
      <c r="X8" s="307"/>
    </row>
    <row r="9" spans="2:24" ht="12.6" customHeight="1" x14ac:dyDescent="0.3">
      <c r="B9" s="307"/>
      <c r="C9" s="307"/>
      <c r="D9" s="307"/>
      <c r="E9" s="307"/>
      <c r="F9" s="307"/>
      <c r="G9" s="307"/>
      <c r="H9" s="307"/>
      <c r="I9" s="307"/>
      <c r="J9" s="307"/>
      <c r="K9" s="307"/>
      <c r="L9" s="307"/>
      <c r="M9" s="307"/>
      <c r="N9" s="307"/>
      <c r="O9" s="307"/>
      <c r="P9" s="307"/>
      <c r="Q9" s="307"/>
      <c r="R9" s="307"/>
      <c r="S9" s="307"/>
      <c r="T9" s="307"/>
      <c r="U9" s="307"/>
      <c r="V9" s="307"/>
      <c r="W9" s="307"/>
      <c r="X9" s="307"/>
    </row>
    <row r="10" spans="2:24" ht="15" customHeight="1" x14ac:dyDescent="0.3">
      <c r="B10" s="307"/>
      <c r="C10" s="307"/>
      <c r="D10" s="307"/>
      <c r="E10" s="307"/>
      <c r="F10" s="307"/>
      <c r="G10" s="307"/>
      <c r="H10" s="307"/>
      <c r="I10" s="307"/>
      <c r="J10" s="307"/>
      <c r="K10" s="307"/>
      <c r="L10" s="307"/>
      <c r="M10" s="307"/>
      <c r="N10" s="307"/>
      <c r="O10" s="307"/>
      <c r="P10" s="307"/>
      <c r="Q10" s="307"/>
      <c r="R10" s="307"/>
      <c r="S10" s="307"/>
      <c r="T10" s="307"/>
      <c r="U10" s="307"/>
      <c r="V10" s="307"/>
      <c r="W10" s="307"/>
      <c r="X10" s="307"/>
    </row>
    <row r="11" spans="2:24" ht="15" customHeight="1" x14ac:dyDescent="0.3">
      <c r="B11" s="307"/>
      <c r="C11" s="307"/>
      <c r="D11" s="307"/>
      <c r="E11" s="307"/>
      <c r="F11" s="307"/>
      <c r="G11" s="307"/>
      <c r="H11" s="307"/>
      <c r="I11" s="307"/>
      <c r="J11" s="307"/>
      <c r="K11" s="307"/>
      <c r="L11" s="307"/>
      <c r="M11" s="307"/>
      <c r="N11" s="307"/>
      <c r="O11" s="307"/>
      <c r="P11" s="307"/>
      <c r="Q11" s="307"/>
      <c r="R11" s="307"/>
      <c r="S11" s="307"/>
      <c r="T11" s="307"/>
      <c r="U11" s="307"/>
      <c r="V11" s="307"/>
      <c r="W11" s="307"/>
      <c r="X11" s="307"/>
    </row>
    <row r="12" spans="2:24" ht="15" customHeight="1" x14ac:dyDescent="0.3">
      <c r="B12" s="307"/>
      <c r="C12" s="307"/>
      <c r="D12" s="307"/>
      <c r="E12" s="307"/>
      <c r="F12" s="307"/>
      <c r="G12" s="307"/>
      <c r="H12" s="307"/>
      <c r="I12" s="307"/>
      <c r="J12" s="307"/>
      <c r="K12" s="307"/>
      <c r="L12" s="307"/>
      <c r="M12" s="307"/>
      <c r="N12" s="307"/>
      <c r="O12" s="307"/>
      <c r="P12" s="307"/>
      <c r="Q12" s="307"/>
      <c r="R12" s="307"/>
      <c r="S12" s="307"/>
      <c r="T12" s="307"/>
      <c r="U12" s="307"/>
      <c r="V12" s="307"/>
      <c r="W12" s="307"/>
      <c r="X12" s="307"/>
    </row>
    <row r="13" spans="2:24" ht="15" customHeight="1" x14ac:dyDescent="0.3">
      <c r="B13" s="307"/>
      <c r="C13" s="307"/>
      <c r="D13" s="307"/>
      <c r="E13" s="307"/>
      <c r="F13" s="307"/>
      <c r="G13" s="307"/>
      <c r="H13" s="307"/>
      <c r="I13" s="307"/>
      <c r="J13" s="307"/>
      <c r="K13" s="307"/>
      <c r="L13" s="307"/>
      <c r="M13" s="307"/>
      <c r="N13" s="307"/>
      <c r="O13" s="307"/>
      <c r="P13" s="307"/>
      <c r="Q13" s="307"/>
      <c r="R13" s="307"/>
      <c r="S13" s="307"/>
      <c r="T13" s="307"/>
      <c r="U13" s="307"/>
      <c r="V13" s="307"/>
      <c r="W13" s="307"/>
      <c r="X13" s="307"/>
    </row>
    <row r="14" spans="2:24" ht="17.399999999999999" customHeight="1" x14ac:dyDescent="0.3">
      <c r="B14" s="307"/>
      <c r="C14" s="307"/>
      <c r="D14" s="307"/>
      <c r="E14" s="307"/>
      <c r="F14" s="307"/>
      <c r="G14" s="307"/>
      <c r="H14" s="307"/>
      <c r="I14" s="307"/>
      <c r="J14" s="307"/>
      <c r="K14" s="307"/>
      <c r="L14" s="307"/>
      <c r="M14" s="307"/>
      <c r="N14" s="307"/>
      <c r="O14" s="307"/>
      <c r="P14" s="307"/>
      <c r="Q14" s="307"/>
      <c r="R14" s="307"/>
      <c r="S14" s="307"/>
      <c r="T14" s="307"/>
      <c r="U14" s="307"/>
      <c r="V14" s="307"/>
      <c r="W14" s="307"/>
      <c r="X14" s="307"/>
    </row>
    <row r="15" spans="2:24" ht="17.399999999999999" customHeight="1" x14ac:dyDescent="0.3">
      <c r="B15" s="307"/>
      <c r="C15" s="307"/>
      <c r="D15" s="307"/>
      <c r="E15" s="307"/>
      <c r="F15" s="307"/>
      <c r="G15" s="307"/>
      <c r="H15" s="307"/>
      <c r="I15" s="307"/>
      <c r="J15" s="307"/>
      <c r="K15" s="307"/>
      <c r="L15" s="307"/>
      <c r="M15" s="307"/>
      <c r="N15" s="307"/>
      <c r="O15" s="307"/>
      <c r="P15" s="307"/>
      <c r="Q15" s="307"/>
      <c r="R15" s="307"/>
      <c r="S15" s="307"/>
      <c r="T15" s="307"/>
      <c r="U15" s="307"/>
      <c r="V15" s="307"/>
      <c r="W15" s="307"/>
      <c r="X15" s="307"/>
    </row>
    <row r="16" spans="2:24" ht="44.1" customHeight="1" x14ac:dyDescent="0.3">
      <c r="B16" s="307"/>
      <c r="C16" s="307"/>
      <c r="D16" s="307"/>
      <c r="E16" s="307"/>
      <c r="F16" s="307"/>
      <c r="G16" s="307"/>
      <c r="H16" s="307"/>
      <c r="I16" s="307"/>
      <c r="J16" s="307"/>
      <c r="K16" s="307"/>
      <c r="L16" s="307"/>
      <c r="M16" s="307"/>
      <c r="N16" s="307"/>
      <c r="O16" s="307"/>
      <c r="P16" s="307"/>
      <c r="Q16" s="307"/>
      <c r="R16" s="307"/>
      <c r="S16" s="307"/>
      <c r="T16" s="307"/>
      <c r="U16" s="307"/>
      <c r="V16" s="307"/>
      <c r="W16" s="307"/>
      <c r="X16" s="307"/>
    </row>
    <row r="17" spans="2:24" ht="17.399999999999999" customHeight="1" x14ac:dyDescent="0.3">
      <c r="B17" s="67"/>
      <c r="C17" s="67"/>
      <c r="D17" s="67"/>
      <c r="E17" s="67"/>
      <c r="F17" s="67"/>
      <c r="G17" s="67"/>
      <c r="H17" s="67"/>
      <c r="I17" s="67"/>
      <c r="J17" s="67"/>
      <c r="K17" s="67"/>
      <c r="L17" s="67"/>
      <c r="M17" s="67"/>
      <c r="N17" s="67"/>
      <c r="O17" s="67"/>
      <c r="P17" s="67"/>
      <c r="Q17" s="67"/>
      <c r="R17" s="67"/>
      <c r="S17" s="67"/>
      <c r="T17" s="67"/>
      <c r="U17" s="67"/>
      <c r="V17" s="67"/>
      <c r="W17" s="67"/>
      <c r="X17" s="67"/>
    </row>
    <row r="18" spans="2:24" ht="17.399999999999999" customHeight="1" x14ac:dyDescent="0.3">
      <c r="B18" s="94" t="s">
        <v>5</v>
      </c>
      <c r="C18" s="67"/>
      <c r="D18" s="67"/>
      <c r="E18" s="67"/>
      <c r="F18" s="67"/>
      <c r="G18" s="67"/>
      <c r="H18" s="67"/>
      <c r="I18" s="67"/>
      <c r="J18" s="67"/>
      <c r="K18" s="67"/>
      <c r="L18" s="67"/>
      <c r="M18" s="67"/>
      <c r="N18" s="67"/>
      <c r="O18" s="67"/>
      <c r="P18" s="67"/>
      <c r="Q18" s="67"/>
      <c r="R18" s="67"/>
      <c r="S18" s="67"/>
      <c r="T18" s="67"/>
      <c r="U18" s="67"/>
      <c r="V18" s="67"/>
      <c r="W18" s="67"/>
      <c r="X18" s="67"/>
    </row>
    <row r="19" spans="2:24" ht="17.399999999999999" customHeight="1" thickBot="1" x14ac:dyDescent="0.35">
      <c r="B19" s="94"/>
      <c r="C19" s="67"/>
      <c r="D19" s="67"/>
      <c r="E19" s="67"/>
      <c r="F19" s="67"/>
      <c r="G19" s="67"/>
      <c r="H19" s="67"/>
      <c r="I19" s="67"/>
      <c r="J19" s="67"/>
      <c r="K19" s="67"/>
      <c r="L19" s="67"/>
      <c r="M19" s="67"/>
      <c r="N19" s="67"/>
      <c r="O19" s="67"/>
      <c r="P19" s="67"/>
      <c r="Q19" s="67"/>
      <c r="R19" s="67"/>
      <c r="S19" s="67"/>
      <c r="T19" s="67"/>
      <c r="U19" s="67"/>
      <c r="V19" s="67"/>
      <c r="W19" s="67"/>
      <c r="X19" s="67"/>
    </row>
    <row r="20" spans="2:24" ht="16.350000000000001" customHeight="1" thickBot="1" x14ac:dyDescent="0.35">
      <c r="B20" s="67"/>
      <c r="C20" s="320" t="s">
        <v>6</v>
      </c>
      <c r="D20" s="321"/>
      <c r="E20" s="321"/>
      <c r="F20" s="321"/>
      <c r="G20" s="321"/>
      <c r="H20" s="320" t="s">
        <v>7</v>
      </c>
      <c r="I20" s="321"/>
      <c r="J20" s="321"/>
      <c r="K20" s="321"/>
      <c r="L20" s="322"/>
      <c r="M20" s="320" t="s">
        <v>8</v>
      </c>
      <c r="N20" s="321"/>
      <c r="O20" s="321"/>
      <c r="P20" s="321"/>
      <c r="Q20" s="321"/>
      <c r="R20" s="322"/>
      <c r="S20" s="320" t="s">
        <v>9</v>
      </c>
      <c r="T20" s="321"/>
      <c r="U20" s="321"/>
      <c r="V20" s="321"/>
      <c r="W20" s="321"/>
      <c r="X20" s="322"/>
    </row>
    <row r="21" spans="2:24" s="95" customFormat="1" ht="63" x14ac:dyDescent="0.3">
      <c r="B21" s="169" t="s">
        <v>10</v>
      </c>
      <c r="C21" s="11" t="s">
        <v>11</v>
      </c>
      <c r="D21" s="10" t="s">
        <v>12</v>
      </c>
      <c r="E21" s="10" t="s">
        <v>13</v>
      </c>
      <c r="F21" s="10" t="s">
        <v>14</v>
      </c>
      <c r="G21" s="168" t="s">
        <v>15</v>
      </c>
      <c r="H21" s="23" t="s">
        <v>11</v>
      </c>
      <c r="I21" s="4" t="s">
        <v>12</v>
      </c>
      <c r="J21" s="4" t="s">
        <v>13</v>
      </c>
      <c r="K21" s="4" t="s">
        <v>14</v>
      </c>
      <c r="L21" s="246" t="s">
        <v>15</v>
      </c>
      <c r="M21" s="247" t="s">
        <v>16</v>
      </c>
      <c r="N21" s="248" t="s">
        <v>17</v>
      </c>
      <c r="O21" s="248" t="s">
        <v>18</v>
      </c>
      <c r="P21" s="248" t="s">
        <v>19</v>
      </c>
      <c r="Q21" s="248" t="s">
        <v>20</v>
      </c>
      <c r="R21" s="233" t="s">
        <v>21</v>
      </c>
      <c r="S21" s="247" t="s">
        <v>16</v>
      </c>
      <c r="T21" s="248" t="s">
        <v>17</v>
      </c>
      <c r="U21" s="248" t="s">
        <v>18</v>
      </c>
      <c r="V21" s="248" t="s">
        <v>19</v>
      </c>
      <c r="W21" s="248" t="s">
        <v>20</v>
      </c>
      <c r="X21" s="233" t="s">
        <v>21</v>
      </c>
    </row>
    <row r="22" spans="2:24" s="96" customFormat="1" ht="15.6" customHeight="1" x14ac:dyDescent="0.3">
      <c r="B22" s="170" t="s">
        <v>22</v>
      </c>
      <c r="C22" s="130"/>
      <c r="D22" s="131"/>
      <c r="E22" s="131"/>
      <c r="F22" s="131"/>
      <c r="G22" s="131"/>
      <c r="H22" s="130"/>
      <c r="I22" s="131"/>
      <c r="J22" s="131"/>
      <c r="K22" s="131"/>
      <c r="L22" s="131"/>
      <c r="M22" s="130"/>
      <c r="N22" s="131"/>
      <c r="O22" s="131"/>
      <c r="P22" s="131"/>
      <c r="Q22" s="131"/>
      <c r="R22" s="132"/>
      <c r="S22" s="130"/>
      <c r="T22" s="131"/>
      <c r="U22" s="131"/>
      <c r="V22" s="131"/>
      <c r="W22" s="131"/>
      <c r="X22" s="132"/>
    </row>
    <row r="23" spans="2:24" s="102" customFormat="1" x14ac:dyDescent="0.3">
      <c r="B23" s="171" t="s">
        <v>23</v>
      </c>
      <c r="C23" s="268">
        <v>28417</v>
      </c>
      <c r="D23" s="97">
        <v>48793.953999999998</v>
      </c>
      <c r="E23" s="97">
        <v>48793.953999999998</v>
      </c>
      <c r="F23" s="97">
        <v>38856</v>
      </c>
      <c r="G23" s="138">
        <f>IF(F23=0,"NA",C23/F23)</f>
        <v>0.73134136298126418</v>
      </c>
      <c r="H23" s="99">
        <v>1392227.3003412969</v>
      </c>
      <c r="I23" s="97">
        <v>168140.201</v>
      </c>
      <c r="J23" s="97">
        <v>173451.18987137641</v>
      </c>
      <c r="K23" s="97">
        <v>548765</v>
      </c>
      <c r="L23" s="138">
        <f>IF(K23=0,"NA",H23/K23)</f>
        <v>2.5370191253839018</v>
      </c>
      <c r="M23" s="100">
        <f>SUM(N23:O23)</f>
        <v>7992497.7100000009</v>
      </c>
      <c r="N23" s="101">
        <v>4713087.3000000017</v>
      </c>
      <c r="O23" s="101">
        <v>3279410.4099999997</v>
      </c>
      <c r="P23" s="101">
        <v>11558084.17</v>
      </c>
      <c r="Q23" s="101">
        <v>8821870.6400000006</v>
      </c>
      <c r="R23" s="98">
        <f>IF(Q33=0,"NA",(M23/Q23))</f>
        <v>0.90598672732294794</v>
      </c>
      <c r="S23" s="100">
        <f>SUM(T23:U23)</f>
        <v>3160494.4399962695</v>
      </c>
      <c r="T23" s="101">
        <v>2317424.5300000007</v>
      </c>
      <c r="U23" s="101">
        <v>843069.90999626869</v>
      </c>
      <c r="V23" s="101">
        <v>1254050.8999999999</v>
      </c>
      <c r="W23" s="101">
        <v>1629279.62</v>
      </c>
      <c r="X23" s="98">
        <f>IF(W23=0,"NA",(S23/W23))</f>
        <v>1.9398109454019128</v>
      </c>
    </row>
    <row r="24" spans="2:24" s="102" customFormat="1" x14ac:dyDescent="0.3">
      <c r="B24" s="171" t="s">
        <v>24</v>
      </c>
      <c r="C24" s="268">
        <v>54864</v>
      </c>
      <c r="D24" s="97">
        <v>47095.061999999998</v>
      </c>
      <c r="E24" s="97">
        <v>47095.061999999998</v>
      </c>
      <c r="F24" s="97">
        <v>63277</v>
      </c>
      <c r="G24" s="138">
        <f t="shared" ref="G24:G85" si="0">IF(F24=0,"NA",C24/F24)</f>
        <v>0.86704489783017524</v>
      </c>
      <c r="H24" s="99">
        <v>0</v>
      </c>
      <c r="I24" s="97">
        <v>0</v>
      </c>
      <c r="J24" s="97"/>
      <c r="K24" s="97">
        <v>0</v>
      </c>
      <c r="L24" s="138" t="str">
        <f t="shared" ref="L24:L85" si="1">IF(K24=0,"NA",H24/K24)</f>
        <v>NA</v>
      </c>
      <c r="M24" s="100">
        <f>SUM(N24:O24)</f>
        <v>17909606.5</v>
      </c>
      <c r="N24" s="101">
        <f>10195303.19+1493622.9</f>
        <v>11688926.09</v>
      </c>
      <c r="O24" s="101">
        <v>6220680.4100000001</v>
      </c>
      <c r="P24" s="101">
        <v>16768172.050000001</v>
      </c>
      <c r="Q24" s="101">
        <v>18231972.170000002</v>
      </c>
      <c r="R24" s="98" t="str">
        <f t="shared" ref="R24:R33" si="2">IF(Q34=0,"NA",(M24/Q24))</f>
        <v>NA</v>
      </c>
      <c r="S24" s="100">
        <f t="shared" ref="S24:S84" si="3">SUM(T24:U24)</f>
        <v>0</v>
      </c>
      <c r="T24" s="101">
        <v>0</v>
      </c>
      <c r="U24" s="101">
        <v>0</v>
      </c>
      <c r="V24" s="101">
        <v>0</v>
      </c>
      <c r="W24" s="101">
        <v>0</v>
      </c>
      <c r="X24" s="98" t="str">
        <f t="shared" ref="X24:X33" si="4">IF(W24=0,"NA",(S24/W24))</f>
        <v>NA</v>
      </c>
    </row>
    <row r="25" spans="2:24" s="102" customFormat="1" x14ac:dyDescent="0.3">
      <c r="B25" s="171" t="s">
        <v>25</v>
      </c>
      <c r="C25" s="268">
        <v>524</v>
      </c>
      <c r="D25" s="97">
        <v>1239.027</v>
      </c>
      <c r="E25" s="97">
        <v>1239.027</v>
      </c>
      <c r="F25" s="97">
        <v>792</v>
      </c>
      <c r="G25" s="138">
        <f t="shared" si="0"/>
        <v>0.66161616161616166</v>
      </c>
      <c r="H25" s="99">
        <v>27935.273037542662</v>
      </c>
      <c r="I25" s="97">
        <f>82434.04+960</f>
        <v>83394.039999999994</v>
      </c>
      <c r="J25" s="97">
        <v>80985.7</v>
      </c>
      <c r="K25" s="97">
        <v>104488</v>
      </c>
      <c r="L25" s="138">
        <f t="shared" si="1"/>
        <v>0.26735388788705555</v>
      </c>
      <c r="M25" s="100">
        <f t="shared" ref="M25:M33" si="5">SUM(N25:O25)</f>
        <v>567627.73</v>
      </c>
      <c r="N25" s="101">
        <v>391817.99</v>
      </c>
      <c r="O25" s="101">
        <v>175809.73999999996</v>
      </c>
      <c r="P25" s="101">
        <v>327991.11</v>
      </c>
      <c r="Q25" s="101">
        <v>498211.55</v>
      </c>
      <c r="R25" s="98">
        <f t="shared" si="2"/>
        <v>1.139330732095633</v>
      </c>
      <c r="S25" s="100">
        <f t="shared" si="3"/>
        <v>491771.898652117</v>
      </c>
      <c r="T25" s="101">
        <v>359709.14</v>
      </c>
      <c r="U25" s="101">
        <v>132062.75865211702</v>
      </c>
      <c r="V25" s="101">
        <v>287301.78000000003</v>
      </c>
      <c r="W25" s="101">
        <v>410697.01</v>
      </c>
      <c r="X25" s="98">
        <f t="shared" si="4"/>
        <v>1.1974080323889307</v>
      </c>
    </row>
    <row r="26" spans="2:24" s="102" customFormat="1" x14ac:dyDescent="0.3">
      <c r="B26" s="171" t="s">
        <v>26</v>
      </c>
      <c r="C26" s="268">
        <v>26686</v>
      </c>
      <c r="D26" s="97">
        <v>19664.682000000001</v>
      </c>
      <c r="E26" s="97">
        <v>19664.682000000001</v>
      </c>
      <c r="F26" s="97">
        <v>26836.400000000001</v>
      </c>
      <c r="G26" s="138">
        <f t="shared" si="0"/>
        <v>0.99439567155058051</v>
      </c>
      <c r="H26" s="99">
        <v>0</v>
      </c>
      <c r="I26" s="97">
        <v>0</v>
      </c>
      <c r="J26" s="97"/>
      <c r="K26" s="97">
        <v>0</v>
      </c>
      <c r="L26" s="138" t="str">
        <f t="shared" si="1"/>
        <v>NA</v>
      </c>
      <c r="M26" s="100">
        <f t="shared" si="5"/>
        <v>4638246.9799999995</v>
      </c>
      <c r="N26" s="101">
        <v>3364451.5</v>
      </c>
      <c r="O26" s="101">
        <v>1273795.4799999995</v>
      </c>
      <c r="P26" s="101">
        <v>3067690.39</v>
      </c>
      <c r="Q26" s="101">
        <v>5311884.24</v>
      </c>
      <c r="R26" s="98">
        <f t="shared" si="2"/>
        <v>0.87318299315950443</v>
      </c>
      <c r="S26" s="100">
        <f t="shared" si="3"/>
        <v>0</v>
      </c>
      <c r="T26" s="101">
        <v>0</v>
      </c>
      <c r="U26" s="101">
        <v>0</v>
      </c>
      <c r="V26" s="101">
        <v>0</v>
      </c>
      <c r="W26" s="101">
        <v>0</v>
      </c>
      <c r="X26" s="98" t="str">
        <f t="shared" si="4"/>
        <v>NA</v>
      </c>
    </row>
    <row r="27" spans="2:24" s="102" customFormat="1" x14ac:dyDescent="0.3">
      <c r="B27" s="171" t="s">
        <v>27</v>
      </c>
      <c r="C27" s="268">
        <v>189</v>
      </c>
      <c r="D27" s="97">
        <v>1038.5229999999999</v>
      </c>
      <c r="E27" s="97">
        <v>1038.5229999999999</v>
      </c>
      <c r="F27" s="97">
        <v>526</v>
      </c>
      <c r="G27" s="138">
        <f t="shared" si="0"/>
        <v>0.35931558935361219</v>
      </c>
      <c r="H27" s="99">
        <v>12019</v>
      </c>
      <c r="I27" s="97">
        <v>20319.287</v>
      </c>
      <c r="J27" s="97">
        <v>24196</v>
      </c>
      <c r="K27" s="97">
        <v>26473</v>
      </c>
      <c r="L27" s="138">
        <f t="shared" si="1"/>
        <v>0.45400974577871794</v>
      </c>
      <c r="M27" s="100">
        <f t="shared" si="5"/>
        <v>649523.93000000017</v>
      </c>
      <c r="N27" s="101">
        <v>45662</v>
      </c>
      <c r="O27" s="101">
        <v>603861.93000000017</v>
      </c>
      <c r="P27" s="101">
        <v>2156678.4</v>
      </c>
      <c r="Q27" s="101">
        <v>961877.53</v>
      </c>
      <c r="R27" s="98">
        <f t="shared" si="2"/>
        <v>0.67526676706960831</v>
      </c>
      <c r="S27" s="100">
        <f t="shared" si="3"/>
        <v>130820.27737459091</v>
      </c>
      <c r="T27" s="101">
        <v>6318</v>
      </c>
      <c r="U27" s="101">
        <v>124502.27737459091</v>
      </c>
      <c r="V27" s="101">
        <v>177761.91</v>
      </c>
      <c r="W27" s="101">
        <v>157106.38</v>
      </c>
      <c r="X27" s="98">
        <f t="shared" si="4"/>
        <v>0.83268596332364675</v>
      </c>
    </row>
    <row r="28" spans="2:24" s="102" customFormat="1" x14ac:dyDescent="0.3">
      <c r="B28" s="171" t="s">
        <v>28</v>
      </c>
      <c r="C28" s="268">
        <v>483</v>
      </c>
      <c r="D28" s="97">
        <v>561.06600000000003</v>
      </c>
      <c r="E28" s="97">
        <v>561.06600000000003</v>
      </c>
      <c r="F28" s="97">
        <v>561</v>
      </c>
      <c r="G28" s="138">
        <f t="shared" si="0"/>
        <v>0.86096256684491979</v>
      </c>
      <c r="H28" s="99">
        <v>29352</v>
      </c>
      <c r="I28" s="97">
        <v>94034.3</v>
      </c>
      <c r="J28" s="97">
        <v>90572</v>
      </c>
      <c r="K28" s="97">
        <v>94034</v>
      </c>
      <c r="L28" s="138">
        <f t="shared" si="1"/>
        <v>0.31214241657272901</v>
      </c>
      <c r="M28" s="100">
        <f t="shared" si="5"/>
        <v>252428.06</v>
      </c>
      <c r="N28" s="101">
        <v>111689.04999999997</v>
      </c>
      <c r="O28" s="101">
        <v>140739.01</v>
      </c>
      <c r="P28" s="101">
        <v>109388.25</v>
      </c>
      <c r="Q28" s="101">
        <v>109388</v>
      </c>
      <c r="R28" s="98" t="str">
        <f t="shared" si="2"/>
        <v>NA</v>
      </c>
      <c r="S28" s="100">
        <f t="shared" si="3"/>
        <v>134441.09622261787</v>
      </c>
      <c r="T28" s="101">
        <v>85279.5</v>
      </c>
      <c r="U28" s="101">
        <v>49161.596222617867</v>
      </c>
      <c r="V28" s="101">
        <v>171085.57</v>
      </c>
      <c r="W28" s="101">
        <v>173272.76</v>
      </c>
      <c r="X28" s="98">
        <f t="shared" si="4"/>
        <v>0.77589285368697225</v>
      </c>
    </row>
    <row r="29" spans="2:24" s="102" customFormat="1" x14ac:dyDescent="0.3">
      <c r="B29" s="171" t="s">
        <v>29</v>
      </c>
      <c r="C29" s="268">
        <v>16834</v>
      </c>
      <c r="D29" s="97">
        <v>47914.802000000003</v>
      </c>
      <c r="E29" s="97">
        <v>47914.802000000003</v>
      </c>
      <c r="F29" s="97">
        <f>49927-15393</f>
        <v>34534</v>
      </c>
      <c r="G29" s="138">
        <f t="shared" si="0"/>
        <v>0.48746163201482595</v>
      </c>
      <c r="H29" s="99">
        <v>805508.90102389082</v>
      </c>
      <c r="I29" s="97">
        <v>940950</v>
      </c>
      <c r="J29" s="97">
        <v>802088.43899840175</v>
      </c>
      <c r="K29" s="97">
        <f>1203579+15393*1000/29.3</f>
        <v>1728937.361774744</v>
      </c>
      <c r="L29" s="138">
        <f t="shared" si="1"/>
        <v>0.46589825567598392</v>
      </c>
      <c r="M29" s="100">
        <f t="shared" si="5"/>
        <v>9126829.0200000033</v>
      </c>
      <c r="N29" s="101">
        <v>5151386.1500000004</v>
      </c>
      <c r="O29" s="101">
        <v>3975442.870000002</v>
      </c>
      <c r="P29" s="101">
        <v>15753530.140000001</v>
      </c>
      <c r="Q29" s="101">
        <v>12837595.640000001</v>
      </c>
      <c r="R29" s="98">
        <f t="shared" si="2"/>
        <v>0.71094535736599995</v>
      </c>
      <c r="S29" s="100">
        <f t="shared" si="3"/>
        <v>1669102.5276914067</v>
      </c>
      <c r="T29" s="101">
        <v>743616.8</v>
      </c>
      <c r="U29" s="101">
        <v>925485.72769140662</v>
      </c>
      <c r="V29" s="101">
        <v>2297034.4900000002</v>
      </c>
      <c r="W29" s="101">
        <v>3693303.45</v>
      </c>
      <c r="X29" s="98">
        <f t="shared" si="4"/>
        <v>0.45192672367373621</v>
      </c>
    </row>
    <row r="30" spans="2:24" s="102" customFormat="1" x14ac:dyDescent="0.3">
      <c r="B30" s="171" t="s">
        <v>30</v>
      </c>
      <c r="C30" s="268">
        <v>3316</v>
      </c>
      <c r="D30" s="97">
        <v>4743</v>
      </c>
      <c r="E30" s="97">
        <v>4743</v>
      </c>
      <c r="F30" s="97">
        <v>5187.784041695666</v>
      </c>
      <c r="G30" s="138">
        <f t="shared" si="0"/>
        <v>0.63919391658333957</v>
      </c>
      <c r="H30" s="99">
        <v>0</v>
      </c>
      <c r="I30" s="97">
        <v>52000</v>
      </c>
      <c r="J30" s="97">
        <v>59609.8</v>
      </c>
      <c r="K30" s="97">
        <v>207041</v>
      </c>
      <c r="L30" s="138">
        <f t="shared" si="1"/>
        <v>0</v>
      </c>
      <c r="M30" s="100">
        <f t="shared" si="5"/>
        <v>1299051.28</v>
      </c>
      <c r="N30" s="101">
        <v>1937</v>
      </c>
      <c r="O30" s="101">
        <v>1297114.28</v>
      </c>
      <c r="P30" s="101">
        <v>1453882.23</v>
      </c>
      <c r="Q30" s="101">
        <v>1341617.32</v>
      </c>
      <c r="R30" s="98">
        <f t="shared" si="2"/>
        <v>0.96827259206820615</v>
      </c>
      <c r="S30" s="100">
        <f t="shared" si="3"/>
        <v>97746.326577911008</v>
      </c>
      <c r="T30" s="101">
        <v>63</v>
      </c>
      <c r="U30" s="101">
        <v>97683.326577911008</v>
      </c>
      <c r="V30" s="101">
        <v>551150.68999999994</v>
      </c>
      <c r="W30" s="101">
        <v>568562.29</v>
      </c>
      <c r="X30" s="98">
        <f t="shared" si="4"/>
        <v>0.1719184129814712</v>
      </c>
    </row>
    <row r="31" spans="2:24" s="102" customFormat="1" x14ac:dyDescent="0.3">
      <c r="B31" s="171" t="s">
        <v>31</v>
      </c>
      <c r="C31" s="268">
        <v>92</v>
      </c>
      <c r="D31" s="97">
        <v>347.666</v>
      </c>
      <c r="E31" s="97">
        <v>347.666</v>
      </c>
      <c r="F31" s="97">
        <v>488</v>
      </c>
      <c r="G31" s="138">
        <f t="shared" si="0"/>
        <v>0.18852459016393441</v>
      </c>
      <c r="H31" s="99">
        <v>0</v>
      </c>
      <c r="I31" s="97">
        <v>0</v>
      </c>
      <c r="J31" s="97"/>
      <c r="K31" s="97">
        <v>0</v>
      </c>
      <c r="L31" s="138" t="str">
        <f t="shared" si="1"/>
        <v>NA</v>
      </c>
      <c r="M31" s="100">
        <f t="shared" si="5"/>
        <v>100859.01</v>
      </c>
      <c r="N31" s="101">
        <v>30871.5</v>
      </c>
      <c r="O31" s="101">
        <v>69987.509999999995</v>
      </c>
      <c r="P31" s="101">
        <v>219863.87</v>
      </c>
      <c r="Q31" s="101">
        <v>202625.41999999998</v>
      </c>
      <c r="R31" s="98">
        <f t="shared" si="2"/>
        <v>0.49776089298173942</v>
      </c>
      <c r="S31" s="100">
        <f t="shared" si="3"/>
        <v>0</v>
      </c>
      <c r="T31" s="101">
        <v>0</v>
      </c>
      <c r="U31" s="101">
        <v>0</v>
      </c>
      <c r="V31" s="101">
        <v>0</v>
      </c>
      <c r="W31" s="101">
        <v>0</v>
      </c>
      <c r="X31" s="98" t="str">
        <f t="shared" si="4"/>
        <v>NA</v>
      </c>
    </row>
    <row r="32" spans="2:24" s="102" customFormat="1" x14ac:dyDescent="0.3">
      <c r="B32" s="171" t="s">
        <v>32</v>
      </c>
      <c r="C32" s="268">
        <v>19091</v>
      </c>
      <c r="D32" s="97">
        <v>14782.591</v>
      </c>
      <c r="E32" s="97">
        <v>14782.591</v>
      </c>
      <c r="F32" s="97">
        <v>19405</v>
      </c>
      <c r="G32" s="138">
        <f t="shared" si="0"/>
        <v>0.98381860345271832</v>
      </c>
      <c r="H32" s="99">
        <v>0</v>
      </c>
      <c r="I32" s="97">
        <v>0</v>
      </c>
      <c r="J32" s="97"/>
      <c r="K32" s="97">
        <v>0</v>
      </c>
      <c r="L32" s="138" t="str">
        <f t="shared" si="1"/>
        <v>NA</v>
      </c>
      <c r="M32" s="100">
        <f t="shared" si="5"/>
        <v>1734842.48</v>
      </c>
      <c r="N32" s="101">
        <v>1699638</v>
      </c>
      <c r="O32" s="101">
        <v>35204.480000000003</v>
      </c>
      <c r="P32" s="101">
        <v>1255163.83</v>
      </c>
      <c r="Q32" s="101">
        <v>1227249.75</v>
      </c>
      <c r="R32" s="98">
        <f t="shared" si="2"/>
        <v>1.4136018198414788</v>
      </c>
      <c r="S32" s="100">
        <f t="shared" si="3"/>
        <v>0</v>
      </c>
      <c r="T32" s="101">
        <v>0</v>
      </c>
      <c r="U32" s="101">
        <v>0</v>
      </c>
      <c r="V32" s="101">
        <v>0</v>
      </c>
      <c r="W32" s="101">
        <v>0</v>
      </c>
      <c r="X32" s="98" t="str">
        <f t="shared" si="4"/>
        <v>NA</v>
      </c>
    </row>
    <row r="33" spans="2:24" s="102" customFormat="1" x14ac:dyDescent="0.3">
      <c r="B33" s="171" t="s">
        <v>33</v>
      </c>
      <c r="C33" s="268">
        <v>0</v>
      </c>
      <c r="D33" s="97">
        <v>268.97699999999998</v>
      </c>
      <c r="E33" s="97">
        <v>268.97699999999998</v>
      </c>
      <c r="F33" s="97">
        <v>0</v>
      </c>
      <c r="G33" s="138" t="str">
        <f t="shared" si="0"/>
        <v>NA</v>
      </c>
      <c r="H33" s="99">
        <v>0</v>
      </c>
      <c r="I33" s="97">
        <v>0</v>
      </c>
      <c r="J33" s="97"/>
      <c r="K33" s="97">
        <v>0</v>
      </c>
      <c r="L33" s="138" t="str">
        <f t="shared" si="1"/>
        <v>NA</v>
      </c>
      <c r="M33" s="100">
        <f t="shared" si="5"/>
        <v>519993.8</v>
      </c>
      <c r="N33" s="101">
        <v>0</v>
      </c>
      <c r="O33" s="101">
        <v>519993.8</v>
      </c>
      <c r="P33" s="101">
        <v>213180</v>
      </c>
      <c r="Q33" s="101">
        <v>622586.32999999996</v>
      </c>
      <c r="R33" s="98">
        <f t="shared" si="2"/>
        <v>0.83521557564554949</v>
      </c>
      <c r="S33" s="100">
        <f t="shared" si="3"/>
        <v>70664.640000000014</v>
      </c>
      <c r="T33" s="101">
        <v>0</v>
      </c>
      <c r="U33" s="101">
        <v>70664.640000000014</v>
      </c>
      <c r="V33" s="101">
        <v>10500</v>
      </c>
      <c r="W33" s="101">
        <v>70664.639999999999</v>
      </c>
      <c r="X33" s="98">
        <f t="shared" si="4"/>
        <v>1.0000000000000002</v>
      </c>
    </row>
    <row r="34" spans="2:24" s="102" customFormat="1" x14ac:dyDescent="0.3">
      <c r="B34" s="171"/>
      <c r="C34" s="103"/>
      <c r="D34" s="97"/>
      <c r="E34" s="97"/>
      <c r="F34" s="97"/>
      <c r="G34" s="138"/>
      <c r="H34" s="104"/>
      <c r="I34" s="105"/>
      <c r="J34" s="105"/>
      <c r="K34" s="105"/>
      <c r="L34" s="138"/>
      <c r="M34" s="106"/>
      <c r="N34" s="107"/>
      <c r="O34" s="107"/>
      <c r="P34" s="107"/>
      <c r="Q34" s="107"/>
      <c r="R34" s="98"/>
      <c r="S34" s="106"/>
      <c r="T34" s="107"/>
      <c r="U34" s="107"/>
      <c r="V34" s="107"/>
      <c r="W34" s="107"/>
      <c r="X34" s="98"/>
    </row>
    <row r="35" spans="2:24" s="96" customFormat="1" x14ac:dyDescent="0.3">
      <c r="B35" s="172" t="s">
        <v>34</v>
      </c>
      <c r="C35" s="16">
        <f>SUM(C23:C34)</f>
        <v>150496</v>
      </c>
      <c r="D35" s="17">
        <f>SUM(D23:D34)</f>
        <v>186449.35000000003</v>
      </c>
      <c r="E35" s="17">
        <f>SUM(E23:E34)</f>
        <v>186449.35000000003</v>
      </c>
      <c r="F35" s="17">
        <f>SUM(F23:F34)</f>
        <v>190463.18404169567</v>
      </c>
      <c r="G35" s="139">
        <f t="shared" si="0"/>
        <v>0.79015795497283003</v>
      </c>
      <c r="H35" s="16">
        <f>SUM(H23:H34)</f>
        <v>2267042.4744027304</v>
      </c>
      <c r="I35" s="17">
        <f>SUM(I23:I34)</f>
        <v>1358837.828</v>
      </c>
      <c r="J35" s="17">
        <f>SUM(J23:J34)</f>
        <v>1230903.1288697782</v>
      </c>
      <c r="K35" s="17">
        <f>SUM(K23:K34)</f>
        <v>2709738.361774744</v>
      </c>
      <c r="L35" s="139">
        <f t="shared" ref="L35" si="6">IF(K35=0,"NA",H35/K35)</f>
        <v>0.83662781115071572</v>
      </c>
      <c r="M35" s="19">
        <f t="shared" ref="M35:M84" si="7">SUM(N35:O35)</f>
        <v>44791506.5</v>
      </c>
      <c r="N35" s="21">
        <f>SUM(N23:N34)</f>
        <v>27199466.579999998</v>
      </c>
      <c r="O35" s="21">
        <f>SUM(O23:O34)</f>
        <v>17592039.920000006</v>
      </c>
      <c r="P35" s="21">
        <f>SUM(P23:P34)</f>
        <v>52883624.43999999</v>
      </c>
      <c r="Q35" s="21">
        <f>SUM(Q23:Q34)</f>
        <v>50166878.590000004</v>
      </c>
      <c r="R35" s="13">
        <f t="shared" ref="R35:R85" si="8">IF(Q35=0,"NA",(M35/Q35))</f>
        <v>0.89285017842287084</v>
      </c>
      <c r="S35" s="19">
        <f t="shared" si="3"/>
        <v>5755041.2065149136</v>
      </c>
      <c r="T35" s="21">
        <f>SUM(T23:T34)</f>
        <v>3512410.9700000007</v>
      </c>
      <c r="U35" s="21">
        <f>SUM(U23:U34)</f>
        <v>2242630.2365149125</v>
      </c>
      <c r="V35" s="21">
        <f>SUM(V23:V34)</f>
        <v>4748885.34</v>
      </c>
      <c r="W35" s="21">
        <f>SUM(W23:W34)</f>
        <v>6702886.1500000004</v>
      </c>
      <c r="X35" s="13">
        <f t="shared" ref="X35:X85" si="9">IF(W35=0,"NA",(S35/W35))</f>
        <v>0.85859151979105497</v>
      </c>
    </row>
    <row r="36" spans="2:24" x14ac:dyDescent="0.3">
      <c r="B36" s="173" t="s">
        <v>35</v>
      </c>
      <c r="C36" s="296">
        <f>C35-C37</f>
        <v>115918</v>
      </c>
      <c r="D36" s="273">
        <f>D35-D37</f>
        <v>152013.54500000004</v>
      </c>
      <c r="E36" s="273">
        <f>E35-E37</f>
        <v>152013.54500000004</v>
      </c>
      <c r="F36" s="273">
        <f>F35-F37</f>
        <v>152162.18404169567</v>
      </c>
      <c r="G36" s="140">
        <f t="shared" si="0"/>
        <v>0.76180557429588425</v>
      </c>
      <c r="H36" s="297">
        <f>H35-H37</f>
        <v>2098437.2013651878</v>
      </c>
      <c r="I36" s="273">
        <f>I35-I37</f>
        <v>1020495.111</v>
      </c>
      <c r="J36" s="273">
        <f>J35-J37</f>
        <v>930265.12886977824</v>
      </c>
      <c r="K36" s="274">
        <f>K35-K37</f>
        <v>2353699.361774744</v>
      </c>
      <c r="L36" s="140">
        <f t="shared" si="1"/>
        <v>0.89154852800865669</v>
      </c>
      <c r="M36" s="294">
        <f>SUM(N36:O36)</f>
        <v>34909440.940000005</v>
      </c>
      <c r="N36" s="298">
        <f>N35-N37</f>
        <v>21198621.039999999</v>
      </c>
      <c r="O36" s="298">
        <f>O35-O37</f>
        <v>13710819.900000006</v>
      </c>
      <c r="P36" s="272">
        <f>P35-P37</f>
        <v>44976228.749999993</v>
      </c>
      <c r="Q36" s="271">
        <f>Q35-Q37</f>
        <v>41690088.590000004</v>
      </c>
      <c r="R36" s="12">
        <f t="shared" si="8"/>
        <v>0.83735588291298479</v>
      </c>
      <c r="S36" s="270">
        <f>SUM(T36:U36)</f>
        <v>3856884.0265149134</v>
      </c>
      <c r="T36" s="298">
        <f>T35-T37</f>
        <v>2369085.2500000009</v>
      </c>
      <c r="U36" s="298">
        <f>U35-U37</f>
        <v>1487798.7765149125</v>
      </c>
      <c r="V36" s="271">
        <f>V35-V37</f>
        <v>3284193.63</v>
      </c>
      <c r="W36" s="271">
        <f>W35-W37</f>
        <v>5056405.1500000004</v>
      </c>
      <c r="X36" s="12">
        <f t="shared" si="9"/>
        <v>0.76277195202898507</v>
      </c>
    </row>
    <row r="37" spans="2:24" x14ac:dyDescent="0.3">
      <c r="B37" s="173" t="s">
        <v>36</v>
      </c>
      <c r="C37" s="296">
        <v>34578</v>
      </c>
      <c r="D37" s="273">
        <v>34435.805</v>
      </c>
      <c r="E37" s="273">
        <v>34435.805</v>
      </c>
      <c r="F37" s="273">
        <v>38301</v>
      </c>
      <c r="G37" s="140">
        <f t="shared" si="0"/>
        <v>0.90279627163781628</v>
      </c>
      <c r="H37" s="297">
        <v>168605.27303754265</v>
      </c>
      <c r="I37" s="273">
        <v>338342.717</v>
      </c>
      <c r="J37" s="273">
        <v>300638</v>
      </c>
      <c r="K37" s="274">
        <v>356039</v>
      </c>
      <c r="L37" s="140">
        <f t="shared" si="1"/>
        <v>0.47355843892815858</v>
      </c>
      <c r="M37" s="270">
        <f>SUM(N37:O37)</f>
        <v>9882065.5600000005</v>
      </c>
      <c r="N37" s="298">
        <v>6000845.54</v>
      </c>
      <c r="O37" s="298">
        <v>3881220.02</v>
      </c>
      <c r="P37" s="271">
        <v>7907395.6900000004</v>
      </c>
      <c r="Q37" s="271">
        <v>8476790</v>
      </c>
      <c r="R37" s="12">
        <f t="shared" si="8"/>
        <v>1.1657792112344414</v>
      </c>
      <c r="S37" s="270">
        <f>SUM(T37:U37)</f>
        <v>1898157.18</v>
      </c>
      <c r="T37" s="298">
        <v>1143325.72</v>
      </c>
      <c r="U37" s="298">
        <v>754831.46</v>
      </c>
      <c r="V37" s="271">
        <v>1464691.71</v>
      </c>
      <c r="W37" s="271">
        <v>1646481</v>
      </c>
      <c r="X37" s="12">
        <f t="shared" si="9"/>
        <v>1.1528570205183053</v>
      </c>
    </row>
    <row r="38" spans="2:24" s="96" customFormat="1" ht="15.6" customHeight="1" x14ac:dyDescent="0.3">
      <c r="B38" s="174" t="s">
        <v>37</v>
      </c>
      <c r="C38" s="123"/>
      <c r="D38" s="124"/>
      <c r="E38" s="124"/>
      <c r="F38" s="124"/>
      <c r="G38" s="141"/>
      <c r="H38" s="126"/>
      <c r="I38" s="127"/>
      <c r="J38" s="124"/>
      <c r="K38" s="124"/>
      <c r="L38" s="141"/>
      <c r="M38" s="128"/>
      <c r="N38" s="129"/>
      <c r="O38" s="129"/>
      <c r="P38" s="129"/>
      <c r="Q38" s="129"/>
      <c r="R38" s="125"/>
      <c r="S38" s="128"/>
      <c r="T38" s="129"/>
      <c r="U38" s="129"/>
      <c r="V38" s="129"/>
      <c r="W38" s="129"/>
      <c r="X38" s="125"/>
    </row>
    <row r="39" spans="2:24" s="102" customFormat="1" x14ac:dyDescent="0.3">
      <c r="B39" s="171" t="s">
        <v>38</v>
      </c>
      <c r="C39" s="103">
        <v>70</v>
      </c>
      <c r="D39" s="97">
        <v>274.7989</v>
      </c>
      <c r="E39" s="97">
        <v>274.7989</v>
      </c>
      <c r="F39" s="105">
        <v>118</v>
      </c>
      <c r="G39" s="142">
        <f t="shared" si="0"/>
        <v>0.59322033898305082</v>
      </c>
      <c r="H39" s="104">
        <v>15139</v>
      </c>
      <c r="I39" s="97">
        <v>77120.597999999998</v>
      </c>
      <c r="J39" s="97">
        <v>62871.8</v>
      </c>
      <c r="K39" s="105">
        <v>23881</v>
      </c>
      <c r="L39" s="138">
        <f>IF(K39=0,"NA",H39/K39)</f>
        <v>0.63393492734810097</v>
      </c>
      <c r="M39" s="106">
        <f t="shared" si="7"/>
        <v>396603.71000000008</v>
      </c>
      <c r="N39" s="107">
        <v>117614.25000000003</v>
      </c>
      <c r="O39" s="107">
        <v>278989.46000000002</v>
      </c>
      <c r="P39" s="101">
        <v>574566.13</v>
      </c>
      <c r="Q39" s="107">
        <v>421270.45</v>
      </c>
      <c r="R39" s="98">
        <f>IF(Q39=0,"NA",(M39/Q39))</f>
        <v>0.94144678317693553</v>
      </c>
      <c r="S39" s="106">
        <f t="shared" si="3"/>
        <v>386531.38184889563</v>
      </c>
      <c r="T39" s="107">
        <v>177522.85000000003</v>
      </c>
      <c r="U39" s="107">
        <v>209008.5318488956</v>
      </c>
      <c r="V39" s="101">
        <v>374100.82</v>
      </c>
      <c r="W39" s="107">
        <v>463404.58999999997</v>
      </c>
      <c r="X39" s="108">
        <f t="shared" si="9"/>
        <v>0.83411211323758283</v>
      </c>
    </row>
    <row r="40" spans="2:24" s="102" customFormat="1" x14ac:dyDescent="0.3">
      <c r="B40" s="171" t="s">
        <v>39</v>
      </c>
      <c r="C40" s="103">
        <v>9842</v>
      </c>
      <c r="D40" s="97">
        <v>2519.3094000000001</v>
      </c>
      <c r="E40" s="97">
        <v>2519.3094000000001</v>
      </c>
      <c r="F40" s="105">
        <v>7986</v>
      </c>
      <c r="G40" s="142">
        <f t="shared" si="0"/>
        <v>1.2324067117455548</v>
      </c>
      <c r="H40" s="104">
        <v>264636</v>
      </c>
      <c r="I40" s="97">
        <v>0</v>
      </c>
      <c r="J40" s="97">
        <v>0</v>
      </c>
      <c r="K40" s="105">
        <v>38649</v>
      </c>
      <c r="L40" s="138">
        <f t="shared" ref="L40:L51" si="10">IF(K40=0,"NA",H40/K40)</f>
        <v>6.8471629278894666</v>
      </c>
      <c r="M40" s="106">
        <f t="shared" si="7"/>
        <v>5176149.83</v>
      </c>
      <c r="N40" s="107">
        <v>3628606.99</v>
      </c>
      <c r="O40" s="107">
        <v>1547542.8399999999</v>
      </c>
      <c r="P40" s="101">
        <v>1557084.41</v>
      </c>
      <c r="Q40" s="107">
        <v>3142860.87</v>
      </c>
      <c r="R40" s="98">
        <f t="shared" ref="R40:R50" si="11">IF(Q40=0,"NA",(M40/Q40))</f>
        <v>1.6469548109522265</v>
      </c>
      <c r="S40" s="106">
        <f t="shared" si="3"/>
        <v>608237.36170722614</v>
      </c>
      <c r="T40" s="107">
        <f>515673+24045</f>
        <v>539718</v>
      </c>
      <c r="U40" s="107">
        <v>68519.361707226097</v>
      </c>
      <c r="V40" s="101">
        <v>0</v>
      </c>
      <c r="W40" s="107">
        <v>81537.489999999991</v>
      </c>
      <c r="X40" s="108">
        <f t="shared" si="9"/>
        <v>7.4596036952722757</v>
      </c>
    </row>
    <row r="41" spans="2:24" s="102" customFormat="1" x14ac:dyDescent="0.3">
      <c r="B41" s="171" t="s">
        <v>40</v>
      </c>
      <c r="C41" s="103">
        <v>1159</v>
      </c>
      <c r="D41" s="97">
        <v>580.65070000000003</v>
      </c>
      <c r="E41" s="97">
        <v>580.65070000000003</v>
      </c>
      <c r="F41" s="105">
        <v>617</v>
      </c>
      <c r="G41" s="142">
        <f t="shared" si="0"/>
        <v>1.8784440842787682</v>
      </c>
      <c r="H41" s="104">
        <v>8596</v>
      </c>
      <c r="I41" s="97">
        <v>26394.948</v>
      </c>
      <c r="J41" s="97">
        <v>25453.4</v>
      </c>
      <c r="K41" s="105">
        <v>15629</v>
      </c>
      <c r="L41" s="138">
        <f t="shared" si="10"/>
        <v>0.55000319918100971</v>
      </c>
      <c r="M41" s="106">
        <f t="shared" si="7"/>
        <v>239514.44999999995</v>
      </c>
      <c r="N41" s="107">
        <v>180921.01999999996</v>
      </c>
      <c r="O41" s="107">
        <v>58593.43</v>
      </c>
      <c r="P41" s="101">
        <v>428455.62</v>
      </c>
      <c r="Q41" s="107">
        <v>159269.73000000001</v>
      </c>
      <c r="R41" s="98">
        <f t="shared" si="11"/>
        <v>1.5038290703450048</v>
      </c>
      <c r="S41" s="106">
        <f t="shared" si="3"/>
        <v>27139.69021946393</v>
      </c>
      <c r="T41" s="107">
        <v>18310.410000000003</v>
      </c>
      <c r="U41" s="107">
        <v>8829.2802194639262</v>
      </c>
      <c r="V41" s="101">
        <v>149370</v>
      </c>
      <c r="W41" s="107">
        <v>36449.089999999997</v>
      </c>
      <c r="X41" s="108">
        <f t="shared" si="9"/>
        <v>0.74459170913358697</v>
      </c>
    </row>
    <row r="42" spans="2:24" s="102" customFormat="1" x14ac:dyDescent="0.3">
      <c r="B42" s="171" t="s">
        <v>41</v>
      </c>
      <c r="C42" s="103">
        <v>786</v>
      </c>
      <c r="D42" s="97">
        <v>3164.2348000000002</v>
      </c>
      <c r="E42" s="97">
        <v>3164.2348000000002</v>
      </c>
      <c r="F42" s="105">
        <v>241</v>
      </c>
      <c r="G42" s="142">
        <f t="shared" si="0"/>
        <v>3.2614107883817427</v>
      </c>
      <c r="H42" s="104">
        <v>0</v>
      </c>
      <c r="I42" s="97">
        <v>0</v>
      </c>
      <c r="J42" s="97"/>
      <c r="K42" s="105">
        <v>0</v>
      </c>
      <c r="L42" s="138" t="str">
        <f t="shared" si="10"/>
        <v>NA</v>
      </c>
      <c r="M42" s="106">
        <f t="shared" si="7"/>
        <v>549303.2300000001</v>
      </c>
      <c r="N42" s="107">
        <v>385000</v>
      </c>
      <c r="O42" s="107">
        <v>164303.2300000001</v>
      </c>
      <c r="P42" s="101">
        <v>636660</v>
      </c>
      <c r="Q42" s="107">
        <v>372678.6</v>
      </c>
      <c r="R42" s="98">
        <f t="shared" si="11"/>
        <v>1.4739328472308315</v>
      </c>
      <c r="S42" s="106">
        <f t="shared" si="3"/>
        <v>0</v>
      </c>
      <c r="T42" s="107">
        <v>0</v>
      </c>
      <c r="U42" s="107">
        <v>0</v>
      </c>
      <c r="V42" s="101">
        <v>0</v>
      </c>
      <c r="W42" s="107">
        <v>0</v>
      </c>
      <c r="X42" s="108" t="str">
        <f t="shared" si="9"/>
        <v>NA</v>
      </c>
    </row>
    <row r="43" spans="2:24" s="102" customFormat="1" x14ac:dyDescent="0.3">
      <c r="B43" s="171" t="s">
        <v>42</v>
      </c>
      <c r="C43" s="103">
        <v>478</v>
      </c>
      <c r="D43" s="97">
        <v>6774.3208999999997</v>
      </c>
      <c r="E43" s="97">
        <v>6774.3208999999997</v>
      </c>
      <c r="F43" s="105">
        <v>120</v>
      </c>
      <c r="G43" s="142">
        <f t="shared" si="0"/>
        <v>3.9833333333333334</v>
      </c>
      <c r="H43" s="104">
        <v>6</v>
      </c>
      <c r="I43" s="97">
        <v>33230.582999999999</v>
      </c>
      <c r="J43" s="97">
        <v>31951.200000000001</v>
      </c>
      <c r="K43" s="105">
        <v>3156</v>
      </c>
      <c r="L43" s="138">
        <f t="shared" si="10"/>
        <v>1.9011406844106464E-3</v>
      </c>
      <c r="M43" s="106">
        <f t="shared" si="7"/>
        <v>58365.25</v>
      </c>
      <c r="N43" s="107">
        <v>54940.52</v>
      </c>
      <c r="O43" s="107">
        <v>3424.73</v>
      </c>
      <c r="P43" s="101">
        <v>3704135.83</v>
      </c>
      <c r="Q43" s="107">
        <v>19591.97</v>
      </c>
      <c r="R43" s="98">
        <f t="shared" si="11"/>
        <v>2.9790393717426067</v>
      </c>
      <c r="S43" s="106">
        <f t="shared" si="3"/>
        <v>641.63153170163832</v>
      </c>
      <c r="T43" s="107">
        <v>5.13</v>
      </c>
      <c r="U43" s="107">
        <v>636.50153170163833</v>
      </c>
      <c r="V43" s="101">
        <v>341224.35</v>
      </c>
      <c r="W43" s="107">
        <v>4748.8</v>
      </c>
      <c r="X43" s="108">
        <f t="shared" si="9"/>
        <v>0.1351144566420229</v>
      </c>
    </row>
    <row r="44" spans="2:24" s="102" customFormat="1" x14ac:dyDescent="0.3">
      <c r="B44" s="171" t="s">
        <v>43</v>
      </c>
      <c r="C44" s="103">
        <v>4083</v>
      </c>
      <c r="D44" s="97">
        <v>2180.2550999999999</v>
      </c>
      <c r="E44" s="97">
        <v>2180.2550999999999</v>
      </c>
      <c r="F44" s="105">
        <v>3154</v>
      </c>
      <c r="G44" s="142">
        <f t="shared" si="0"/>
        <v>1.2945466074825618</v>
      </c>
      <c r="H44" s="104">
        <v>105070</v>
      </c>
      <c r="I44" s="97">
        <v>51962.423000000003</v>
      </c>
      <c r="J44" s="97">
        <v>53664.9</v>
      </c>
      <c r="K44" s="105">
        <v>106374</v>
      </c>
      <c r="L44" s="138">
        <f t="shared" si="10"/>
        <v>0.98774136537123736</v>
      </c>
      <c r="M44" s="106">
        <f t="shared" si="7"/>
        <v>802199.04000000004</v>
      </c>
      <c r="N44" s="107">
        <v>527931.21</v>
      </c>
      <c r="O44" s="107">
        <v>274267.83</v>
      </c>
      <c r="P44" s="101">
        <v>870396.95</v>
      </c>
      <c r="Q44" s="107">
        <v>629937.81000000006</v>
      </c>
      <c r="R44" s="98">
        <f t="shared" si="11"/>
        <v>1.2734575179730836</v>
      </c>
      <c r="S44" s="106">
        <f t="shared" si="3"/>
        <v>109067.41386340332</v>
      </c>
      <c r="T44" s="107">
        <v>71990.62079999999</v>
      </c>
      <c r="U44" s="107">
        <v>37076.793063403333</v>
      </c>
      <c r="V44" s="101">
        <v>117205.88</v>
      </c>
      <c r="W44" s="107">
        <v>105325.85</v>
      </c>
      <c r="X44" s="108">
        <f t="shared" si="9"/>
        <v>1.0355236996748975</v>
      </c>
    </row>
    <row r="45" spans="2:24" s="102" customFormat="1" x14ac:dyDescent="0.3">
      <c r="B45" s="171" t="s">
        <v>44</v>
      </c>
      <c r="C45" s="103">
        <v>713</v>
      </c>
      <c r="D45" s="97">
        <v>2049.8220000000001</v>
      </c>
      <c r="E45" s="97">
        <v>2049.8220000000001</v>
      </c>
      <c r="F45" s="105">
        <v>611</v>
      </c>
      <c r="G45" s="142">
        <f t="shared" si="0"/>
        <v>1.1669394435351883</v>
      </c>
      <c r="H45" s="104">
        <v>17450</v>
      </c>
      <c r="I45" s="97">
        <v>0</v>
      </c>
      <c r="J45" s="97"/>
      <c r="K45" s="105">
        <v>20700</v>
      </c>
      <c r="L45" s="138">
        <f t="shared" si="10"/>
        <v>0.84299516908212557</v>
      </c>
      <c r="M45" s="106">
        <f t="shared" si="7"/>
        <v>197270.92999999993</v>
      </c>
      <c r="N45" s="107">
        <v>108197.77</v>
      </c>
      <c r="O45" s="107">
        <v>89073.159999999931</v>
      </c>
      <c r="P45" s="101">
        <v>614946.56000000006</v>
      </c>
      <c r="Q45" s="107">
        <v>179400.72</v>
      </c>
      <c r="R45" s="98">
        <f t="shared" si="11"/>
        <v>1.099610581273029</v>
      </c>
      <c r="S45" s="106">
        <f t="shared" si="3"/>
        <v>36435.948065850818</v>
      </c>
      <c r="T45" s="107">
        <v>23930.747299999999</v>
      </c>
      <c r="U45" s="107">
        <v>12505.200765850821</v>
      </c>
      <c r="V45" s="101">
        <v>208093.39</v>
      </c>
      <c r="W45" s="107">
        <v>27127</v>
      </c>
      <c r="X45" s="108">
        <f t="shared" si="9"/>
        <v>1.343161723222281</v>
      </c>
    </row>
    <row r="46" spans="2:24" s="102" customFormat="1" x14ac:dyDescent="0.3">
      <c r="B46" s="171" t="s">
        <v>45</v>
      </c>
      <c r="C46" s="103">
        <v>26824</v>
      </c>
      <c r="D46" s="97">
        <v>53005.603600000002</v>
      </c>
      <c r="E46" s="97">
        <v>53005.603600000002</v>
      </c>
      <c r="F46" s="105">
        <v>21970</v>
      </c>
      <c r="G46" s="142">
        <f t="shared" si="0"/>
        <v>1.2209376422394174</v>
      </c>
      <c r="H46" s="104">
        <v>83376</v>
      </c>
      <c r="I46" s="97">
        <v>265915.96100000001</v>
      </c>
      <c r="J46" s="97">
        <v>332145.5</v>
      </c>
      <c r="K46" s="105">
        <v>165031</v>
      </c>
      <c r="L46" s="138">
        <f t="shared" si="10"/>
        <v>0.50521417188285833</v>
      </c>
      <c r="M46" s="106">
        <f t="shared" si="7"/>
        <v>4568218.9399999985</v>
      </c>
      <c r="N46" s="107">
        <v>2875389.6199999992</v>
      </c>
      <c r="O46" s="107">
        <v>1692829.3199999996</v>
      </c>
      <c r="P46" s="101">
        <v>5924660.7000000002</v>
      </c>
      <c r="Q46" s="107">
        <v>5641996.9199999999</v>
      </c>
      <c r="R46" s="98">
        <f t="shared" si="11"/>
        <v>0.80968121833005158</v>
      </c>
      <c r="S46" s="106">
        <f t="shared" si="3"/>
        <v>427825.3376018072</v>
      </c>
      <c r="T46" s="107">
        <v>265901.46000000008</v>
      </c>
      <c r="U46" s="107">
        <v>161923.87760180712</v>
      </c>
      <c r="V46" s="101">
        <v>395963.13</v>
      </c>
      <c r="W46" s="107">
        <v>494901.24</v>
      </c>
      <c r="X46" s="108">
        <f t="shared" si="9"/>
        <v>0.86446608539879033</v>
      </c>
    </row>
    <row r="47" spans="2:24" s="102" customFormat="1" x14ac:dyDescent="0.3">
      <c r="B47" s="171" t="s">
        <v>46</v>
      </c>
      <c r="C47" s="103">
        <v>9087.9</v>
      </c>
      <c r="D47" s="97">
        <v>974.32529999999997</v>
      </c>
      <c r="E47" s="97">
        <v>974.32529999999997</v>
      </c>
      <c r="F47" s="105">
        <v>2054</v>
      </c>
      <c r="G47" s="142">
        <f t="shared" si="0"/>
        <v>4.4244888023369038</v>
      </c>
      <c r="H47" s="104">
        <v>855735.27986348118</v>
      </c>
      <c r="I47" s="97">
        <v>265025.40600000002</v>
      </c>
      <c r="J47" s="97">
        <v>331281.8</v>
      </c>
      <c r="K47" s="105">
        <v>160481</v>
      </c>
      <c r="L47" s="138">
        <f t="shared" si="10"/>
        <v>5.3323152264971005</v>
      </c>
      <c r="M47" s="253">
        <f t="shared" si="7"/>
        <v>1298885.92</v>
      </c>
      <c r="N47" s="107">
        <v>1133635.49</v>
      </c>
      <c r="O47" s="107">
        <v>165250.42999999996</v>
      </c>
      <c r="P47" s="101">
        <v>285218.3</v>
      </c>
      <c r="Q47" s="107">
        <v>387064.47</v>
      </c>
      <c r="R47" s="98">
        <f t="shared" si="11"/>
        <v>3.3557353378366144</v>
      </c>
      <c r="S47" s="106">
        <f t="shared" si="3"/>
        <v>1266352.6354018075</v>
      </c>
      <c r="T47" s="107">
        <v>1171098.0200000003</v>
      </c>
      <c r="U47" s="107">
        <v>95254.615401807241</v>
      </c>
      <c r="V47" s="101">
        <v>395963.13</v>
      </c>
      <c r="W47" s="107">
        <v>393166.14</v>
      </c>
      <c r="X47" s="108">
        <f t="shared" si="9"/>
        <v>3.2209097034699057</v>
      </c>
    </row>
    <row r="48" spans="2:24" s="102" customFormat="1" x14ac:dyDescent="0.3">
      <c r="B48" s="171" t="s">
        <v>47</v>
      </c>
      <c r="C48" s="103">
        <v>544</v>
      </c>
      <c r="D48" s="97">
        <v>2087.2698999999998</v>
      </c>
      <c r="E48" s="97">
        <v>2087.2698999999998</v>
      </c>
      <c r="F48" s="105">
        <v>628</v>
      </c>
      <c r="G48" s="142">
        <f t="shared" si="0"/>
        <v>0.86624203821656054</v>
      </c>
      <c r="H48" s="104">
        <v>42203</v>
      </c>
      <c r="I48" s="97">
        <v>159850.149</v>
      </c>
      <c r="J48" s="97">
        <v>122571.7</v>
      </c>
      <c r="K48" s="105">
        <v>24000</v>
      </c>
      <c r="L48" s="138">
        <f t="shared" si="10"/>
        <v>1.7584583333333332</v>
      </c>
      <c r="M48" s="106">
        <f t="shared" si="7"/>
        <v>334791.59999999998</v>
      </c>
      <c r="N48" s="107">
        <v>0</v>
      </c>
      <c r="O48" s="107">
        <v>334791.59999999998</v>
      </c>
      <c r="P48" s="101">
        <v>350000</v>
      </c>
      <c r="Q48" s="107">
        <v>361584.43</v>
      </c>
      <c r="R48" s="98">
        <f t="shared" si="11"/>
        <v>0.92590159371630021</v>
      </c>
      <c r="S48" s="106">
        <f t="shared" si="3"/>
        <v>45653.400000000009</v>
      </c>
      <c r="T48" s="107"/>
      <c r="U48" s="107">
        <v>45653.400000000009</v>
      </c>
      <c r="V48" s="101">
        <v>265583.31</v>
      </c>
      <c r="W48" s="107">
        <v>49306.97</v>
      </c>
      <c r="X48" s="108">
        <f t="shared" si="9"/>
        <v>0.92590155103832195</v>
      </c>
    </row>
    <row r="49" spans="2:24" s="102" customFormat="1" x14ac:dyDescent="0.3">
      <c r="B49" s="171" t="s">
        <v>48</v>
      </c>
      <c r="C49" s="103">
        <v>0</v>
      </c>
      <c r="D49" s="97">
        <v>3713.8649</v>
      </c>
      <c r="E49" s="97">
        <v>3713.8649</v>
      </c>
      <c r="F49" s="105">
        <v>0</v>
      </c>
      <c r="G49" s="142" t="str">
        <f t="shared" si="0"/>
        <v>NA</v>
      </c>
      <c r="H49" s="104">
        <v>0</v>
      </c>
      <c r="I49" s="97">
        <v>75885.600000000006</v>
      </c>
      <c r="J49" s="97">
        <v>66399.899999999994</v>
      </c>
      <c r="K49" s="105">
        <v>0</v>
      </c>
      <c r="L49" s="138" t="str">
        <f t="shared" si="10"/>
        <v>NA</v>
      </c>
      <c r="M49" s="106">
        <f t="shared" si="7"/>
        <v>54663.73</v>
      </c>
      <c r="N49" s="107">
        <v>0</v>
      </c>
      <c r="O49" s="107">
        <v>54663.73</v>
      </c>
      <c r="P49" s="101">
        <v>469388.74</v>
      </c>
      <c r="Q49" s="107">
        <v>54663.840000000004</v>
      </c>
      <c r="R49" s="98">
        <f t="shared" si="11"/>
        <v>0.99999798770082748</v>
      </c>
      <c r="S49" s="106">
        <f t="shared" si="3"/>
        <v>7454.1600000000008</v>
      </c>
      <c r="T49" s="107"/>
      <c r="U49" s="107">
        <v>7454.1600000000008</v>
      </c>
      <c r="V49" s="101">
        <v>53481.26</v>
      </c>
      <c r="W49" s="107">
        <v>7454.16</v>
      </c>
      <c r="X49" s="108">
        <f t="shared" si="9"/>
        <v>1.0000000000000002</v>
      </c>
    </row>
    <row r="50" spans="2:24" s="102" customFormat="1" x14ac:dyDescent="0.3">
      <c r="B50" s="171" t="s">
        <v>49</v>
      </c>
      <c r="C50" s="103">
        <v>1289</v>
      </c>
      <c r="D50" s="97">
        <v>3489.8589999999999</v>
      </c>
      <c r="E50" s="97">
        <v>3489.8589999999999</v>
      </c>
      <c r="F50" s="105">
        <v>1609</v>
      </c>
      <c r="G50" s="142">
        <f t="shared" si="0"/>
        <v>0.80111870727159729</v>
      </c>
      <c r="H50" s="104">
        <v>41101</v>
      </c>
      <c r="I50" s="97">
        <v>51436.523000000001</v>
      </c>
      <c r="J50" s="97">
        <v>52914</v>
      </c>
      <c r="K50" s="105">
        <v>46351</v>
      </c>
      <c r="L50" s="138">
        <f t="shared" si="10"/>
        <v>0.88673383530020933</v>
      </c>
      <c r="M50" s="106">
        <f t="shared" si="7"/>
        <v>1594879.3000000003</v>
      </c>
      <c r="N50" s="107">
        <v>763506.06</v>
      </c>
      <c r="O50" s="107">
        <v>831373.24000000022</v>
      </c>
      <c r="P50" s="101">
        <v>2833550.27</v>
      </c>
      <c r="Q50" s="107">
        <v>1866698.25</v>
      </c>
      <c r="R50" s="98">
        <f t="shared" si="11"/>
        <v>0.85438516910807638</v>
      </c>
      <c r="S50" s="106">
        <f t="shared" si="3"/>
        <v>139878.6897323078</v>
      </c>
      <c r="T50" s="107">
        <v>63385.26</v>
      </c>
      <c r="U50" s="107">
        <v>76493.429732307792</v>
      </c>
      <c r="V50" s="101">
        <v>407214</v>
      </c>
      <c r="W50" s="107">
        <v>188829.56</v>
      </c>
      <c r="X50" s="108">
        <f t="shared" si="9"/>
        <v>0.74076691028834574</v>
      </c>
    </row>
    <row r="51" spans="2:24" s="102" customFormat="1" x14ac:dyDescent="0.3">
      <c r="B51" s="171"/>
      <c r="C51" s="103"/>
      <c r="D51" s="97"/>
      <c r="E51" s="97"/>
      <c r="F51" s="105">
        <v>0</v>
      </c>
      <c r="G51" s="142" t="str">
        <f t="shared" si="0"/>
        <v>NA</v>
      </c>
      <c r="H51" s="104"/>
      <c r="I51" s="97"/>
      <c r="J51" s="97"/>
      <c r="K51" s="105">
        <v>0</v>
      </c>
      <c r="L51" s="138" t="str">
        <f t="shared" si="10"/>
        <v>NA</v>
      </c>
      <c r="M51" s="106"/>
      <c r="N51" s="107"/>
      <c r="O51" s="107"/>
      <c r="P51" s="101"/>
      <c r="Q51" s="107"/>
      <c r="R51" s="108"/>
      <c r="S51" s="106">
        <f t="shared" si="3"/>
        <v>0</v>
      </c>
      <c r="T51" s="107"/>
      <c r="U51" s="107"/>
      <c r="V51" s="101"/>
      <c r="W51" s="107"/>
      <c r="X51" s="108"/>
    </row>
    <row r="52" spans="2:24" s="102" customFormat="1" x14ac:dyDescent="0.3">
      <c r="B52" s="171"/>
      <c r="C52" s="103"/>
      <c r="D52" s="105"/>
      <c r="E52" s="105"/>
      <c r="F52" s="105"/>
      <c r="G52" s="142"/>
      <c r="H52" s="104"/>
      <c r="I52" s="105"/>
      <c r="J52" s="105"/>
      <c r="K52" s="105"/>
      <c r="L52" s="142"/>
      <c r="M52" s="106"/>
      <c r="N52" s="107"/>
      <c r="O52" s="107"/>
      <c r="P52" s="107"/>
      <c r="Q52" s="107"/>
      <c r="R52" s="108"/>
      <c r="S52" s="106"/>
      <c r="T52" s="107"/>
      <c r="U52" s="107"/>
      <c r="V52" s="107"/>
      <c r="W52" s="107"/>
      <c r="X52" s="108"/>
    </row>
    <row r="53" spans="2:24" s="96" customFormat="1" x14ac:dyDescent="0.3">
      <c r="B53" s="172" t="s">
        <v>50</v>
      </c>
      <c r="C53" s="16">
        <f>SUM(C39:C52)</f>
        <v>54875.9</v>
      </c>
      <c r="D53" s="17">
        <f>SUM(D39:D52)</f>
        <v>80814.314499999993</v>
      </c>
      <c r="E53" s="17">
        <f>SUM(E39:E52)</f>
        <v>80814.314499999993</v>
      </c>
      <c r="F53" s="17">
        <f>SUM(F39:F52)</f>
        <v>39108</v>
      </c>
      <c r="G53" s="139">
        <f t="shared" si="0"/>
        <v>1.4031886059118339</v>
      </c>
      <c r="H53" s="16">
        <f>SUM(H39:H52)</f>
        <v>1433312.2798634812</v>
      </c>
      <c r="I53" s="17">
        <f>SUM(I39:I52)</f>
        <v>1006822.191</v>
      </c>
      <c r="J53" s="17">
        <f>SUM(J39:J52)</f>
        <v>1079254.2000000002</v>
      </c>
      <c r="K53" s="17">
        <f>SUM(K39:K52)</f>
        <v>604252</v>
      </c>
      <c r="L53" s="139">
        <f t="shared" ref="L53" si="12">IF(K53=0,"NA",H53/K53)</f>
        <v>2.3720439152265631</v>
      </c>
      <c r="M53" s="19">
        <f t="shared" si="7"/>
        <v>15270845.929999998</v>
      </c>
      <c r="N53" s="21">
        <f>SUM(N39:N52)</f>
        <v>9775742.9299999978</v>
      </c>
      <c r="O53" s="21">
        <f>SUM(O39:O52)</f>
        <v>5495103</v>
      </c>
      <c r="P53" s="21">
        <f>SUM(P39:P52)</f>
        <v>18249063.510000002</v>
      </c>
      <c r="Q53" s="21">
        <f>SUM(Q39:Q52)</f>
        <v>13237018.060000001</v>
      </c>
      <c r="R53" s="13" t="str">
        <f>IF(Q18=0,"NA",(M53/Q18))</f>
        <v>NA</v>
      </c>
      <c r="S53" s="19">
        <f t="shared" si="3"/>
        <v>3055217.649972464</v>
      </c>
      <c r="T53" s="21">
        <f>SUM(T39:T52)</f>
        <v>2331862.4981000004</v>
      </c>
      <c r="U53" s="21">
        <f>SUM(U39:U52)</f>
        <v>723355.15187246364</v>
      </c>
      <c r="V53" s="21">
        <f>SUM(V39:V52)</f>
        <v>2708199.2699999996</v>
      </c>
      <c r="W53" s="21">
        <f>SUM(W39:W52)</f>
        <v>1852250.8900000001</v>
      </c>
      <c r="X53" s="13">
        <f t="shared" si="9"/>
        <v>1.6494621039013044</v>
      </c>
    </row>
    <row r="54" spans="2:24" s="96" customFormat="1" ht="15.6" customHeight="1" x14ac:dyDescent="0.3">
      <c r="B54" s="174" t="s">
        <v>51</v>
      </c>
      <c r="C54" s="123"/>
      <c r="D54" s="124"/>
      <c r="E54" s="124"/>
      <c r="F54" s="124"/>
      <c r="G54" s="141"/>
      <c r="H54" s="126"/>
      <c r="I54" s="127"/>
      <c r="J54" s="124"/>
      <c r="K54" s="124"/>
      <c r="L54" s="141"/>
      <c r="M54" s="128">
        <f t="shared" si="7"/>
        <v>0</v>
      </c>
      <c r="N54" s="129"/>
      <c r="O54" s="129"/>
      <c r="P54" s="129"/>
      <c r="Q54" s="129"/>
      <c r="R54" s="125"/>
      <c r="S54" s="128">
        <f t="shared" si="3"/>
        <v>0</v>
      </c>
      <c r="T54" s="129"/>
      <c r="U54" s="129"/>
      <c r="V54" s="129"/>
      <c r="W54" s="129"/>
      <c r="X54" s="125"/>
    </row>
    <row r="55" spans="2:24" s="102" customFormat="1" x14ac:dyDescent="0.3">
      <c r="B55" s="171" t="s">
        <v>52</v>
      </c>
      <c r="C55" s="103">
        <v>1090</v>
      </c>
      <c r="D55" s="97">
        <v>2361.2361000000001</v>
      </c>
      <c r="E55" s="97">
        <v>2361.2361000000001</v>
      </c>
      <c r="F55" s="105">
        <v>1169</v>
      </c>
      <c r="G55" s="142">
        <f t="shared" si="0"/>
        <v>0.93242087254063299</v>
      </c>
      <c r="H55" s="104">
        <v>111877</v>
      </c>
      <c r="I55" s="97">
        <v>253241.02</v>
      </c>
      <c r="J55" s="97">
        <v>222664</v>
      </c>
      <c r="K55" s="105">
        <v>127259</v>
      </c>
      <c r="L55" s="142">
        <f t="shared" si="1"/>
        <v>0.87912839170510537</v>
      </c>
      <c r="M55" s="106">
        <f t="shared" si="7"/>
        <v>3654568.1400000006</v>
      </c>
      <c r="N55" s="107">
        <v>1575577.89</v>
      </c>
      <c r="O55" s="107">
        <v>2078990.2500000005</v>
      </c>
      <c r="P55" s="101">
        <v>3780196.39</v>
      </c>
      <c r="Q55" s="107">
        <v>3576338.1100000003</v>
      </c>
      <c r="R55" s="108">
        <f t="shared" si="8"/>
        <v>1.0218743383857518</v>
      </c>
      <c r="S55" s="106">
        <f t="shared" si="3"/>
        <v>1639572.9285407383</v>
      </c>
      <c r="T55" s="107">
        <v>1048197.04</v>
      </c>
      <c r="U55" s="107">
        <v>591375.88854073826</v>
      </c>
      <c r="V55" s="101">
        <v>1889322.88</v>
      </c>
      <c r="W55" s="107">
        <v>1794556.15</v>
      </c>
      <c r="X55" s="108">
        <f t="shared" si="9"/>
        <v>0.91363701745456016</v>
      </c>
    </row>
    <row r="56" spans="2:24" s="102" customFormat="1" x14ac:dyDescent="0.3">
      <c r="B56" s="171" t="s">
        <v>53</v>
      </c>
      <c r="C56" s="103">
        <v>3849</v>
      </c>
      <c r="D56" s="97">
        <v>3943.4886000000001</v>
      </c>
      <c r="E56" s="97">
        <v>3943.4886000000001</v>
      </c>
      <c r="F56" s="105">
        <f>8452-2498</f>
        <v>5954</v>
      </c>
      <c r="G56" s="142">
        <f t="shared" si="0"/>
        <v>0.64645616392341287</v>
      </c>
      <c r="H56" s="104">
        <v>386885.54607508529</v>
      </c>
      <c r="I56" s="97">
        <v>664828.38500000001</v>
      </c>
      <c r="J56" s="97">
        <v>578335</v>
      </c>
      <c r="K56" s="105">
        <f>220524+2498*1000/29.3</f>
        <v>305779.97269624576</v>
      </c>
      <c r="L56" s="142">
        <f t="shared" si="1"/>
        <v>1.2652416136468421</v>
      </c>
      <c r="M56" s="106">
        <f t="shared" si="7"/>
        <v>19553580.45000001</v>
      </c>
      <c r="N56" s="107">
        <v>11585541.810000008</v>
      </c>
      <c r="O56" s="107">
        <v>7968038.6400000006</v>
      </c>
      <c r="P56" s="101">
        <v>13106051.1</v>
      </c>
      <c r="Q56" s="107">
        <v>17545634.73</v>
      </c>
      <c r="R56" s="108">
        <f t="shared" si="8"/>
        <v>1.1144413269111757</v>
      </c>
      <c r="S56" s="106">
        <f t="shared" si="3"/>
        <v>3313496.3138357885</v>
      </c>
      <c r="T56" s="107">
        <v>2221676.0229000011</v>
      </c>
      <c r="U56" s="107">
        <v>1091820.2909357876</v>
      </c>
      <c r="V56" s="101">
        <v>3443804.1</v>
      </c>
      <c r="W56" s="107">
        <v>2846688.1</v>
      </c>
      <c r="X56" s="108">
        <f t="shared" si="9"/>
        <v>1.1639829153871084</v>
      </c>
    </row>
    <row r="57" spans="2:24" s="102" customFormat="1" x14ac:dyDescent="0.3">
      <c r="B57" s="171" t="s">
        <v>54</v>
      </c>
      <c r="C57" s="103">
        <v>207</v>
      </c>
      <c r="D57" s="97">
        <v>0</v>
      </c>
      <c r="E57" s="97">
        <v>0</v>
      </c>
      <c r="F57" s="105">
        <v>220</v>
      </c>
      <c r="G57" s="142">
        <f t="shared" si="0"/>
        <v>0.94090909090909092</v>
      </c>
      <c r="H57" s="104">
        <v>3447.0989761092151</v>
      </c>
      <c r="I57" s="97"/>
      <c r="J57" s="97">
        <v>0</v>
      </c>
      <c r="K57" s="105">
        <v>0</v>
      </c>
      <c r="L57" s="142" t="str">
        <f t="shared" si="1"/>
        <v>NA</v>
      </c>
      <c r="M57" s="106">
        <f t="shared" si="7"/>
        <v>437465.44</v>
      </c>
      <c r="N57" s="107">
        <v>208015.43999999997</v>
      </c>
      <c r="O57" s="107">
        <v>229450.00000000003</v>
      </c>
      <c r="P57" s="101"/>
      <c r="Q57" s="107">
        <v>216893</v>
      </c>
      <c r="R57" s="108">
        <f t="shared" si="8"/>
        <v>2.0169643095904433</v>
      </c>
      <c r="S57" s="106">
        <f t="shared" si="3"/>
        <v>0</v>
      </c>
      <c r="T57" s="107">
        <v>0</v>
      </c>
      <c r="U57" s="107">
        <v>0</v>
      </c>
      <c r="V57" s="101">
        <v>0</v>
      </c>
      <c r="W57" s="107">
        <v>0</v>
      </c>
      <c r="X57" s="108" t="str">
        <f t="shared" si="9"/>
        <v>NA</v>
      </c>
    </row>
    <row r="58" spans="2:24" s="102" customFormat="1" x14ac:dyDescent="0.3">
      <c r="B58" s="171" t="s">
        <v>55</v>
      </c>
      <c r="C58" s="103">
        <v>8168</v>
      </c>
      <c r="D58" s="97">
        <v>6505.0693000000001</v>
      </c>
      <c r="E58" s="97">
        <v>6505.0693000000001</v>
      </c>
      <c r="F58" s="105">
        <v>6120</v>
      </c>
      <c r="G58" s="142">
        <f t="shared" si="0"/>
        <v>1.3346405228758169</v>
      </c>
      <c r="H58" s="104">
        <v>89537</v>
      </c>
      <c r="I58" s="97">
        <v>37836.194000000003</v>
      </c>
      <c r="J58" s="97">
        <v>35353</v>
      </c>
      <c r="K58" s="105">
        <v>50728</v>
      </c>
      <c r="L58" s="142">
        <f t="shared" si="1"/>
        <v>1.7650410029963728</v>
      </c>
      <c r="M58" s="106">
        <f t="shared" si="7"/>
        <v>7999961.7300000004</v>
      </c>
      <c r="N58" s="107">
        <v>5184907.870000001</v>
      </c>
      <c r="O58" s="107">
        <v>2815053.8599999994</v>
      </c>
      <c r="P58" s="101">
        <v>5197215.59</v>
      </c>
      <c r="Q58" s="107">
        <v>6930762.4900000002</v>
      </c>
      <c r="R58" s="108">
        <f t="shared" si="8"/>
        <v>1.1542686308386252</v>
      </c>
      <c r="S58" s="106">
        <f t="shared" si="3"/>
        <v>441873.11970437126</v>
      </c>
      <c r="T58" s="107">
        <v>263590.03000000009</v>
      </c>
      <c r="U58" s="107">
        <v>178283.08970437117</v>
      </c>
      <c r="V58" s="101">
        <v>630989.74</v>
      </c>
      <c r="W58" s="107">
        <v>344470.12</v>
      </c>
      <c r="X58" s="108">
        <f t="shared" si="9"/>
        <v>1.2827618247538313</v>
      </c>
    </row>
    <row r="59" spans="2:24" s="102" customFormat="1" x14ac:dyDescent="0.3">
      <c r="B59" s="171" t="s">
        <v>56</v>
      </c>
      <c r="C59" s="103">
        <v>0</v>
      </c>
      <c r="D59" s="97">
        <v>0</v>
      </c>
      <c r="E59" s="97">
        <v>0</v>
      </c>
      <c r="F59" s="105">
        <v>0</v>
      </c>
      <c r="G59" s="142" t="str">
        <f t="shared" si="0"/>
        <v>NA</v>
      </c>
      <c r="H59" s="104">
        <v>0</v>
      </c>
      <c r="I59" s="97"/>
      <c r="J59" s="97"/>
      <c r="K59" s="105">
        <v>0</v>
      </c>
      <c r="L59" s="142" t="str">
        <f t="shared" si="1"/>
        <v>NA</v>
      </c>
      <c r="M59" s="106">
        <f t="shared" si="7"/>
        <v>0</v>
      </c>
      <c r="N59" s="107">
        <v>0</v>
      </c>
      <c r="O59" s="107">
        <v>0</v>
      </c>
      <c r="P59" s="101"/>
      <c r="Q59" s="107">
        <v>0</v>
      </c>
      <c r="R59" s="108" t="str">
        <f t="shared" si="8"/>
        <v>NA</v>
      </c>
      <c r="S59" s="106">
        <f t="shared" si="3"/>
        <v>0</v>
      </c>
      <c r="T59" s="107">
        <v>0</v>
      </c>
      <c r="U59" s="107">
        <v>0</v>
      </c>
      <c r="V59" s="101">
        <v>0</v>
      </c>
      <c r="W59" s="107">
        <v>0</v>
      </c>
      <c r="X59" s="108" t="str">
        <f t="shared" si="9"/>
        <v>NA</v>
      </c>
    </row>
    <row r="60" spans="2:24" s="102" customFormat="1" x14ac:dyDescent="0.3">
      <c r="B60" s="171" t="s">
        <v>57</v>
      </c>
      <c r="C60" s="103">
        <v>100579.1</v>
      </c>
      <c r="D60" s="97">
        <v>50327.337099999997</v>
      </c>
      <c r="E60" s="97">
        <v>50327.337099999997</v>
      </c>
      <c r="F60" s="105">
        <v>63938</v>
      </c>
      <c r="G60" s="142">
        <f t="shared" si="0"/>
        <v>1.5730723513403611</v>
      </c>
      <c r="H60" s="104">
        <v>524271.26279863482</v>
      </c>
      <c r="I60" s="97">
        <v>216525.856</v>
      </c>
      <c r="J60" s="97">
        <v>240569</v>
      </c>
      <c r="K60" s="105">
        <v>183276</v>
      </c>
      <c r="L60" s="142">
        <f t="shared" si="1"/>
        <v>2.8605560073257537</v>
      </c>
      <c r="M60" s="106">
        <f t="shared" si="7"/>
        <v>8649822.4400000013</v>
      </c>
      <c r="N60" s="107">
        <f>7089737.57+432881.9</f>
        <v>7522619.4700000007</v>
      </c>
      <c r="O60" s="107">
        <f>1001932.94+125270.03</f>
        <v>1127202.97</v>
      </c>
      <c r="P60" s="101">
        <v>2650746.42</v>
      </c>
      <c r="Q60" s="107">
        <v>4666413.03</v>
      </c>
      <c r="R60" s="108">
        <f t="shared" si="8"/>
        <v>1.853634126338791</v>
      </c>
      <c r="S60" s="106">
        <f t="shared" si="3"/>
        <v>753477.42</v>
      </c>
      <c r="T60" s="107">
        <v>632132.02</v>
      </c>
      <c r="U60" s="107">
        <v>121345.4</v>
      </c>
      <c r="V60" s="101">
        <v>638250</v>
      </c>
      <c r="W60" s="107">
        <v>350823.9</v>
      </c>
      <c r="X60" s="108">
        <f t="shared" si="9"/>
        <v>2.1477368560123753</v>
      </c>
    </row>
    <row r="61" spans="2:24" s="102" customFormat="1" x14ac:dyDescent="0.3">
      <c r="B61" s="171" t="s">
        <v>58</v>
      </c>
      <c r="C61" s="103">
        <v>2617</v>
      </c>
      <c r="D61" s="97">
        <v>1307.8862999999999</v>
      </c>
      <c r="E61" s="97">
        <v>1307.8862999999999</v>
      </c>
      <c r="F61" s="105">
        <v>2868</v>
      </c>
      <c r="G61" s="142">
        <f t="shared" si="0"/>
        <v>0.91248256624825663</v>
      </c>
      <c r="H61" s="104">
        <v>40070</v>
      </c>
      <c r="I61" s="97">
        <v>33719.125</v>
      </c>
      <c r="J61" s="97">
        <v>32053</v>
      </c>
      <c r="K61" s="105">
        <v>81912</v>
      </c>
      <c r="L61" s="142">
        <f t="shared" si="1"/>
        <v>0.48918351401504051</v>
      </c>
      <c r="M61" s="106">
        <f t="shared" si="7"/>
        <v>672741.16999999993</v>
      </c>
      <c r="N61" s="107">
        <v>173462.85999999996</v>
      </c>
      <c r="O61" s="107">
        <v>499278.31</v>
      </c>
      <c r="P61" s="101">
        <v>674004.15</v>
      </c>
      <c r="Q61" s="107">
        <v>500015.07</v>
      </c>
      <c r="R61" s="108">
        <f t="shared" si="8"/>
        <v>1.345441788384498</v>
      </c>
      <c r="S61" s="106">
        <f t="shared" si="3"/>
        <v>139200.68768047789</v>
      </c>
      <c r="T61" s="107">
        <v>70167.399999999994</v>
      </c>
      <c r="U61" s="107">
        <v>69033.287680477893</v>
      </c>
      <c r="V61" s="101">
        <v>59927.18</v>
      </c>
      <c r="W61" s="107">
        <v>114294.18</v>
      </c>
      <c r="X61" s="108">
        <f t="shared" si="9"/>
        <v>1.2179158000912897</v>
      </c>
    </row>
    <row r="62" spans="2:24" s="102" customFormat="1" x14ac:dyDescent="0.3">
      <c r="B62" s="171" t="s">
        <v>59</v>
      </c>
      <c r="C62" s="103">
        <v>4294</v>
      </c>
      <c r="D62" s="97">
        <v>5907.0816000000004</v>
      </c>
      <c r="E62" s="97">
        <v>5907.0816000000004</v>
      </c>
      <c r="F62" s="105">
        <f>11160.337-7275</f>
        <v>3885.3369999999995</v>
      </c>
      <c r="G62" s="142">
        <f t="shared" si="0"/>
        <v>1.1051808375952976</v>
      </c>
      <c r="H62" s="104">
        <v>498607.02047781571</v>
      </c>
      <c r="I62" s="97">
        <v>604560.55099999998</v>
      </c>
      <c r="J62" s="97">
        <v>504778</v>
      </c>
      <c r="K62" s="105">
        <f>13069+7275*1000/29.3</f>
        <v>261362.51535836176</v>
      </c>
      <c r="L62" s="142">
        <f t="shared" si="1"/>
        <v>1.9077219998214399</v>
      </c>
      <c r="M62" s="106">
        <f t="shared" si="7"/>
        <v>2332747.1499999994</v>
      </c>
      <c r="N62" s="107">
        <v>1989563.6299999997</v>
      </c>
      <c r="O62" s="107">
        <v>343183.52</v>
      </c>
      <c r="P62" s="101">
        <v>2085904.97</v>
      </c>
      <c r="Q62" s="107">
        <v>1769138.68</v>
      </c>
      <c r="R62" s="108">
        <f t="shared" si="8"/>
        <v>1.318577891248186</v>
      </c>
      <c r="S62" s="106">
        <f t="shared" si="3"/>
        <v>137350.95835871561</v>
      </c>
      <c r="T62" s="107">
        <v>112531.02550000002</v>
      </c>
      <c r="U62" s="107">
        <v>24819.932858715598</v>
      </c>
      <c r="V62" s="101">
        <v>140162.47</v>
      </c>
      <c r="W62" s="107">
        <v>105989.57999999999</v>
      </c>
      <c r="X62" s="108">
        <f t="shared" si="9"/>
        <v>1.2958911466458838</v>
      </c>
    </row>
    <row r="63" spans="2:24" s="102" customFormat="1" x14ac:dyDescent="0.3">
      <c r="B63" s="171" t="s">
        <v>60</v>
      </c>
      <c r="C63" s="103">
        <v>0</v>
      </c>
      <c r="D63" s="97">
        <v>1261.7430999999999</v>
      </c>
      <c r="E63" s="97">
        <v>1261.7430999999999</v>
      </c>
      <c r="F63" s="105">
        <v>796</v>
      </c>
      <c r="G63" s="142">
        <f t="shared" si="0"/>
        <v>0</v>
      </c>
      <c r="H63" s="104">
        <v>0</v>
      </c>
      <c r="I63" s="97">
        <v>0</v>
      </c>
      <c r="J63" s="97"/>
      <c r="K63" s="105">
        <v>0</v>
      </c>
      <c r="L63" s="142" t="str">
        <f t="shared" si="1"/>
        <v>NA</v>
      </c>
      <c r="M63" s="106">
        <f t="shared" si="7"/>
        <v>577795.24</v>
      </c>
      <c r="N63" s="107">
        <v>35.32</v>
      </c>
      <c r="O63" s="107">
        <v>577759.92000000004</v>
      </c>
      <c r="P63" s="101">
        <v>1745294.59</v>
      </c>
      <c r="Q63" s="107">
        <v>1310012.46</v>
      </c>
      <c r="R63" s="108">
        <f t="shared" si="8"/>
        <v>0.44106087357367579</v>
      </c>
      <c r="S63" s="106">
        <f t="shared" si="3"/>
        <v>0</v>
      </c>
      <c r="T63" s="107">
        <v>0</v>
      </c>
      <c r="U63" s="107">
        <v>0</v>
      </c>
      <c r="V63" s="101">
        <v>0</v>
      </c>
      <c r="W63" s="107">
        <v>0</v>
      </c>
      <c r="X63" s="108" t="str">
        <f t="shared" si="9"/>
        <v>NA</v>
      </c>
    </row>
    <row r="64" spans="2:24" s="102" customFormat="1" x14ac:dyDescent="0.3">
      <c r="B64" s="171" t="s">
        <v>61</v>
      </c>
      <c r="C64" s="103">
        <v>334</v>
      </c>
      <c r="D64" s="97">
        <v>996.33699999999999</v>
      </c>
      <c r="E64" s="97">
        <v>996.33699999999999</v>
      </c>
      <c r="F64" s="105">
        <v>98</v>
      </c>
      <c r="G64" s="142">
        <f t="shared" si="0"/>
        <v>3.4081632653061225</v>
      </c>
      <c r="H64" s="104">
        <v>56526.040955631397</v>
      </c>
      <c r="I64" s="97">
        <v>42392.367165071424</v>
      </c>
      <c r="J64" s="97">
        <v>43814</v>
      </c>
      <c r="K64" s="105">
        <v>39914</v>
      </c>
      <c r="L64" s="142">
        <f t="shared" si="1"/>
        <v>1.4161958449574434</v>
      </c>
      <c r="M64" s="106">
        <f t="shared" si="7"/>
        <v>1678616.4300000002</v>
      </c>
      <c r="N64" s="107">
        <v>1148152.9400000002</v>
      </c>
      <c r="O64" s="107">
        <v>530463.49</v>
      </c>
      <c r="P64" s="101">
        <v>1089672.93</v>
      </c>
      <c r="Q64" s="107">
        <v>1082103.8799999999</v>
      </c>
      <c r="R64" s="108">
        <f t="shared" si="8"/>
        <v>1.551252574752805</v>
      </c>
      <c r="S64" s="106">
        <f t="shared" si="3"/>
        <v>420796.12838041969</v>
      </c>
      <c r="T64" s="107">
        <v>350180.61000000004</v>
      </c>
      <c r="U64" s="107">
        <v>70615.518380419613</v>
      </c>
      <c r="V64" s="101">
        <v>196063.4</v>
      </c>
      <c r="W64" s="107">
        <v>359703.92</v>
      </c>
      <c r="X64" s="108">
        <f t="shared" si="9"/>
        <v>1.1698402630152591</v>
      </c>
    </row>
    <row r="65" spans="2:24" s="102" customFormat="1" x14ac:dyDescent="0.3">
      <c r="B65" s="171" t="s">
        <v>62</v>
      </c>
      <c r="C65" s="103">
        <v>0</v>
      </c>
      <c r="D65" s="97">
        <v>0</v>
      </c>
      <c r="E65" s="97">
        <v>0</v>
      </c>
      <c r="F65" s="105">
        <f>1081-407</f>
        <v>674</v>
      </c>
      <c r="G65" s="142">
        <f t="shared" si="0"/>
        <v>0</v>
      </c>
      <c r="H65" s="104"/>
      <c r="I65" s="97">
        <v>0</v>
      </c>
      <c r="J65" s="97"/>
      <c r="K65" s="105">
        <f>407*1000/29.3</f>
        <v>13890.784982935153</v>
      </c>
      <c r="L65" s="142">
        <f t="shared" si="1"/>
        <v>0</v>
      </c>
      <c r="M65" s="106">
        <f t="shared" si="7"/>
        <v>35432.71</v>
      </c>
      <c r="N65" s="107">
        <v>0</v>
      </c>
      <c r="O65" s="107">
        <v>35432.71</v>
      </c>
      <c r="P65" s="101">
        <v>0</v>
      </c>
      <c r="Q65" s="107">
        <v>883219.67999999993</v>
      </c>
      <c r="R65" s="108">
        <f t="shared" si="8"/>
        <v>4.011766359191634E-2</v>
      </c>
      <c r="S65" s="106">
        <f t="shared" si="3"/>
        <v>4706.9399999999996</v>
      </c>
      <c r="T65" s="107"/>
      <c r="U65" s="107">
        <v>4706.9399999999996</v>
      </c>
      <c r="V65" s="101"/>
      <c r="W65" s="107">
        <v>64042.32</v>
      </c>
      <c r="X65" s="108">
        <f t="shared" si="9"/>
        <v>7.3497337385653727E-2</v>
      </c>
    </row>
    <row r="66" spans="2:24" s="102" customFormat="1" x14ac:dyDescent="0.3">
      <c r="B66" s="171"/>
      <c r="C66" s="103"/>
      <c r="D66" s="105"/>
      <c r="E66" s="105"/>
      <c r="F66" s="105"/>
      <c r="G66" s="142"/>
      <c r="H66" s="104"/>
      <c r="I66" s="105"/>
      <c r="J66" s="105"/>
      <c r="K66" s="105"/>
      <c r="L66" s="142"/>
      <c r="M66" s="106"/>
      <c r="N66" s="107"/>
      <c r="O66" s="107"/>
      <c r="P66" s="107"/>
      <c r="Q66" s="107"/>
      <c r="R66" s="108"/>
      <c r="S66" s="106"/>
      <c r="T66" s="107"/>
      <c r="U66" s="107"/>
      <c r="V66" s="107"/>
      <c r="W66" s="107"/>
      <c r="X66" s="108"/>
    </row>
    <row r="67" spans="2:24" s="96" customFormat="1" ht="15.75" customHeight="1" x14ac:dyDescent="0.3">
      <c r="B67" s="172" t="s">
        <v>63</v>
      </c>
      <c r="C67" s="16">
        <f>SUM(C55:C66)</f>
        <v>121138.1</v>
      </c>
      <c r="D67" s="17">
        <f>SUM(D55:D66)</f>
        <v>72610.179100000008</v>
      </c>
      <c r="E67" s="17">
        <f>SUM(E55:E66)</f>
        <v>72610.179100000008</v>
      </c>
      <c r="F67" s="17">
        <f>SUM(F55:F66)</f>
        <v>85722.337</v>
      </c>
      <c r="G67" s="139">
        <f t="shared" si="0"/>
        <v>1.4131450942593877</v>
      </c>
      <c r="H67" s="16">
        <f>SUM(H55:H66)</f>
        <v>1711220.9692832765</v>
      </c>
      <c r="I67" s="17">
        <f>SUM(I55:I66)</f>
        <v>1853103.4981650715</v>
      </c>
      <c r="J67" s="17">
        <f>SUM(J55:J66)</f>
        <v>1657566</v>
      </c>
      <c r="K67" s="17">
        <f>SUM(K55:K66)</f>
        <v>1064122.2730375426</v>
      </c>
      <c r="L67" s="139">
        <f t="shared" ref="L67" si="13">IF(K67=0,"NA",H67/K67)</f>
        <v>1.6081055839556739</v>
      </c>
      <c r="M67" s="19">
        <f>SUM(N67:O67)</f>
        <v>45592730.900000013</v>
      </c>
      <c r="N67" s="21">
        <f>SUM(N55:N66)</f>
        <v>29387877.230000012</v>
      </c>
      <c r="O67" s="21">
        <f>SUM(O55:O66)</f>
        <v>16204853.670000002</v>
      </c>
      <c r="P67" s="21">
        <f>SUM(P55:P66)</f>
        <v>30329086.139999997</v>
      </c>
      <c r="Q67" s="21">
        <f>SUM(Q55:Q66)</f>
        <v>38480531.130000003</v>
      </c>
      <c r="R67" s="13">
        <f t="shared" si="8"/>
        <v>1.1848259252444473</v>
      </c>
      <c r="S67" s="19">
        <f t="shared" si="3"/>
        <v>6850474.4965005126</v>
      </c>
      <c r="T67" s="21">
        <f>SUM(T55:T66)</f>
        <v>4698474.1484000022</v>
      </c>
      <c r="U67" s="21">
        <f>SUM(U55:U66)</f>
        <v>2152000.34810051</v>
      </c>
      <c r="V67" s="21">
        <f>SUM(V55:V66)</f>
        <v>6998519.7700000005</v>
      </c>
      <c r="W67" s="21">
        <f>SUM(W55:W66)</f>
        <v>5980568.2700000005</v>
      </c>
      <c r="X67" s="13">
        <f t="shared" si="9"/>
        <v>1.1454554462431563</v>
      </c>
    </row>
    <row r="68" spans="2:24" s="96" customFormat="1" ht="15.6" customHeight="1" x14ac:dyDescent="0.3">
      <c r="B68" s="174" t="s">
        <v>64</v>
      </c>
      <c r="C68" s="123"/>
      <c r="D68" s="124"/>
      <c r="E68" s="124"/>
      <c r="F68" s="124"/>
      <c r="G68" s="141"/>
      <c r="H68" s="126"/>
      <c r="I68" s="127"/>
      <c r="J68" s="124"/>
      <c r="K68" s="124"/>
      <c r="L68" s="141"/>
      <c r="M68" s="128"/>
      <c r="N68" s="129"/>
      <c r="O68" s="129"/>
      <c r="P68" s="129"/>
      <c r="Q68" s="129"/>
      <c r="R68" s="125"/>
      <c r="S68" s="128"/>
      <c r="T68" s="129"/>
      <c r="U68" s="129"/>
      <c r="V68" s="129"/>
      <c r="W68" s="129"/>
      <c r="X68" s="125"/>
    </row>
    <row r="69" spans="2:24" s="112" customFormat="1" x14ac:dyDescent="0.3">
      <c r="B69" s="283" t="s">
        <v>65</v>
      </c>
      <c r="C69" s="280">
        <f t="shared" ref="C69:X69" si="14">C26</f>
        <v>26686</v>
      </c>
      <c r="D69" s="109">
        <f t="shared" si="14"/>
        <v>19664.682000000001</v>
      </c>
      <c r="E69" s="109">
        <f t="shared" si="14"/>
        <v>19664.682000000001</v>
      </c>
      <c r="F69" s="109">
        <f t="shared" si="14"/>
        <v>26836.400000000001</v>
      </c>
      <c r="G69" s="281">
        <f t="shared" si="14"/>
        <v>0.99439567155058051</v>
      </c>
      <c r="H69" s="280">
        <f t="shared" si="14"/>
        <v>0</v>
      </c>
      <c r="I69" s="109">
        <f t="shared" si="14"/>
        <v>0</v>
      </c>
      <c r="J69" s="109">
        <f t="shared" si="14"/>
        <v>0</v>
      </c>
      <c r="K69" s="109">
        <f t="shared" si="14"/>
        <v>0</v>
      </c>
      <c r="L69" s="281" t="str">
        <f t="shared" si="14"/>
        <v>NA</v>
      </c>
      <c r="M69" s="282">
        <f t="shared" si="14"/>
        <v>4638246.9799999995</v>
      </c>
      <c r="N69" s="111">
        <f t="shared" si="14"/>
        <v>3364451.5</v>
      </c>
      <c r="O69" s="111">
        <f t="shared" si="14"/>
        <v>1273795.4799999995</v>
      </c>
      <c r="P69" s="111">
        <f t="shared" si="14"/>
        <v>3067690.39</v>
      </c>
      <c r="Q69" s="111">
        <f>Q36</f>
        <v>41690088.590000004</v>
      </c>
      <c r="R69" s="110">
        <f t="shared" si="14"/>
        <v>0.87318299315950443</v>
      </c>
      <c r="S69" s="282">
        <f t="shared" si="14"/>
        <v>0</v>
      </c>
      <c r="T69" s="111">
        <f t="shared" si="14"/>
        <v>0</v>
      </c>
      <c r="U69" s="111">
        <f t="shared" si="14"/>
        <v>0</v>
      </c>
      <c r="V69" s="111">
        <f t="shared" si="14"/>
        <v>0</v>
      </c>
      <c r="W69" s="111">
        <f t="shared" si="14"/>
        <v>0</v>
      </c>
      <c r="X69" s="110" t="str">
        <f t="shared" si="14"/>
        <v>NA</v>
      </c>
    </row>
    <row r="70" spans="2:24" s="112" customFormat="1" x14ac:dyDescent="0.3">
      <c r="B70" s="283" t="s">
        <v>66</v>
      </c>
      <c r="C70" s="280">
        <f t="shared" ref="C70:X70" si="15">C27</f>
        <v>189</v>
      </c>
      <c r="D70" s="109">
        <f t="shared" si="15"/>
        <v>1038.5229999999999</v>
      </c>
      <c r="E70" s="109">
        <f t="shared" si="15"/>
        <v>1038.5229999999999</v>
      </c>
      <c r="F70" s="109">
        <f t="shared" si="15"/>
        <v>526</v>
      </c>
      <c r="G70" s="281">
        <f t="shared" si="15"/>
        <v>0.35931558935361219</v>
      </c>
      <c r="H70" s="280">
        <f t="shared" si="15"/>
        <v>12019</v>
      </c>
      <c r="I70" s="109">
        <f t="shared" si="15"/>
        <v>20319.287</v>
      </c>
      <c r="J70" s="109">
        <f t="shared" si="15"/>
        <v>24196</v>
      </c>
      <c r="K70" s="109">
        <f t="shared" si="15"/>
        <v>26473</v>
      </c>
      <c r="L70" s="281">
        <f t="shared" si="15"/>
        <v>0.45400974577871794</v>
      </c>
      <c r="M70" s="282">
        <f t="shared" si="15"/>
        <v>649523.93000000017</v>
      </c>
      <c r="N70" s="111">
        <f t="shared" si="15"/>
        <v>45662</v>
      </c>
      <c r="O70" s="111">
        <f t="shared" si="15"/>
        <v>603861.93000000017</v>
      </c>
      <c r="P70" s="111">
        <f t="shared" si="15"/>
        <v>2156678.4</v>
      </c>
      <c r="Q70" s="111">
        <f>Q37</f>
        <v>8476790</v>
      </c>
      <c r="R70" s="110">
        <f t="shared" si="15"/>
        <v>0.67526676706960831</v>
      </c>
      <c r="S70" s="282">
        <f t="shared" si="15"/>
        <v>130820.27737459091</v>
      </c>
      <c r="T70" s="111">
        <f t="shared" si="15"/>
        <v>6318</v>
      </c>
      <c r="U70" s="111">
        <f t="shared" si="15"/>
        <v>124502.27737459091</v>
      </c>
      <c r="V70" s="111">
        <f t="shared" si="15"/>
        <v>177761.91</v>
      </c>
      <c r="W70" s="111">
        <f t="shared" si="15"/>
        <v>157106.38</v>
      </c>
      <c r="X70" s="110">
        <f t="shared" si="15"/>
        <v>0.83268596332364675</v>
      </c>
    </row>
    <row r="71" spans="2:24" s="112" customFormat="1" x14ac:dyDescent="0.3">
      <c r="B71" s="283" t="s">
        <v>67</v>
      </c>
      <c r="C71" s="280">
        <f t="shared" ref="C71:X71" si="16">C40</f>
        <v>9842</v>
      </c>
      <c r="D71" s="109">
        <f t="shared" si="16"/>
        <v>2519.3094000000001</v>
      </c>
      <c r="E71" s="109">
        <f t="shared" si="16"/>
        <v>2519.3094000000001</v>
      </c>
      <c r="F71" s="109">
        <f t="shared" si="16"/>
        <v>7986</v>
      </c>
      <c r="G71" s="281">
        <f t="shared" si="16"/>
        <v>1.2324067117455548</v>
      </c>
      <c r="H71" s="280">
        <f t="shared" si="16"/>
        <v>264636</v>
      </c>
      <c r="I71" s="109">
        <f t="shared" si="16"/>
        <v>0</v>
      </c>
      <c r="J71" s="109">
        <f t="shared" si="16"/>
        <v>0</v>
      </c>
      <c r="K71" s="109">
        <f t="shared" si="16"/>
        <v>38649</v>
      </c>
      <c r="L71" s="281">
        <f t="shared" si="16"/>
        <v>6.8471629278894666</v>
      </c>
      <c r="M71" s="282">
        <f t="shared" si="16"/>
        <v>5176149.83</v>
      </c>
      <c r="N71" s="111">
        <f t="shared" si="16"/>
        <v>3628606.99</v>
      </c>
      <c r="O71" s="111">
        <f t="shared" si="16"/>
        <v>1547542.8399999999</v>
      </c>
      <c r="P71" s="111">
        <f t="shared" si="16"/>
        <v>1557084.41</v>
      </c>
      <c r="Q71" s="111">
        <f t="shared" si="16"/>
        <v>3142860.87</v>
      </c>
      <c r="R71" s="110">
        <f t="shared" si="16"/>
        <v>1.6469548109522265</v>
      </c>
      <c r="S71" s="282">
        <f t="shared" si="16"/>
        <v>608237.36170722614</v>
      </c>
      <c r="T71" s="111">
        <f t="shared" si="16"/>
        <v>539718</v>
      </c>
      <c r="U71" s="111">
        <f t="shared" si="16"/>
        <v>68519.361707226097</v>
      </c>
      <c r="V71" s="111">
        <f t="shared" si="16"/>
        <v>0</v>
      </c>
      <c r="W71" s="111">
        <f t="shared" si="16"/>
        <v>81537.489999999991</v>
      </c>
      <c r="X71" s="110">
        <f t="shared" si="16"/>
        <v>7.4596036952722757</v>
      </c>
    </row>
    <row r="72" spans="2:24" s="112" customFormat="1" x14ac:dyDescent="0.3">
      <c r="B72" s="283" t="str">
        <f>B44</f>
        <v>DDEP - School Kits</v>
      </c>
      <c r="C72" s="280">
        <f>C44</f>
        <v>4083</v>
      </c>
      <c r="D72" s="109">
        <f t="shared" ref="D72:W72" si="17">D44</f>
        <v>2180.2550999999999</v>
      </c>
      <c r="E72" s="109">
        <f t="shared" si="17"/>
        <v>2180.2550999999999</v>
      </c>
      <c r="F72" s="109">
        <f t="shared" si="17"/>
        <v>3154</v>
      </c>
      <c r="G72" s="281">
        <f t="shared" si="0"/>
        <v>1.2945466074825618</v>
      </c>
      <c r="H72" s="280">
        <f t="shared" si="17"/>
        <v>105070</v>
      </c>
      <c r="I72" s="109">
        <f t="shared" si="17"/>
        <v>51962.423000000003</v>
      </c>
      <c r="J72" s="109">
        <f t="shared" si="17"/>
        <v>53664.9</v>
      </c>
      <c r="K72" s="109">
        <f t="shared" si="17"/>
        <v>106374</v>
      </c>
      <c r="L72" s="281">
        <f t="shared" ref="L72:L77" si="18">IF(K72=0,"NA",H72/K72)</f>
        <v>0.98774136537123736</v>
      </c>
      <c r="M72" s="282">
        <f t="shared" si="17"/>
        <v>802199.04000000004</v>
      </c>
      <c r="N72" s="111">
        <f t="shared" si="17"/>
        <v>527931.21</v>
      </c>
      <c r="O72" s="111">
        <f t="shared" si="17"/>
        <v>274267.83</v>
      </c>
      <c r="P72" s="111">
        <f t="shared" si="17"/>
        <v>870396.95</v>
      </c>
      <c r="Q72" s="111">
        <f t="shared" si="17"/>
        <v>629937.81000000006</v>
      </c>
      <c r="R72" s="110">
        <f t="shared" si="8"/>
        <v>1.2734575179730836</v>
      </c>
      <c r="S72" s="282">
        <f t="shared" si="17"/>
        <v>109067.41386340332</v>
      </c>
      <c r="T72" s="111">
        <f t="shared" si="17"/>
        <v>71990.62079999999</v>
      </c>
      <c r="U72" s="111">
        <f t="shared" si="17"/>
        <v>37076.793063403333</v>
      </c>
      <c r="V72" s="111">
        <f t="shared" si="17"/>
        <v>117205.88</v>
      </c>
      <c r="W72" s="111">
        <f t="shared" si="17"/>
        <v>105325.85</v>
      </c>
      <c r="X72" s="110">
        <f t="shared" ref="X72:X77" si="19">IF(W72=0,"NA",(S72/W72))</f>
        <v>1.0355236996748975</v>
      </c>
    </row>
    <row r="73" spans="2:24" s="112" customFormat="1" x14ac:dyDescent="0.3">
      <c r="B73" s="283" t="str">
        <f>B61</f>
        <v>IQ - Community Kits</v>
      </c>
      <c r="C73" s="280">
        <f>C61</f>
        <v>2617</v>
      </c>
      <c r="D73" s="109">
        <f t="shared" ref="D73:W73" si="20">D61</f>
        <v>1307.8862999999999</v>
      </c>
      <c r="E73" s="109">
        <f t="shared" si="20"/>
        <v>1307.8862999999999</v>
      </c>
      <c r="F73" s="109">
        <f t="shared" si="20"/>
        <v>2868</v>
      </c>
      <c r="G73" s="281">
        <f t="shared" si="0"/>
        <v>0.91248256624825663</v>
      </c>
      <c r="H73" s="280">
        <f t="shared" si="20"/>
        <v>40070</v>
      </c>
      <c r="I73" s="109">
        <f t="shared" si="20"/>
        <v>33719.125</v>
      </c>
      <c r="J73" s="109">
        <f t="shared" si="20"/>
        <v>32053</v>
      </c>
      <c r="K73" s="109">
        <f t="shared" si="20"/>
        <v>81912</v>
      </c>
      <c r="L73" s="281">
        <f t="shared" si="18"/>
        <v>0.48918351401504051</v>
      </c>
      <c r="M73" s="282">
        <f t="shared" si="20"/>
        <v>672741.16999999993</v>
      </c>
      <c r="N73" s="111">
        <f t="shared" si="20"/>
        <v>173462.85999999996</v>
      </c>
      <c r="O73" s="111">
        <f t="shared" si="20"/>
        <v>499278.31</v>
      </c>
      <c r="P73" s="111">
        <f t="shared" si="20"/>
        <v>674004.15</v>
      </c>
      <c r="Q73" s="111">
        <f t="shared" si="20"/>
        <v>500015.07</v>
      </c>
      <c r="R73" s="110">
        <f t="shared" si="8"/>
        <v>1.345441788384498</v>
      </c>
      <c r="S73" s="282">
        <f t="shared" si="20"/>
        <v>139200.68768047789</v>
      </c>
      <c r="T73" s="111">
        <f t="shared" si="20"/>
        <v>70167.399999999994</v>
      </c>
      <c r="U73" s="111">
        <f t="shared" si="20"/>
        <v>69033.287680477893</v>
      </c>
      <c r="V73" s="111">
        <f t="shared" si="20"/>
        <v>59927.18</v>
      </c>
      <c r="W73" s="111">
        <f t="shared" si="20"/>
        <v>114294.18</v>
      </c>
      <c r="X73" s="110">
        <f t="shared" si="19"/>
        <v>1.2179158000912897</v>
      </c>
    </row>
    <row r="74" spans="2:24" s="112" customFormat="1" x14ac:dyDescent="0.3">
      <c r="B74" s="283" t="str">
        <f>B62</f>
        <v>IQ - Smart Savers</v>
      </c>
      <c r="C74" s="280">
        <f>C62</f>
        <v>4294</v>
      </c>
      <c r="D74" s="109">
        <f t="shared" ref="D74:W74" si="21">D62</f>
        <v>5907.0816000000004</v>
      </c>
      <c r="E74" s="109">
        <f t="shared" si="21"/>
        <v>5907.0816000000004</v>
      </c>
      <c r="F74" s="109">
        <f t="shared" si="21"/>
        <v>3885.3369999999995</v>
      </c>
      <c r="G74" s="281">
        <f t="shared" si="0"/>
        <v>1.1051808375952976</v>
      </c>
      <c r="H74" s="280">
        <f t="shared" si="21"/>
        <v>498607.02047781571</v>
      </c>
      <c r="I74" s="109">
        <f t="shared" si="21"/>
        <v>604560.55099999998</v>
      </c>
      <c r="J74" s="109">
        <f t="shared" si="21"/>
        <v>504778</v>
      </c>
      <c r="K74" s="109">
        <f t="shared" si="21"/>
        <v>261362.51535836176</v>
      </c>
      <c r="L74" s="281">
        <f t="shared" si="18"/>
        <v>1.9077219998214399</v>
      </c>
      <c r="M74" s="282">
        <f t="shared" si="21"/>
        <v>2332747.1499999994</v>
      </c>
      <c r="N74" s="111">
        <f t="shared" si="21"/>
        <v>1989563.6299999997</v>
      </c>
      <c r="O74" s="111">
        <f t="shared" si="21"/>
        <v>343183.52</v>
      </c>
      <c r="P74" s="111">
        <f t="shared" si="21"/>
        <v>2085904.97</v>
      </c>
      <c r="Q74" s="111">
        <f t="shared" si="21"/>
        <v>1769138.68</v>
      </c>
      <c r="R74" s="110">
        <f t="shared" si="8"/>
        <v>1.318577891248186</v>
      </c>
      <c r="S74" s="282">
        <f t="shared" si="21"/>
        <v>137350.95835871561</v>
      </c>
      <c r="T74" s="111">
        <f t="shared" si="21"/>
        <v>112531.02550000002</v>
      </c>
      <c r="U74" s="111">
        <f t="shared" si="21"/>
        <v>24819.932858715598</v>
      </c>
      <c r="V74" s="111">
        <f t="shared" si="21"/>
        <v>140162.47</v>
      </c>
      <c r="W74" s="111">
        <f t="shared" si="21"/>
        <v>105989.57999999999</v>
      </c>
      <c r="X74" s="110">
        <f t="shared" si="19"/>
        <v>1.2958911466458838</v>
      </c>
    </row>
    <row r="75" spans="2:24" s="112" customFormat="1" x14ac:dyDescent="0.3">
      <c r="B75" s="283" t="str">
        <f>B64</f>
        <v>IQ - Manufactured Homes</v>
      </c>
      <c r="C75" s="280">
        <f>C64</f>
        <v>334</v>
      </c>
      <c r="D75" s="109">
        <f t="shared" ref="D75:W75" si="22">D64</f>
        <v>996.33699999999999</v>
      </c>
      <c r="E75" s="109">
        <f t="shared" si="22"/>
        <v>996.33699999999999</v>
      </c>
      <c r="F75" s="109">
        <f t="shared" si="22"/>
        <v>98</v>
      </c>
      <c r="G75" s="281">
        <f t="shared" si="0"/>
        <v>3.4081632653061225</v>
      </c>
      <c r="H75" s="280">
        <f t="shared" si="22"/>
        <v>56526.040955631397</v>
      </c>
      <c r="I75" s="109">
        <f t="shared" si="22"/>
        <v>42392.367165071424</v>
      </c>
      <c r="J75" s="109">
        <f t="shared" si="22"/>
        <v>43814</v>
      </c>
      <c r="K75" s="109">
        <f t="shared" si="22"/>
        <v>39914</v>
      </c>
      <c r="L75" s="281">
        <f t="shared" si="18"/>
        <v>1.4161958449574434</v>
      </c>
      <c r="M75" s="282">
        <f t="shared" si="22"/>
        <v>1678616.4300000002</v>
      </c>
      <c r="N75" s="111">
        <f t="shared" si="22"/>
        <v>1148152.9400000002</v>
      </c>
      <c r="O75" s="111">
        <f t="shared" si="22"/>
        <v>530463.49</v>
      </c>
      <c r="P75" s="111">
        <f t="shared" si="22"/>
        <v>1089672.93</v>
      </c>
      <c r="Q75" s="111">
        <f t="shared" si="22"/>
        <v>1082103.8799999999</v>
      </c>
      <c r="R75" s="110">
        <f t="shared" si="8"/>
        <v>1.551252574752805</v>
      </c>
      <c r="S75" s="282">
        <f t="shared" si="22"/>
        <v>420796.12838041969</v>
      </c>
      <c r="T75" s="111">
        <f t="shared" si="22"/>
        <v>350180.61000000004</v>
      </c>
      <c r="U75" s="111">
        <f t="shared" si="22"/>
        <v>70615.518380419613</v>
      </c>
      <c r="V75" s="111">
        <f t="shared" si="22"/>
        <v>196063.4</v>
      </c>
      <c r="W75" s="111">
        <f t="shared" si="22"/>
        <v>359703.92</v>
      </c>
      <c r="X75" s="110">
        <f t="shared" si="19"/>
        <v>1.1698402630152591</v>
      </c>
    </row>
    <row r="76" spans="2:24" s="112" customFormat="1" x14ac:dyDescent="0.3">
      <c r="B76" s="283" t="str">
        <f>B65</f>
        <v>IQ - Healthier Homes</v>
      </c>
      <c r="C76" s="280">
        <f>C65</f>
        <v>0</v>
      </c>
      <c r="D76" s="109">
        <f t="shared" ref="D76:W76" si="23">D65</f>
        <v>0</v>
      </c>
      <c r="E76" s="109">
        <f t="shared" si="23"/>
        <v>0</v>
      </c>
      <c r="F76" s="109">
        <f t="shared" si="23"/>
        <v>674</v>
      </c>
      <c r="G76" s="281">
        <f t="shared" si="0"/>
        <v>0</v>
      </c>
      <c r="H76" s="280">
        <f t="shared" si="23"/>
        <v>0</v>
      </c>
      <c r="I76" s="109">
        <f t="shared" si="23"/>
        <v>0</v>
      </c>
      <c r="J76" s="109">
        <f t="shared" si="23"/>
        <v>0</v>
      </c>
      <c r="K76" s="109">
        <f t="shared" si="23"/>
        <v>13890.784982935153</v>
      </c>
      <c r="L76" s="281">
        <f t="shared" si="18"/>
        <v>0</v>
      </c>
      <c r="M76" s="282">
        <f t="shared" si="23"/>
        <v>35432.71</v>
      </c>
      <c r="N76" s="111">
        <f t="shared" si="23"/>
        <v>0</v>
      </c>
      <c r="O76" s="111">
        <f t="shared" si="23"/>
        <v>35432.71</v>
      </c>
      <c r="P76" s="111">
        <f t="shared" si="23"/>
        <v>0</v>
      </c>
      <c r="Q76" s="111">
        <f t="shared" si="23"/>
        <v>883219.67999999993</v>
      </c>
      <c r="R76" s="110">
        <f t="shared" si="8"/>
        <v>4.011766359191634E-2</v>
      </c>
      <c r="S76" s="282">
        <f t="shared" si="23"/>
        <v>4706.9399999999996</v>
      </c>
      <c r="T76" s="111">
        <f t="shared" si="23"/>
        <v>0</v>
      </c>
      <c r="U76" s="111">
        <f t="shared" si="23"/>
        <v>4706.9399999999996</v>
      </c>
      <c r="V76" s="111">
        <f t="shared" si="23"/>
        <v>0</v>
      </c>
      <c r="W76" s="111">
        <f t="shared" si="23"/>
        <v>64042.32</v>
      </c>
      <c r="X76" s="110">
        <f t="shared" si="19"/>
        <v>7.3497337385653727E-2</v>
      </c>
    </row>
    <row r="77" spans="2:24" s="112" customFormat="1" x14ac:dyDescent="0.3">
      <c r="B77" s="283" t="s">
        <v>44</v>
      </c>
      <c r="C77" s="280">
        <f>C45</f>
        <v>713</v>
      </c>
      <c r="D77" s="109">
        <f t="shared" ref="D77:W77" si="24">D45</f>
        <v>2049.8220000000001</v>
      </c>
      <c r="E77" s="109">
        <f t="shared" si="24"/>
        <v>2049.8220000000001</v>
      </c>
      <c r="F77" s="109">
        <f t="shared" si="24"/>
        <v>611</v>
      </c>
      <c r="G77" s="281">
        <f t="shared" si="0"/>
        <v>1.1669394435351883</v>
      </c>
      <c r="H77" s="280">
        <f t="shared" si="24"/>
        <v>17450</v>
      </c>
      <c r="I77" s="109">
        <f t="shared" si="24"/>
        <v>0</v>
      </c>
      <c r="J77" s="109">
        <f t="shared" si="24"/>
        <v>0</v>
      </c>
      <c r="K77" s="109">
        <f t="shared" si="24"/>
        <v>20700</v>
      </c>
      <c r="L77" s="281">
        <f t="shared" si="18"/>
        <v>0.84299516908212557</v>
      </c>
      <c r="M77" s="282">
        <f t="shared" si="24"/>
        <v>197270.92999999993</v>
      </c>
      <c r="N77" s="111">
        <f t="shared" si="24"/>
        <v>108197.77</v>
      </c>
      <c r="O77" s="111">
        <f t="shared" si="24"/>
        <v>89073.159999999931</v>
      </c>
      <c r="P77" s="111">
        <f t="shared" si="24"/>
        <v>614946.56000000006</v>
      </c>
      <c r="Q77" s="111">
        <f t="shared" si="24"/>
        <v>179400.72</v>
      </c>
      <c r="R77" s="110">
        <f t="shared" si="8"/>
        <v>1.099610581273029</v>
      </c>
      <c r="S77" s="282">
        <f t="shared" si="24"/>
        <v>36435.948065850818</v>
      </c>
      <c r="T77" s="111">
        <f t="shared" si="24"/>
        <v>23930.747299999999</v>
      </c>
      <c r="U77" s="111">
        <f t="shared" si="24"/>
        <v>12505.200765850821</v>
      </c>
      <c r="V77" s="111">
        <f t="shared" si="24"/>
        <v>208093.39</v>
      </c>
      <c r="W77" s="111">
        <f t="shared" si="24"/>
        <v>27127</v>
      </c>
      <c r="X77" s="110">
        <f t="shared" si="19"/>
        <v>1.343161723222281</v>
      </c>
    </row>
    <row r="78" spans="2:24" s="112" customFormat="1" x14ac:dyDescent="0.3">
      <c r="B78" s="291" t="s">
        <v>68</v>
      </c>
      <c r="C78" s="284">
        <v>0</v>
      </c>
      <c r="D78" s="285">
        <v>342</v>
      </c>
      <c r="E78" s="285">
        <v>342</v>
      </c>
      <c r="F78" s="285">
        <v>0</v>
      </c>
      <c r="G78" s="286" t="s">
        <v>69</v>
      </c>
      <c r="H78" s="287">
        <v>0</v>
      </c>
      <c r="I78" s="285">
        <v>960</v>
      </c>
      <c r="J78" s="285">
        <v>960</v>
      </c>
      <c r="K78" s="285">
        <v>0</v>
      </c>
      <c r="L78" s="286" t="s">
        <v>69</v>
      </c>
      <c r="M78" s="288">
        <v>0</v>
      </c>
      <c r="N78" s="289">
        <v>0</v>
      </c>
      <c r="O78" s="289">
        <v>0</v>
      </c>
      <c r="P78" s="289">
        <v>30000</v>
      </c>
      <c r="Q78" s="289">
        <v>0</v>
      </c>
      <c r="R78" s="286" t="str">
        <f t="shared" si="8"/>
        <v>NA</v>
      </c>
      <c r="S78" s="290">
        <v>0</v>
      </c>
      <c r="T78" s="289">
        <v>0</v>
      </c>
      <c r="U78" s="289">
        <v>0</v>
      </c>
      <c r="V78" s="289">
        <v>1046.68</v>
      </c>
      <c r="W78" s="289">
        <v>0</v>
      </c>
      <c r="X78" s="286" t="s">
        <v>69</v>
      </c>
    </row>
    <row r="79" spans="2:24" s="112" customFormat="1" x14ac:dyDescent="0.3">
      <c r="B79" s="171" t="s">
        <v>70</v>
      </c>
      <c r="C79" s="113">
        <v>0</v>
      </c>
      <c r="D79" s="277">
        <v>402.39100000000002</v>
      </c>
      <c r="E79" s="277">
        <v>402.39100000000002</v>
      </c>
      <c r="F79" s="105">
        <v>0</v>
      </c>
      <c r="G79" s="108" t="str">
        <f t="shared" si="0"/>
        <v>NA</v>
      </c>
      <c r="H79" s="252">
        <v>0</v>
      </c>
      <c r="I79" s="277">
        <v>47750.313999999998</v>
      </c>
      <c r="J79" s="277">
        <v>54513</v>
      </c>
      <c r="K79" s="105">
        <v>0</v>
      </c>
      <c r="L79" s="108" t="str">
        <f t="shared" ref="L79:L80" si="25">IF(K79=0,"NA",H79/K79)</f>
        <v>NA</v>
      </c>
      <c r="M79" s="278">
        <f t="shared" ref="M79:M80" si="26">SUM(N79:O79)</f>
        <v>0</v>
      </c>
      <c r="N79" s="107"/>
      <c r="O79" s="107"/>
      <c r="P79" s="279">
        <v>399383.16</v>
      </c>
      <c r="Q79" s="107">
        <v>0</v>
      </c>
      <c r="R79" s="108" t="str">
        <f t="shared" si="8"/>
        <v>NA</v>
      </c>
      <c r="S79" s="278">
        <f>SUM(T79:U79)</f>
        <v>0</v>
      </c>
      <c r="T79" s="107"/>
      <c r="U79" s="107"/>
      <c r="V79" s="279">
        <v>87490.06</v>
      </c>
      <c r="W79" s="107">
        <v>0</v>
      </c>
      <c r="X79" s="108" t="str">
        <f t="shared" ref="X79:X80" si="27">IF(W79=0,"NA",T79/W79)</f>
        <v>NA</v>
      </c>
    </row>
    <row r="80" spans="2:24" s="112" customFormat="1" x14ac:dyDescent="0.3">
      <c r="B80" s="171" t="s">
        <v>71</v>
      </c>
      <c r="C80" s="113">
        <v>0</v>
      </c>
      <c r="D80" s="277">
        <v>112.07859999999999</v>
      </c>
      <c r="E80" s="277">
        <v>112.07859999999999</v>
      </c>
      <c r="F80" s="105">
        <v>0</v>
      </c>
      <c r="G80" s="108" t="str">
        <f t="shared" si="0"/>
        <v>NA</v>
      </c>
      <c r="H80" s="252">
        <v>0</v>
      </c>
      <c r="I80" s="277">
        <v>34595.004000000001</v>
      </c>
      <c r="J80" s="277">
        <v>30751</v>
      </c>
      <c r="K80" s="105">
        <v>0</v>
      </c>
      <c r="L80" s="108" t="str">
        <f t="shared" si="25"/>
        <v>NA</v>
      </c>
      <c r="M80" s="278">
        <f t="shared" si="26"/>
        <v>0</v>
      </c>
      <c r="N80" s="107"/>
      <c r="O80" s="107"/>
      <c r="P80" s="279">
        <v>57500</v>
      </c>
      <c r="Q80" s="107">
        <v>0</v>
      </c>
      <c r="R80" s="108" t="str">
        <f t="shared" si="8"/>
        <v>NA</v>
      </c>
      <c r="S80" s="278">
        <f>SUM(T80:U80)</f>
        <v>0</v>
      </c>
      <c r="T80" s="107"/>
      <c r="U80" s="107"/>
      <c r="V80" s="279">
        <v>0</v>
      </c>
      <c r="W80" s="107">
        <v>0</v>
      </c>
      <c r="X80" s="108" t="str">
        <f t="shared" si="27"/>
        <v>NA</v>
      </c>
    </row>
    <row r="81" spans="2:24" s="102" customFormat="1" x14ac:dyDescent="0.3">
      <c r="B81" s="171"/>
      <c r="C81" s="113"/>
      <c r="D81" s="105"/>
      <c r="E81" s="105"/>
      <c r="F81" s="105"/>
      <c r="G81" s="108"/>
      <c r="H81" s="252"/>
      <c r="I81" s="105"/>
      <c r="J81" s="105"/>
      <c r="K81" s="105"/>
      <c r="L81" s="142"/>
      <c r="M81" s="106"/>
      <c r="N81" s="107"/>
      <c r="O81" s="107"/>
      <c r="P81" s="107"/>
      <c r="Q81" s="107"/>
      <c r="R81" s="108"/>
      <c r="S81" s="106"/>
      <c r="T81" s="107"/>
      <c r="U81" s="107"/>
      <c r="V81" s="107"/>
      <c r="W81" s="107"/>
      <c r="X81" s="108"/>
    </row>
    <row r="82" spans="2:24" s="96" customFormat="1" x14ac:dyDescent="0.3">
      <c r="B82" s="172" t="s">
        <v>72</v>
      </c>
      <c r="C82" s="133">
        <f>SUM(C69:C81)</f>
        <v>48758</v>
      </c>
      <c r="D82" s="134">
        <f>SUM(D69:D81)</f>
        <v>36520.366000000002</v>
      </c>
      <c r="E82" s="134">
        <f>SUM(E69:E81)</f>
        <v>36520.366000000002</v>
      </c>
      <c r="F82" s="134">
        <f>SUM(F69:F81)</f>
        <v>46638.737000000001</v>
      </c>
      <c r="G82" s="143">
        <f t="shared" si="0"/>
        <v>1.0454399740713389</v>
      </c>
      <c r="H82" s="133">
        <f>SUM(H69:H81)</f>
        <v>994378.06143344718</v>
      </c>
      <c r="I82" s="134">
        <f>SUM(I69:I81)</f>
        <v>836259.07116507133</v>
      </c>
      <c r="J82" s="134">
        <f>SUM(J69:J81)</f>
        <v>744729.9</v>
      </c>
      <c r="K82" s="134">
        <f>SUM(K69:K81)</f>
        <v>589275.30034129694</v>
      </c>
      <c r="L82" s="143">
        <f t="shared" ref="L82" si="28">IF(K82=0,"NA",H82/K82)</f>
        <v>1.6874592586139661</v>
      </c>
      <c r="M82" s="136">
        <f t="shared" si="7"/>
        <v>16182928.169999998</v>
      </c>
      <c r="N82" s="137">
        <f>SUM(N69:N81)</f>
        <v>10986028.899999999</v>
      </c>
      <c r="O82" s="137">
        <f>SUM(O69:O81)</f>
        <v>5196899.2700000005</v>
      </c>
      <c r="P82" s="137">
        <f>SUM(P69:P81)</f>
        <v>12603261.920000002</v>
      </c>
      <c r="Q82" s="137">
        <f>SUM(Q69:Q81)</f>
        <v>58353555.300000004</v>
      </c>
      <c r="R82" s="135">
        <f t="shared" si="8"/>
        <v>0.27732548748405045</v>
      </c>
      <c r="S82" s="136">
        <f t="shared" si="3"/>
        <v>1586615.7154306844</v>
      </c>
      <c r="T82" s="137">
        <f>SUM(T69:T81)</f>
        <v>1174836.4036000001</v>
      </c>
      <c r="U82" s="137">
        <f>SUM(U69:U81)</f>
        <v>411779.31183068425</v>
      </c>
      <c r="V82" s="137">
        <f>SUM(V69:V81)</f>
        <v>987750.9700000002</v>
      </c>
      <c r="W82" s="137">
        <f>SUM(W69:W81)</f>
        <v>1015126.7199999999</v>
      </c>
      <c r="X82" s="135">
        <f t="shared" si="9"/>
        <v>1.5629730595907125</v>
      </c>
    </row>
    <row r="83" spans="2:24" s="96" customFormat="1" x14ac:dyDescent="0.3">
      <c r="B83" s="175" t="s">
        <v>73</v>
      </c>
      <c r="C83" s="299">
        <v>38111</v>
      </c>
      <c r="D83" s="269">
        <v>24496.959999999999</v>
      </c>
      <c r="E83" s="269">
        <v>24496.959999999999</v>
      </c>
      <c r="F83" s="269">
        <v>25573</v>
      </c>
      <c r="G83" s="144">
        <f t="shared" si="0"/>
        <v>1.4902827200563094</v>
      </c>
      <c r="H83" s="293">
        <f>-C83*1000/29.3</f>
        <v>-1300716.723549488</v>
      </c>
      <c r="I83" s="269">
        <f>-D83*1000/29.3</f>
        <v>-836073.72013651871</v>
      </c>
      <c r="J83" s="269">
        <v>-605905</v>
      </c>
      <c r="K83" s="269">
        <f>-25573*1000/29.3</f>
        <v>-872798.63481228671</v>
      </c>
      <c r="L83" s="144">
        <f t="shared" si="1"/>
        <v>1.4902827200563094</v>
      </c>
      <c r="M83" s="20">
        <f t="shared" si="7"/>
        <v>0</v>
      </c>
      <c r="N83" s="22"/>
      <c r="O83" s="22"/>
      <c r="P83" s="22"/>
      <c r="Q83" s="22"/>
      <c r="R83" s="15" t="str">
        <f t="shared" si="8"/>
        <v>NA</v>
      </c>
      <c r="S83" s="20">
        <f t="shared" si="3"/>
        <v>0</v>
      </c>
      <c r="T83" s="22"/>
      <c r="U83" s="22"/>
      <c r="V83" s="22"/>
      <c r="W83" s="22"/>
      <c r="X83" s="15" t="str">
        <f t="shared" si="9"/>
        <v>NA</v>
      </c>
    </row>
    <row r="84" spans="2:24" s="96" customFormat="1" x14ac:dyDescent="0.3">
      <c r="B84" s="175" t="s">
        <v>74</v>
      </c>
      <c r="C84" s="16">
        <v>77988</v>
      </c>
      <c r="D84" s="17">
        <v>73281</v>
      </c>
      <c r="E84" s="17">
        <v>73281</v>
      </c>
      <c r="F84" s="17">
        <v>78500</v>
      </c>
      <c r="G84" s="139">
        <f t="shared" si="0"/>
        <v>0.99347770700636939</v>
      </c>
      <c r="H84" s="16">
        <v>0</v>
      </c>
      <c r="I84" s="17">
        <v>0</v>
      </c>
      <c r="J84" s="17">
        <v>0</v>
      </c>
      <c r="K84" s="17">
        <v>0</v>
      </c>
      <c r="L84" s="139" t="str">
        <f t="shared" si="1"/>
        <v>NA</v>
      </c>
      <c r="M84" s="19">
        <f t="shared" si="7"/>
        <v>0</v>
      </c>
      <c r="N84" s="21"/>
      <c r="O84" s="21"/>
      <c r="P84" s="21"/>
      <c r="Q84" s="21"/>
      <c r="R84" s="13" t="str">
        <f t="shared" si="8"/>
        <v>NA</v>
      </c>
      <c r="S84" s="19">
        <f t="shared" si="3"/>
        <v>0</v>
      </c>
      <c r="T84" s="21"/>
      <c r="U84" s="21"/>
      <c r="V84" s="21"/>
      <c r="W84" s="21"/>
      <c r="X84" s="13" t="str">
        <f t="shared" si="9"/>
        <v>NA</v>
      </c>
    </row>
    <row r="85" spans="2:24" s="96" customFormat="1" ht="38.4" customHeight="1" thickBot="1" x14ac:dyDescent="0.35">
      <c r="B85" s="176" t="s">
        <v>75</v>
      </c>
      <c r="C85" s="18">
        <f>SUM(C35,C53,C67,C78:C80,C83,C84)</f>
        <v>442609</v>
      </c>
      <c r="D85" s="18">
        <f>SUM(D35,D53,D67,D79:D80,D83,D84)</f>
        <v>438166.27320000005</v>
      </c>
      <c r="E85" s="18">
        <f>SUM(E35,E53,E67,E79:E80,E83,E84)</f>
        <v>438166.27320000005</v>
      </c>
      <c r="F85" s="18">
        <f>SUM(F35,F53,F67,F79:F80,F83,F84)</f>
        <v>419366.52104169567</v>
      </c>
      <c r="G85" s="14">
        <f t="shared" si="0"/>
        <v>1.0554228289386827</v>
      </c>
      <c r="H85" s="18">
        <f>SUM(H35,H53,H67,H79:H80,H83,H84)</f>
        <v>4110859</v>
      </c>
      <c r="I85" s="18">
        <f>SUM(I35,I53,I67,I79:I80,I83,I84)</f>
        <v>3465035.1150285527</v>
      </c>
      <c r="J85" s="18">
        <f>SUM(J35,J53,J67,J79:J80,J83,J84)</f>
        <v>3447082.3288697787</v>
      </c>
      <c r="K85" s="18">
        <f>SUM(K35,K53,K67,K79:K80,K83,K84)</f>
        <v>3505313.9999999995</v>
      </c>
      <c r="L85" s="14">
        <f t="shared" si="1"/>
        <v>1.1727505724166225</v>
      </c>
      <c r="M85" s="265">
        <f>SUM(M35,M53,M67,M79:M80,M83,M84)</f>
        <v>105655083.33000001</v>
      </c>
      <c r="N85" s="266">
        <f>SUM(N35,N53,N67,N79:N80,N83,N84)</f>
        <v>66363086.74000001</v>
      </c>
      <c r="O85" s="266">
        <f>SUM(O35,O53,O67,O79:O80,O83,O84)</f>
        <v>39291996.590000004</v>
      </c>
      <c r="P85" s="266">
        <f>SUM(P35,P53,P67,P79:P80,P83,P84)</f>
        <v>101918657.24999999</v>
      </c>
      <c r="Q85" s="266">
        <f>SUM(Q35,Q53,Q67,Q79:Q80,Q83,Q84)</f>
        <v>101884427.78</v>
      </c>
      <c r="R85" s="14">
        <f t="shared" si="8"/>
        <v>1.0370091448925054</v>
      </c>
      <c r="S85" s="265">
        <f>SUM(S35,S53,S67,S79:S80,S83,S84)</f>
        <v>15660733.352987891</v>
      </c>
      <c r="T85" s="266">
        <f>SUM(T35,T53,T67,T79:T80,T83,T84)</f>
        <v>10542747.616500003</v>
      </c>
      <c r="U85" s="266">
        <f>SUM(U35,U53,U67,U79:U80,U83,U84)</f>
        <v>5117985.7364878859</v>
      </c>
      <c r="V85" s="266">
        <f>SUM(V35,V53,V67,V79:V80,V83,V84)</f>
        <v>14543094.439999999</v>
      </c>
      <c r="W85" s="266">
        <f>SUM(W35,W53,W67,W79:W80,W83,W84)</f>
        <v>14535705.310000002</v>
      </c>
      <c r="X85" s="14">
        <f t="shared" si="9"/>
        <v>1.077397554435416</v>
      </c>
    </row>
    <row r="86" spans="2:24" ht="18" customHeight="1" x14ac:dyDescent="0.3">
      <c r="B86" s="114"/>
      <c r="C86" s="115"/>
      <c r="D86" s="116"/>
      <c r="E86" s="117"/>
      <c r="F86" s="117"/>
      <c r="G86" s="118"/>
      <c r="H86" s="118"/>
      <c r="I86" s="118"/>
      <c r="J86" s="118"/>
      <c r="K86" s="118"/>
      <c r="L86" s="118"/>
      <c r="M86" s="118"/>
      <c r="N86" s="118"/>
      <c r="O86" s="249"/>
      <c r="P86" s="118"/>
      <c r="Q86" s="118"/>
      <c r="R86" s="118"/>
      <c r="S86" s="119"/>
      <c r="T86" s="119"/>
      <c r="U86" s="119"/>
      <c r="V86" s="119"/>
      <c r="W86" s="119"/>
      <c r="X86" s="118"/>
    </row>
    <row r="87" spans="2:24" x14ac:dyDescent="0.3">
      <c r="B87" s="115"/>
      <c r="C87" s="115"/>
      <c r="D87" s="120"/>
      <c r="E87" s="120"/>
      <c r="F87" s="120"/>
      <c r="G87" s="118"/>
      <c r="H87" s="118"/>
      <c r="I87" s="118"/>
      <c r="J87" s="118">
        <f>H85/J85</f>
        <v>1.1925618850385447</v>
      </c>
      <c r="K87" s="118"/>
      <c r="L87" s="118"/>
      <c r="M87" s="118"/>
      <c r="N87" s="118"/>
      <c r="O87" s="118"/>
      <c r="P87" s="118"/>
      <c r="Q87" s="118"/>
      <c r="R87" s="118"/>
      <c r="S87" s="119"/>
      <c r="T87" s="119"/>
      <c r="U87" s="119"/>
      <c r="V87" s="119"/>
      <c r="W87" s="119"/>
      <c r="X87" s="118"/>
    </row>
    <row r="88" spans="2:24" x14ac:dyDescent="0.3">
      <c r="B88" s="121" t="s">
        <v>76</v>
      </c>
      <c r="C88" s="121"/>
      <c r="W88" s="122"/>
    </row>
    <row r="89" spans="2:24" x14ac:dyDescent="0.3">
      <c r="B89" s="314" t="s">
        <v>77</v>
      </c>
      <c r="C89" s="315"/>
      <c r="D89" s="315"/>
      <c r="E89" s="315"/>
      <c r="F89" s="315"/>
      <c r="G89" s="315"/>
      <c r="H89" s="315"/>
      <c r="I89" s="315"/>
      <c r="J89" s="315"/>
      <c r="K89" s="315"/>
      <c r="L89" s="315"/>
      <c r="M89" s="315"/>
      <c r="N89" s="315"/>
      <c r="O89" s="315"/>
      <c r="P89" s="315"/>
      <c r="Q89" s="315"/>
      <c r="R89" s="315"/>
      <c r="S89" s="315"/>
      <c r="T89" s="315"/>
      <c r="U89" s="315"/>
      <c r="V89" s="315"/>
      <c r="W89" s="315"/>
      <c r="X89" s="316"/>
    </row>
    <row r="90" spans="2:24" ht="17.399999999999999" customHeight="1" x14ac:dyDescent="0.3">
      <c r="B90" s="317" t="s">
        <v>78</v>
      </c>
      <c r="C90" s="318"/>
      <c r="D90" s="318"/>
      <c r="E90" s="318"/>
      <c r="F90" s="318"/>
      <c r="G90" s="318"/>
      <c r="H90" s="318"/>
      <c r="I90" s="318"/>
      <c r="J90" s="318"/>
      <c r="K90" s="318"/>
      <c r="L90" s="318"/>
      <c r="M90" s="318"/>
      <c r="N90" s="318"/>
      <c r="O90" s="318"/>
      <c r="P90" s="318"/>
      <c r="Q90" s="318"/>
      <c r="R90" s="318"/>
      <c r="S90" s="318"/>
      <c r="T90" s="318"/>
      <c r="U90" s="318"/>
      <c r="V90" s="318"/>
      <c r="W90" s="318"/>
      <c r="X90" s="319"/>
    </row>
    <row r="91" spans="2:24" x14ac:dyDescent="0.3">
      <c r="B91" s="308" t="s">
        <v>79</v>
      </c>
      <c r="C91" s="309"/>
      <c r="D91" s="309"/>
      <c r="E91" s="309"/>
      <c r="F91" s="309"/>
      <c r="G91" s="309"/>
      <c r="H91" s="309"/>
      <c r="I91" s="309"/>
      <c r="J91" s="309"/>
      <c r="K91" s="309"/>
      <c r="L91" s="309"/>
      <c r="M91" s="309"/>
      <c r="N91" s="309"/>
      <c r="O91" s="309"/>
      <c r="P91" s="309"/>
      <c r="Q91" s="309"/>
      <c r="R91" s="309"/>
      <c r="S91" s="309"/>
      <c r="T91" s="309"/>
      <c r="U91" s="309"/>
      <c r="V91" s="309"/>
      <c r="W91" s="309"/>
      <c r="X91" s="310"/>
    </row>
    <row r="92" spans="2:24" x14ac:dyDescent="0.3">
      <c r="B92" s="311"/>
      <c r="C92" s="312"/>
      <c r="D92" s="312"/>
      <c r="E92" s="312"/>
      <c r="F92" s="312"/>
      <c r="G92" s="312"/>
      <c r="H92" s="312"/>
      <c r="I92" s="312"/>
      <c r="J92" s="312"/>
      <c r="K92" s="312"/>
      <c r="L92" s="312"/>
      <c r="M92" s="312"/>
      <c r="N92" s="312"/>
      <c r="O92" s="312"/>
      <c r="P92" s="312"/>
      <c r="Q92" s="312"/>
      <c r="R92" s="312"/>
      <c r="S92" s="312"/>
      <c r="T92" s="312"/>
      <c r="U92" s="312"/>
      <c r="V92" s="312"/>
      <c r="W92" s="312"/>
      <c r="X92" s="313"/>
    </row>
    <row r="93" spans="2:24" x14ac:dyDescent="0.3">
      <c r="B93" s="300" t="s">
        <v>80</v>
      </c>
      <c r="C93" s="300"/>
      <c r="D93" s="300"/>
      <c r="E93" s="300"/>
      <c r="F93" s="300"/>
      <c r="G93" s="300"/>
      <c r="H93" s="300"/>
      <c r="I93" s="300"/>
      <c r="J93" s="300"/>
      <c r="K93" s="300"/>
      <c r="L93" s="300"/>
      <c r="M93" s="300"/>
      <c r="N93" s="300"/>
      <c r="O93" s="300"/>
      <c r="P93" s="300"/>
      <c r="Q93" s="300"/>
      <c r="R93" s="300"/>
      <c r="S93" s="300"/>
      <c r="T93" s="300"/>
      <c r="U93" s="300"/>
      <c r="V93" s="300"/>
      <c r="W93" s="300"/>
      <c r="X93" s="300"/>
    </row>
  </sheetData>
  <mergeCells count="10">
    <mergeCell ref="B93:X93"/>
    <mergeCell ref="B5:X6"/>
    <mergeCell ref="B8:X16"/>
    <mergeCell ref="B91:X92"/>
    <mergeCell ref="B89:X89"/>
    <mergeCell ref="B90:X90"/>
    <mergeCell ref="C20:G20"/>
    <mergeCell ref="H20:L20"/>
    <mergeCell ref="M20:R20"/>
    <mergeCell ref="S20:X20"/>
  </mergeCells>
  <printOptions headings="1"/>
  <pageMargins left="0.7" right="0.7" top="0.75" bottom="0.75" header="0.3" footer="0.3"/>
  <pageSetup scale="44" orientation="portrait" r:id="rId1"/>
  <ignoredErrors>
    <ignoredError sqref="G67 G53 G35:G36 G85 G82 G72:G77 L72:L77 R72:R77" formula="1"/>
    <ignoredError sqref="S79:S80 S23:S33 M79:M80 M24:M33 M38:M41 S38:S41 M52:M58 S55:S57 M60:M65 S46:S49 S61:S64 D85 M42:M44 M46:M49 M45 M50 S42:S45"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G30"/>
  <sheetViews>
    <sheetView zoomScale="85" zoomScaleNormal="85" workbookViewId="0">
      <selection activeCell="B11" sqref="B11"/>
    </sheetView>
  </sheetViews>
  <sheetFormatPr defaultColWidth="9.109375" defaultRowHeight="14.4" x14ac:dyDescent="0.3"/>
  <cols>
    <col min="1" max="1" width="3.44140625" style="53" customWidth="1"/>
    <col min="2" max="2" width="87" style="145" bestFit="1" customWidth="1"/>
    <col min="3" max="3" width="19.33203125" style="145" customWidth="1"/>
    <col min="4" max="7" width="19.33203125" style="53" customWidth="1"/>
    <col min="8" max="8" width="9.109375" style="53"/>
    <col min="9" max="9" width="10.33203125" style="53" bestFit="1" customWidth="1"/>
    <col min="10" max="16384" width="9.109375" style="53"/>
  </cols>
  <sheetData>
    <row r="1" spans="2:5" x14ac:dyDescent="0.3">
      <c r="B1" s="54" t="s">
        <v>0</v>
      </c>
    </row>
    <row r="2" spans="2:5" x14ac:dyDescent="0.3">
      <c r="B2" s="54" t="s">
        <v>81</v>
      </c>
    </row>
    <row r="3" spans="2:5" x14ac:dyDescent="0.3">
      <c r="B3" s="54" t="s">
        <v>82</v>
      </c>
    </row>
    <row r="4" spans="2:5" x14ac:dyDescent="0.3">
      <c r="B4" s="54"/>
    </row>
    <row r="5" spans="2:5" ht="37.5" customHeight="1" x14ac:dyDescent="0.3">
      <c r="B5" s="323" t="s">
        <v>83</v>
      </c>
      <c r="C5" s="324"/>
      <c r="D5" s="324"/>
      <c r="E5" s="325"/>
    </row>
    <row r="6" spans="2:5" ht="37.5" customHeight="1" x14ac:dyDescent="0.3">
      <c r="B6" s="326"/>
      <c r="C6" s="327"/>
      <c r="D6" s="327"/>
      <c r="E6" s="328"/>
    </row>
    <row r="7" spans="2:5" ht="18.75" customHeight="1" x14ac:dyDescent="0.3">
      <c r="B7" s="329"/>
      <c r="C7" s="330"/>
      <c r="D7" s="330"/>
      <c r="E7" s="331"/>
    </row>
    <row r="9" spans="2:5" x14ac:dyDescent="0.3">
      <c r="B9" s="54" t="s">
        <v>84</v>
      </c>
    </row>
    <row r="10" spans="2:5" x14ac:dyDescent="0.3">
      <c r="B10" s="54"/>
    </row>
    <row r="11" spans="2:5" ht="37.799999999999997" x14ac:dyDescent="0.3">
      <c r="B11" s="24" t="s">
        <v>85</v>
      </c>
      <c r="C11" s="25" t="s">
        <v>86</v>
      </c>
      <c r="D11" s="25" t="s">
        <v>87</v>
      </c>
      <c r="E11" s="25" t="s">
        <v>88</v>
      </c>
    </row>
    <row r="12" spans="2:5" s="56" customFormat="1" ht="21" customHeight="1" x14ac:dyDescent="0.3">
      <c r="B12" s="160" t="s">
        <v>89</v>
      </c>
      <c r="C12" s="161"/>
      <c r="D12" s="161"/>
      <c r="E12" s="162"/>
    </row>
    <row r="13" spans="2:5" x14ac:dyDescent="0.3">
      <c r="B13" s="146" t="s">
        <v>90</v>
      </c>
      <c r="C13" s="147">
        <f>'1- Ex Ante Results'!M36</f>
        <v>34909440.940000005</v>
      </c>
      <c r="D13" s="147">
        <f>'1- Ex Ante Results'!S36</f>
        <v>3856884.0265149134</v>
      </c>
      <c r="E13" s="147">
        <f>SUM(C13:D13)</f>
        <v>38766324.966514915</v>
      </c>
    </row>
    <row r="14" spans="2:5" x14ac:dyDescent="0.3">
      <c r="B14" s="148" t="s">
        <v>91</v>
      </c>
      <c r="C14" s="149">
        <f>'1- Ex Ante Results'!M37</f>
        <v>9882065.5600000005</v>
      </c>
      <c r="D14" s="149">
        <f>'1- Ex Ante Results'!S37</f>
        <v>1898157.18</v>
      </c>
      <c r="E14" s="147">
        <f t="shared" ref="E14:E17" si="0">SUM(C14:D14)</f>
        <v>11780222.74</v>
      </c>
    </row>
    <row r="15" spans="2:5" x14ac:dyDescent="0.3">
      <c r="B15" s="148" t="s">
        <v>37</v>
      </c>
      <c r="C15" s="149">
        <f>'1- Ex Ante Results'!M53</f>
        <v>15270845.929999998</v>
      </c>
      <c r="D15" s="149">
        <f>'1- Ex Ante Results'!S53</f>
        <v>3055217.649972464</v>
      </c>
      <c r="E15" s="147">
        <f t="shared" si="0"/>
        <v>18326063.579972461</v>
      </c>
    </row>
    <row r="16" spans="2:5" x14ac:dyDescent="0.3">
      <c r="B16" s="148" t="s">
        <v>51</v>
      </c>
      <c r="C16" s="149">
        <f>'1- Ex Ante Results'!M67</f>
        <v>45592730.900000013</v>
      </c>
      <c r="D16" s="149">
        <f>'1- Ex Ante Results'!S67</f>
        <v>6850474.4965005126</v>
      </c>
      <c r="E16" s="147">
        <f t="shared" si="0"/>
        <v>52443205.396500528</v>
      </c>
    </row>
    <row r="17" spans="2:7" x14ac:dyDescent="0.3">
      <c r="B17" s="150" t="s">
        <v>92</v>
      </c>
      <c r="C17" s="151">
        <f>'1- Ex Ante Results'!M82</f>
        <v>16182928.169999998</v>
      </c>
      <c r="D17" s="151">
        <f>'1- Ex Ante Results'!S82</f>
        <v>1586615.7154306844</v>
      </c>
      <c r="E17" s="152">
        <f t="shared" si="0"/>
        <v>17769543.885430682</v>
      </c>
    </row>
    <row r="18" spans="2:7" s="56" customFormat="1" ht="21.6" customHeight="1" x14ac:dyDescent="0.3">
      <c r="B18" s="26" t="s">
        <v>93</v>
      </c>
      <c r="C18" s="27">
        <f>SUM(C13:C16)</f>
        <v>105655083.33000001</v>
      </c>
      <c r="D18" s="27">
        <f t="shared" ref="D18:E18" si="1">SUM(D13:D16)</f>
        <v>15660733.352987891</v>
      </c>
      <c r="E18" s="27">
        <f t="shared" si="1"/>
        <v>121315816.6829879</v>
      </c>
    </row>
    <row r="19" spans="2:7" s="56" customFormat="1" ht="29.4" customHeight="1" x14ac:dyDescent="0.3">
      <c r="B19" s="163" t="s">
        <v>94</v>
      </c>
      <c r="C19" s="164"/>
      <c r="D19" s="164"/>
      <c r="E19" s="165"/>
    </row>
    <row r="20" spans="2:7" x14ac:dyDescent="0.3">
      <c r="B20" s="153" t="s">
        <v>95</v>
      </c>
      <c r="C20" s="262">
        <v>3617309.0800000005</v>
      </c>
      <c r="D20" s="262">
        <v>0</v>
      </c>
      <c r="E20" s="154">
        <f>SUM(C20:D20)</f>
        <v>3617309.0800000005</v>
      </c>
    </row>
    <row r="21" spans="2:7" x14ac:dyDescent="0.3">
      <c r="B21" s="148" t="s">
        <v>96</v>
      </c>
      <c r="C21" s="263">
        <v>1991914.73</v>
      </c>
      <c r="D21" s="263">
        <v>292879.40000000002</v>
      </c>
      <c r="E21" s="154">
        <f t="shared" ref="E21:E23" si="2">SUM(C21:D21)</f>
        <v>2284794.13</v>
      </c>
    </row>
    <row r="22" spans="2:7" x14ac:dyDescent="0.3">
      <c r="B22" s="155" t="s">
        <v>97</v>
      </c>
      <c r="C22" s="263">
        <v>2648596.19</v>
      </c>
      <c r="D22" s="263">
        <v>362577.63999999996</v>
      </c>
      <c r="E22" s="154">
        <f t="shared" si="2"/>
        <v>3011173.83</v>
      </c>
    </row>
    <row r="23" spans="2:7" x14ac:dyDescent="0.3">
      <c r="B23" s="148" t="s">
        <v>98</v>
      </c>
      <c r="C23" s="263">
        <v>5997250.040000001</v>
      </c>
      <c r="D23" s="263">
        <v>830072.5</v>
      </c>
      <c r="E23" s="154">
        <f t="shared" si="2"/>
        <v>6827322.540000001</v>
      </c>
    </row>
    <row r="24" spans="2:7" s="56" customFormat="1" ht="23.4" customHeight="1" x14ac:dyDescent="0.3">
      <c r="B24" s="6" t="s">
        <v>99</v>
      </c>
      <c r="C24" s="28">
        <f>SUM(C20:C23)</f>
        <v>14255070.040000001</v>
      </c>
      <c r="D24" s="28">
        <f t="shared" ref="D24:E24" si="3">SUM(D20:D23)</f>
        <v>1485529.54</v>
      </c>
      <c r="E24" s="28">
        <f t="shared" si="3"/>
        <v>15740599.580000002</v>
      </c>
    </row>
    <row r="25" spans="2:7" s="56" customFormat="1" ht="32.4" customHeight="1" x14ac:dyDescent="0.3">
      <c r="B25" s="166" t="s">
        <v>100</v>
      </c>
      <c r="C25" s="167">
        <f>SUM(C18,C24)</f>
        <v>119910153.37000002</v>
      </c>
      <c r="D25" s="167">
        <f t="shared" ref="D25:E25" si="4">SUM(D18,D24)</f>
        <v>17146262.892987892</v>
      </c>
      <c r="E25" s="167">
        <f t="shared" si="4"/>
        <v>137056416.26298791</v>
      </c>
    </row>
    <row r="26" spans="2:7" x14ac:dyDescent="0.3">
      <c r="B26" s="157"/>
      <c r="C26" s="157"/>
    </row>
    <row r="27" spans="2:7" s="56" customFormat="1" ht="17.399999999999999" customHeight="1" x14ac:dyDescent="0.3">
      <c r="B27" s="158"/>
      <c r="C27" s="158"/>
    </row>
    <row r="28" spans="2:7" s="56" customFormat="1" ht="20.100000000000001" customHeight="1" x14ac:dyDescent="0.3">
      <c r="B28" s="52" t="s">
        <v>101</v>
      </c>
      <c r="C28" s="158"/>
    </row>
    <row r="29" spans="2:7" ht="42" customHeight="1" x14ac:dyDescent="0.3">
      <c r="B29" s="5" t="s">
        <v>102</v>
      </c>
      <c r="C29" s="25" t="s">
        <v>103</v>
      </c>
      <c r="D29" s="25" t="s">
        <v>104</v>
      </c>
      <c r="E29" s="25" t="s">
        <v>105</v>
      </c>
      <c r="F29" s="5" t="s">
        <v>106</v>
      </c>
      <c r="G29" s="4" t="s">
        <v>21</v>
      </c>
    </row>
    <row r="30" spans="2:7" s="56" customFormat="1" ht="35.4" customHeight="1" x14ac:dyDescent="0.3">
      <c r="B30" s="156" t="s">
        <v>100</v>
      </c>
      <c r="C30" s="159">
        <f>C25</f>
        <v>119910153.37000002</v>
      </c>
      <c r="D30" s="159">
        <f t="shared" ref="D30:E30" si="5">D25</f>
        <v>17146262.892987892</v>
      </c>
      <c r="E30" s="159">
        <f t="shared" si="5"/>
        <v>137056416.26298791</v>
      </c>
      <c r="F30" s="159">
        <f>118701009+16433133</f>
        <v>135134142</v>
      </c>
      <c r="G30" s="245">
        <f>E30/F30</f>
        <v>1.0142249340879961</v>
      </c>
    </row>
  </sheetData>
  <mergeCells count="1">
    <mergeCell ref="B5:E7"/>
  </mergeCells>
  <printOptions headings="1"/>
  <pageMargins left="0.7" right="0.7" top="0.75" bottom="0.75" header="0.3" footer="0.3"/>
  <pageSetup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41"/>
  <sheetViews>
    <sheetView zoomScaleNormal="100" workbookViewId="0">
      <selection activeCell="D15" sqref="D15"/>
    </sheetView>
  </sheetViews>
  <sheetFormatPr defaultColWidth="9.109375" defaultRowHeight="14.4" x14ac:dyDescent="0.3"/>
  <cols>
    <col min="1" max="1" width="4.44140625" style="53" customWidth="1"/>
    <col min="2" max="2" width="4.88671875" style="122" customWidth="1"/>
    <col min="3" max="3" width="4.5546875" style="53" customWidth="1"/>
    <col min="4" max="4" width="76.5546875" style="53" customWidth="1"/>
    <col min="5" max="5" width="14" style="53" customWidth="1"/>
    <col min="6" max="6" width="45" style="53" customWidth="1"/>
    <col min="7" max="7" width="21.6640625" style="53" bestFit="1" customWidth="1"/>
    <col min="8" max="8" width="13.33203125" style="53" bestFit="1" customWidth="1"/>
    <col min="9" max="9" width="11" style="53" bestFit="1" customWidth="1"/>
    <col min="10" max="16384" width="9.109375" style="53"/>
  </cols>
  <sheetData>
    <row r="1" spans="2:11" ht="16.5" customHeight="1" x14ac:dyDescent="0.35">
      <c r="B1" s="54" t="s">
        <v>0</v>
      </c>
      <c r="E1" s="205"/>
      <c r="F1" s="205"/>
    </row>
    <row r="2" spans="2:11" ht="14.25" customHeight="1" x14ac:dyDescent="0.35">
      <c r="B2" s="54" t="s">
        <v>107</v>
      </c>
      <c r="E2" s="206"/>
      <c r="F2" s="206"/>
    </row>
    <row r="3" spans="2:11" ht="15.6" x14ac:dyDescent="0.3">
      <c r="B3" s="54" t="s">
        <v>82</v>
      </c>
      <c r="E3" s="207"/>
      <c r="F3" s="207"/>
    </row>
    <row r="4" spans="2:11" ht="18" x14ac:dyDescent="0.35">
      <c r="B4" s="208"/>
      <c r="E4" s="207"/>
      <c r="F4" s="207"/>
    </row>
    <row r="5" spans="2:11" ht="22.35" customHeight="1" x14ac:dyDescent="0.3">
      <c r="B5" s="307" t="s">
        <v>108</v>
      </c>
      <c r="C5" s="307"/>
      <c r="D5" s="307"/>
      <c r="E5" s="190"/>
      <c r="F5" s="190"/>
      <c r="G5" s="190"/>
      <c r="H5" s="190"/>
      <c r="I5" s="190"/>
      <c r="J5" s="190"/>
      <c r="K5" s="190"/>
    </row>
    <row r="6" spans="2:11" ht="27" customHeight="1" x14ac:dyDescent="0.3">
      <c r="B6" s="307"/>
      <c r="C6" s="307"/>
      <c r="D6" s="307"/>
      <c r="E6" s="190"/>
      <c r="F6" s="190"/>
      <c r="G6" s="190"/>
      <c r="H6" s="190"/>
      <c r="I6" s="190"/>
      <c r="J6" s="190"/>
      <c r="K6" s="190"/>
    </row>
    <row r="7" spans="2:11" ht="22.35" customHeight="1" x14ac:dyDescent="0.3">
      <c r="B7" s="67"/>
      <c r="C7" s="67"/>
      <c r="D7" s="67"/>
      <c r="E7" s="190"/>
      <c r="F7" s="190"/>
      <c r="G7" s="190"/>
      <c r="H7" s="190"/>
      <c r="I7" s="190"/>
      <c r="J7" s="190"/>
      <c r="K7" s="190"/>
    </row>
    <row r="8" spans="2:11" ht="22.35" customHeight="1" x14ac:dyDescent="0.3">
      <c r="B8" s="332" t="s">
        <v>109</v>
      </c>
      <c r="C8" s="332"/>
      <c r="D8" s="332"/>
      <c r="E8" s="190"/>
      <c r="F8" s="190"/>
      <c r="G8" s="190"/>
      <c r="H8" s="190"/>
      <c r="I8" s="190"/>
      <c r="J8" s="190"/>
      <c r="K8" s="190"/>
    </row>
    <row r="9" spans="2:11" ht="21" customHeight="1" x14ac:dyDescent="0.3">
      <c r="B9" s="339" t="s">
        <v>110</v>
      </c>
      <c r="C9" s="339"/>
      <c r="D9" s="339"/>
      <c r="E9" s="67"/>
      <c r="F9" s="67"/>
      <c r="G9" s="67"/>
      <c r="H9" s="67"/>
      <c r="I9" s="67"/>
      <c r="J9" s="67"/>
      <c r="K9" s="67"/>
    </row>
    <row r="10" spans="2:11" ht="21" customHeight="1" x14ac:dyDescent="0.3">
      <c r="B10" s="340" t="s">
        <v>111</v>
      </c>
      <c r="C10" s="340"/>
      <c r="D10" s="340"/>
      <c r="E10" s="67"/>
      <c r="F10" s="67"/>
      <c r="G10" s="67"/>
      <c r="H10" s="67"/>
      <c r="I10" s="67"/>
      <c r="J10" s="67"/>
      <c r="K10" s="67"/>
    </row>
    <row r="11" spans="2:11" ht="21" customHeight="1" x14ac:dyDescent="0.3">
      <c r="B11" s="341" t="s">
        <v>112</v>
      </c>
      <c r="C11" s="341"/>
      <c r="D11" s="341"/>
      <c r="E11" s="67"/>
      <c r="F11" s="67"/>
      <c r="G11" s="67"/>
      <c r="H11" s="67"/>
      <c r="I11" s="67"/>
      <c r="J11" s="67"/>
      <c r="K11" s="67"/>
    </row>
    <row r="12" spans="2:11" ht="21" customHeight="1" x14ac:dyDescent="0.3">
      <c r="B12" s="55"/>
      <c r="C12" s="55"/>
      <c r="D12" s="55"/>
      <c r="E12" s="67"/>
      <c r="F12" s="67"/>
      <c r="G12" s="67"/>
      <c r="H12" s="67"/>
      <c r="I12" s="67"/>
      <c r="J12" s="67"/>
      <c r="K12" s="67"/>
    </row>
    <row r="13" spans="2:11" ht="21" customHeight="1" x14ac:dyDescent="0.3">
      <c r="B13" s="94" t="s">
        <v>113</v>
      </c>
      <c r="C13" s="55"/>
      <c r="D13" s="55"/>
      <c r="E13" s="67"/>
      <c r="F13" s="67"/>
      <c r="G13" s="67"/>
      <c r="H13" s="67"/>
      <c r="I13" s="67"/>
      <c r="J13" s="67"/>
      <c r="K13" s="67"/>
    </row>
    <row r="14" spans="2:11" ht="21" customHeight="1" x14ac:dyDescent="0.3">
      <c r="B14" s="67"/>
      <c r="C14" s="67"/>
      <c r="D14" s="67"/>
      <c r="E14" s="67"/>
      <c r="F14" s="67"/>
      <c r="G14" s="67"/>
      <c r="H14" s="67"/>
      <c r="I14" s="67"/>
      <c r="J14" s="67"/>
      <c r="K14" s="67"/>
    </row>
    <row r="15" spans="2:11" ht="18" customHeight="1" x14ac:dyDescent="0.3">
      <c r="B15" s="214" t="s">
        <v>114</v>
      </c>
      <c r="C15" s="215"/>
      <c r="D15" s="215"/>
      <c r="E15" s="215"/>
      <c r="F15" s="216"/>
    </row>
    <row r="16" spans="2:11" x14ac:dyDescent="0.3">
      <c r="B16" s="212" t="s">
        <v>115</v>
      </c>
      <c r="C16" s="337" t="s">
        <v>116</v>
      </c>
      <c r="D16" s="338"/>
      <c r="E16" s="217">
        <v>0.103504465</v>
      </c>
      <c r="F16" s="213" t="s">
        <v>117</v>
      </c>
      <c r="G16" s="276"/>
      <c r="H16" s="275"/>
    </row>
    <row r="17" spans="1:9" x14ac:dyDescent="0.3">
      <c r="B17" s="203" t="s">
        <v>118</v>
      </c>
      <c r="C17" s="335" t="s">
        <v>119</v>
      </c>
      <c r="D17" s="336"/>
      <c r="E17" s="218">
        <v>29422649</v>
      </c>
      <c r="F17" s="8" t="s">
        <v>117</v>
      </c>
      <c r="G17" s="276"/>
    </row>
    <row r="18" spans="1:9" x14ac:dyDescent="0.3">
      <c r="B18" s="203" t="s">
        <v>120</v>
      </c>
      <c r="C18" s="335" t="s">
        <v>121</v>
      </c>
      <c r="D18" s="336"/>
      <c r="E18" s="219">
        <f>E16*E17</f>
        <v>3045375.5436277851</v>
      </c>
      <c r="F18" s="7" t="s">
        <v>122</v>
      </c>
      <c r="H18" s="254"/>
    </row>
    <row r="19" spans="1:9" x14ac:dyDescent="0.3">
      <c r="B19" s="203" t="s">
        <v>123</v>
      </c>
      <c r="C19" s="335" t="s">
        <v>124</v>
      </c>
      <c r="D19" s="336"/>
      <c r="E19" s="220">
        <v>2998024</v>
      </c>
      <c r="F19" s="9" t="s">
        <v>125</v>
      </c>
      <c r="I19" s="251"/>
    </row>
    <row r="20" spans="1:9" ht="16.5" customHeight="1" x14ac:dyDescent="0.3">
      <c r="B20" s="203"/>
      <c r="C20" s="209" t="s">
        <v>126</v>
      </c>
      <c r="D20" s="210"/>
      <c r="E20" s="221"/>
      <c r="F20" s="211"/>
    </row>
    <row r="21" spans="1:9" x14ac:dyDescent="0.3">
      <c r="B21" s="203" t="s">
        <v>127</v>
      </c>
      <c r="C21" s="344" t="s">
        <v>128</v>
      </c>
      <c r="D21" s="345"/>
      <c r="E21" s="218">
        <v>912102</v>
      </c>
      <c r="F21" s="8" t="s">
        <v>129</v>
      </c>
    </row>
    <row r="22" spans="1:9" x14ac:dyDescent="0.3">
      <c r="B22" s="203" t="s">
        <v>130</v>
      </c>
      <c r="C22" s="344" t="s">
        <v>131</v>
      </c>
      <c r="D22" s="345"/>
      <c r="E22" s="218">
        <v>1037035</v>
      </c>
      <c r="F22" s="8" t="s">
        <v>129</v>
      </c>
    </row>
    <row r="23" spans="1:9" x14ac:dyDescent="0.3">
      <c r="B23" s="203" t="s">
        <v>132</v>
      </c>
      <c r="C23" s="344" t="s">
        <v>133</v>
      </c>
      <c r="D23" s="345"/>
      <c r="E23" s="222">
        <f>E21/E17</f>
        <v>3.0999995955496733E-2</v>
      </c>
      <c r="F23" s="7" t="s">
        <v>134</v>
      </c>
    </row>
    <row r="24" spans="1:9" x14ac:dyDescent="0.3">
      <c r="A24" s="56"/>
      <c r="B24" s="203" t="s">
        <v>135</v>
      </c>
      <c r="C24" s="344" t="s">
        <v>136</v>
      </c>
      <c r="D24" s="345"/>
      <c r="E24" s="219">
        <f>E22-E21+269</f>
        <v>125202</v>
      </c>
      <c r="F24" s="7" t="s">
        <v>137</v>
      </c>
    </row>
    <row r="25" spans="1:9" x14ac:dyDescent="0.3">
      <c r="B25" s="203" t="s">
        <v>138</v>
      </c>
      <c r="C25" s="344" t="s">
        <v>139</v>
      </c>
      <c r="D25" s="345"/>
      <c r="E25" s="220">
        <v>16848</v>
      </c>
      <c r="F25" s="9" t="s">
        <v>125</v>
      </c>
      <c r="H25" s="267"/>
    </row>
    <row r="26" spans="1:9" x14ac:dyDescent="0.3">
      <c r="B26" s="203" t="s">
        <v>140</v>
      </c>
      <c r="C26" s="346" t="s">
        <v>141</v>
      </c>
      <c r="D26" s="347"/>
      <c r="E26" s="223">
        <f>E24+E25</f>
        <v>142050</v>
      </c>
      <c r="F26" s="7" t="s">
        <v>142</v>
      </c>
    </row>
    <row r="27" spans="1:9" x14ac:dyDescent="0.3">
      <c r="B27" s="203" t="s">
        <v>143</v>
      </c>
      <c r="C27" s="335" t="s">
        <v>144</v>
      </c>
      <c r="D27" s="336"/>
      <c r="E27" s="219">
        <f>E18-E19+E26</f>
        <v>189401.54362778505</v>
      </c>
      <c r="F27" s="7" t="s">
        <v>145</v>
      </c>
    </row>
    <row r="28" spans="1:9" x14ac:dyDescent="0.3">
      <c r="B28" s="292" t="s">
        <v>146</v>
      </c>
      <c r="C28" s="348" t="s">
        <v>147</v>
      </c>
      <c r="D28" s="349"/>
      <c r="E28" s="224">
        <f>E29-82724</f>
        <v>359885</v>
      </c>
      <c r="F28" s="9" t="s">
        <v>148</v>
      </c>
      <c r="G28"/>
    </row>
    <row r="29" spans="1:9" x14ac:dyDescent="0.3">
      <c r="B29" s="203" t="s">
        <v>149</v>
      </c>
      <c r="C29" s="335" t="s">
        <v>150</v>
      </c>
      <c r="D29" s="336"/>
      <c r="E29" s="224">
        <f>'1- Ex Ante Results'!C85</f>
        <v>442609</v>
      </c>
      <c r="F29" s="9" t="s">
        <v>151</v>
      </c>
    </row>
    <row r="30" spans="1:9" ht="27" customHeight="1" x14ac:dyDescent="0.3">
      <c r="B30" s="203" t="s">
        <v>152</v>
      </c>
      <c r="C30" s="342" t="s">
        <v>153</v>
      </c>
      <c r="D30" s="343"/>
      <c r="E30" s="225">
        <f>E29/E27</f>
        <v>2.3368816933711072</v>
      </c>
      <c r="F30" s="7" t="s">
        <v>154</v>
      </c>
    </row>
    <row r="31" spans="1:9" ht="18" customHeight="1" x14ac:dyDescent="0.3">
      <c r="B31" s="257" t="s">
        <v>155</v>
      </c>
      <c r="C31" s="258"/>
      <c r="D31" s="258"/>
      <c r="E31" s="259"/>
      <c r="F31" s="260"/>
    </row>
    <row r="32" spans="1:9" x14ac:dyDescent="0.3">
      <c r="B32" s="203" t="s">
        <v>156</v>
      </c>
      <c r="C32" s="350" t="s">
        <v>157</v>
      </c>
      <c r="D32" s="351"/>
      <c r="E32" s="227">
        <v>9.4688720000000004E-2</v>
      </c>
      <c r="F32" s="198" t="s">
        <v>117</v>
      </c>
    </row>
    <row r="33" spans="2:8" x14ac:dyDescent="0.3">
      <c r="B33" s="203" t="s">
        <v>158</v>
      </c>
      <c r="C33" s="350" t="s">
        <v>159</v>
      </c>
      <c r="D33" s="351"/>
      <c r="E33" s="224">
        <v>2806315</v>
      </c>
      <c r="F33" s="197" t="s">
        <v>117</v>
      </c>
    </row>
    <row r="34" spans="2:8" x14ac:dyDescent="0.3">
      <c r="B34" s="203" t="s">
        <v>160</v>
      </c>
      <c r="C34" s="204" t="s">
        <v>161</v>
      </c>
      <c r="D34" s="204"/>
      <c r="E34" s="219">
        <f>E18-E33</f>
        <v>239060.54362778505</v>
      </c>
      <c r="F34" s="7" t="s">
        <v>162</v>
      </c>
    </row>
    <row r="35" spans="2:8" x14ac:dyDescent="0.3">
      <c r="B35" s="203" t="s">
        <v>163</v>
      </c>
      <c r="C35" s="204" t="s">
        <v>164</v>
      </c>
      <c r="D35" s="204"/>
      <c r="E35" s="219">
        <f>E34+E26</f>
        <v>381110.54362778505</v>
      </c>
      <c r="F35" s="7" t="s">
        <v>165</v>
      </c>
      <c r="G35" s="202"/>
    </row>
    <row r="36" spans="2:8" x14ac:dyDescent="0.3">
      <c r="B36" s="203" t="s">
        <v>166</v>
      </c>
      <c r="C36" s="204" t="s">
        <v>167</v>
      </c>
      <c r="D36" s="204"/>
      <c r="E36" s="219">
        <f>E29</f>
        <v>442609</v>
      </c>
      <c r="F36" s="7" t="s">
        <v>168</v>
      </c>
      <c r="H36" s="202"/>
    </row>
    <row r="37" spans="2:8" ht="32.4" customHeight="1" x14ac:dyDescent="0.3">
      <c r="B37" s="203" t="s">
        <v>169</v>
      </c>
      <c r="C37" s="333" t="s">
        <v>170</v>
      </c>
      <c r="D37" s="334"/>
      <c r="E37" s="226">
        <f>E26</f>
        <v>142050</v>
      </c>
      <c r="F37" s="7" t="s">
        <v>171</v>
      </c>
    </row>
    <row r="38" spans="2:8" x14ac:dyDescent="0.3">
      <c r="B38" s="203" t="s">
        <v>172</v>
      </c>
      <c r="C38" s="333" t="s">
        <v>173</v>
      </c>
      <c r="D38" s="334"/>
      <c r="E38" s="219">
        <f>E36-E37</f>
        <v>300559</v>
      </c>
      <c r="F38" s="7" t="s">
        <v>174</v>
      </c>
    </row>
    <row r="39" spans="2:8" ht="30" customHeight="1" x14ac:dyDescent="0.3">
      <c r="B39" s="203" t="s">
        <v>175</v>
      </c>
      <c r="C39" s="342" t="s">
        <v>176</v>
      </c>
      <c r="D39" s="343"/>
      <c r="E39" s="225">
        <f>E38/E34</f>
        <v>1.257250550170117</v>
      </c>
      <c r="F39" s="7" t="s">
        <v>177</v>
      </c>
    </row>
    <row r="40" spans="2:8" x14ac:dyDescent="0.3">
      <c r="B40" s="199"/>
      <c r="C40" s="145"/>
      <c r="D40" s="145"/>
      <c r="E40" s="200"/>
      <c r="F40" s="201"/>
    </row>
    <row r="41" spans="2:8" x14ac:dyDescent="0.3">
      <c r="B41" s="199"/>
      <c r="C41" s="145"/>
      <c r="D41" s="145"/>
      <c r="E41" s="145"/>
      <c r="F41" s="145"/>
    </row>
  </sheetData>
  <mergeCells count="24">
    <mergeCell ref="C39:D39"/>
    <mergeCell ref="C21:D21"/>
    <mergeCell ref="C22:D22"/>
    <mergeCell ref="C23:D23"/>
    <mergeCell ref="C24:D24"/>
    <mergeCell ref="C25:D25"/>
    <mergeCell ref="C26:D26"/>
    <mergeCell ref="C27:D27"/>
    <mergeCell ref="C28:D28"/>
    <mergeCell ref="C29:D29"/>
    <mergeCell ref="C30:D30"/>
    <mergeCell ref="C32:D32"/>
    <mergeCell ref="C33:D33"/>
    <mergeCell ref="B5:D6"/>
    <mergeCell ref="B8:D8"/>
    <mergeCell ref="C37:D37"/>
    <mergeCell ref="C38:D38"/>
    <mergeCell ref="C19:D19"/>
    <mergeCell ref="C16:D16"/>
    <mergeCell ref="C17:D17"/>
    <mergeCell ref="C18:D18"/>
    <mergeCell ref="B9:D9"/>
    <mergeCell ref="B10:D10"/>
    <mergeCell ref="B11:D11"/>
  </mergeCells>
  <printOptions headings="1"/>
  <pageMargins left="0.7" right="0.7" top="0.75" bottom="0.75" header="0.3" footer="0.3"/>
  <pageSetup scale="5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X42"/>
  <sheetViews>
    <sheetView zoomScale="70" zoomScaleNormal="70" workbookViewId="0">
      <selection activeCell="C13" sqref="C13:G13"/>
    </sheetView>
  </sheetViews>
  <sheetFormatPr defaultColWidth="9.109375" defaultRowHeight="14.4" x14ac:dyDescent="0.3"/>
  <cols>
    <col min="1" max="1" width="3.5546875" style="53" customWidth="1"/>
    <col min="2" max="2" width="18.88671875" style="56" customWidth="1"/>
    <col min="3" max="3" width="22.33203125" style="53" customWidth="1"/>
    <col min="4" max="4" width="24.109375" style="53" customWidth="1"/>
    <col min="5" max="5" width="18.88671875" style="53" customWidth="1"/>
    <col min="6" max="6" width="18.5546875" style="53" customWidth="1"/>
    <col min="7" max="7" width="19.44140625" style="53" customWidth="1"/>
    <col min="8" max="8" width="22" style="53" bestFit="1" customWidth="1"/>
    <col min="9" max="12" width="19.44140625" style="53" customWidth="1"/>
    <col min="13" max="13" width="3.44140625" style="53" customWidth="1"/>
    <col min="14" max="14" width="31.88671875" style="53" customWidth="1"/>
    <col min="15" max="17" width="16.6640625" style="53" customWidth="1"/>
    <col min="18" max="20" width="19.109375" style="53" bestFit="1" customWidth="1"/>
    <col min="21" max="23" width="16.6640625" style="53" customWidth="1"/>
    <col min="24" max="24" width="21.109375" style="53" bestFit="1" customWidth="1"/>
    <col min="25" max="16384" width="9.109375" style="53"/>
  </cols>
  <sheetData>
    <row r="1" spans="2:24" x14ac:dyDescent="0.3">
      <c r="B1" s="52" t="s">
        <v>0</v>
      </c>
    </row>
    <row r="2" spans="2:24" x14ac:dyDescent="0.3">
      <c r="B2" s="52" t="s">
        <v>178</v>
      </c>
    </row>
    <row r="3" spans="2:24" x14ac:dyDescent="0.3">
      <c r="B3" s="54" t="s">
        <v>82</v>
      </c>
    </row>
    <row r="4" spans="2:24" x14ac:dyDescent="0.3">
      <c r="B4" s="52"/>
    </row>
    <row r="5" spans="2:24" ht="14.4" customHeight="1" x14ac:dyDescent="0.3">
      <c r="B5" s="355" t="s">
        <v>179</v>
      </c>
      <c r="C5" s="355"/>
      <c r="D5" s="355"/>
      <c r="E5" s="355"/>
      <c r="F5" s="355"/>
      <c r="G5" s="355"/>
      <c r="H5" s="55"/>
      <c r="I5" s="55"/>
      <c r="J5" s="55"/>
      <c r="K5" s="55"/>
      <c r="L5" s="55"/>
    </row>
    <row r="6" spans="2:24" x14ac:dyDescent="0.3">
      <c r="B6" s="355"/>
      <c r="C6" s="355"/>
      <c r="D6" s="355"/>
      <c r="E6" s="355"/>
      <c r="F6" s="355"/>
      <c r="G6" s="355"/>
      <c r="H6" s="55"/>
      <c r="I6" s="55"/>
      <c r="J6" s="55"/>
      <c r="K6" s="55"/>
      <c r="L6" s="55"/>
    </row>
    <row r="7" spans="2:24" x14ac:dyDescent="0.3">
      <c r="B7" s="355"/>
      <c r="C7" s="355"/>
      <c r="D7" s="355"/>
      <c r="E7" s="355"/>
      <c r="F7" s="355"/>
      <c r="G7" s="355"/>
      <c r="H7" s="55"/>
      <c r="I7" s="55"/>
      <c r="J7" s="55"/>
      <c r="K7" s="55"/>
      <c r="L7" s="55"/>
    </row>
    <row r="8" spans="2:24" x14ac:dyDescent="0.3">
      <c r="B8" s="355"/>
      <c r="C8" s="355"/>
      <c r="D8" s="355"/>
      <c r="E8" s="355"/>
      <c r="F8" s="355"/>
      <c r="G8" s="355"/>
      <c r="H8" s="55"/>
      <c r="I8" s="55"/>
      <c r="J8" s="55"/>
      <c r="K8" s="55"/>
      <c r="L8" s="55"/>
    </row>
    <row r="9" spans="2:24" x14ac:dyDescent="0.3">
      <c r="B9" s="355"/>
      <c r="C9" s="355"/>
      <c r="D9" s="355"/>
      <c r="E9" s="355"/>
      <c r="F9" s="355"/>
      <c r="G9" s="355"/>
      <c r="H9" s="55"/>
      <c r="I9" s="55"/>
      <c r="J9" s="55"/>
      <c r="K9" s="55"/>
      <c r="L9" s="55"/>
    </row>
    <row r="11" spans="2:24" ht="17.399999999999999" x14ac:dyDescent="0.3">
      <c r="B11" s="57" t="s">
        <v>180</v>
      </c>
      <c r="C11" s="57"/>
      <c r="D11" s="58"/>
      <c r="E11" s="58"/>
      <c r="F11" s="58"/>
      <c r="G11" s="58"/>
      <c r="H11" s="58"/>
      <c r="I11" s="58"/>
      <c r="J11" s="58"/>
      <c r="K11" s="58"/>
      <c r="L11" s="58"/>
      <c r="N11" s="59" t="s">
        <v>181</v>
      </c>
    </row>
    <row r="12" spans="2:24" ht="18" thickBot="1" x14ac:dyDescent="0.35">
      <c r="B12" s="57"/>
      <c r="C12" s="57"/>
      <c r="D12" s="58"/>
      <c r="E12" s="58"/>
      <c r="F12" s="58"/>
      <c r="G12" s="58"/>
      <c r="H12" s="58"/>
      <c r="I12" s="58"/>
      <c r="J12" s="58"/>
      <c r="K12" s="58"/>
      <c r="L12" s="58"/>
      <c r="N12" s="59"/>
    </row>
    <row r="13" spans="2:24" ht="33" customHeight="1" thickBot="1" x14ac:dyDescent="0.35">
      <c r="C13" s="360" t="s">
        <v>182</v>
      </c>
      <c r="D13" s="361"/>
      <c r="E13" s="361"/>
      <c r="F13" s="361"/>
      <c r="G13" s="362"/>
      <c r="H13" s="360" t="s">
        <v>183</v>
      </c>
      <c r="I13" s="361"/>
      <c r="J13" s="361"/>
      <c r="K13" s="361"/>
      <c r="L13" s="362"/>
      <c r="N13" s="352" t="s">
        <v>182</v>
      </c>
      <c r="O13" s="353"/>
      <c r="P13" s="353"/>
      <c r="Q13" s="353"/>
      <c r="R13" s="353"/>
      <c r="S13" s="353"/>
      <c r="T13" s="353"/>
      <c r="U13" s="353"/>
      <c r="V13" s="353"/>
      <c r="W13" s="353"/>
      <c r="X13" s="354"/>
    </row>
    <row r="14" spans="2:24" s="56" customFormat="1" ht="42" thickBot="1" x14ac:dyDescent="0.35">
      <c r="B14" s="77" t="s">
        <v>184</v>
      </c>
      <c r="C14" s="78" t="s">
        <v>185</v>
      </c>
      <c r="D14" s="79" t="s">
        <v>186</v>
      </c>
      <c r="E14" s="79" t="s">
        <v>187</v>
      </c>
      <c r="F14" s="79" t="s">
        <v>188</v>
      </c>
      <c r="G14" s="80" t="s">
        <v>189</v>
      </c>
      <c r="H14" s="78" t="s">
        <v>185</v>
      </c>
      <c r="I14" s="79" t="s">
        <v>190</v>
      </c>
      <c r="J14" s="79" t="s">
        <v>191</v>
      </c>
      <c r="K14" s="79" t="s">
        <v>192</v>
      </c>
      <c r="L14" s="80" t="s">
        <v>189</v>
      </c>
      <c r="N14" s="90" t="s">
        <v>193</v>
      </c>
      <c r="O14" s="91" t="s">
        <v>194</v>
      </c>
      <c r="P14" s="91" t="s">
        <v>195</v>
      </c>
      <c r="Q14" s="91" t="s">
        <v>196</v>
      </c>
      <c r="R14" s="91" t="s">
        <v>197</v>
      </c>
      <c r="S14" s="91" t="s">
        <v>198</v>
      </c>
      <c r="T14" s="91" t="s">
        <v>199</v>
      </c>
      <c r="U14" s="91" t="s">
        <v>200</v>
      </c>
      <c r="V14" s="91" t="s">
        <v>201</v>
      </c>
      <c r="W14" s="91" t="s">
        <v>202</v>
      </c>
      <c r="X14" s="92" t="s">
        <v>203</v>
      </c>
    </row>
    <row r="15" spans="2:24" ht="33" customHeight="1" x14ac:dyDescent="0.3">
      <c r="B15" s="31" t="s">
        <v>204</v>
      </c>
      <c r="C15" s="36" t="s">
        <v>205</v>
      </c>
      <c r="D15" s="37">
        <v>89955</v>
      </c>
      <c r="E15" s="37">
        <v>55709</v>
      </c>
      <c r="F15" s="37">
        <v>55709</v>
      </c>
      <c r="G15" s="38">
        <f>D15/F15</f>
        <v>1.6147301154212066</v>
      </c>
      <c r="H15" s="49" t="s">
        <v>205</v>
      </c>
      <c r="I15" s="37">
        <v>35193</v>
      </c>
      <c r="J15" s="37"/>
      <c r="K15" s="37">
        <v>0</v>
      </c>
      <c r="L15" s="38" t="s">
        <v>69</v>
      </c>
      <c r="N15" s="87" t="s">
        <v>206</v>
      </c>
      <c r="O15" s="88">
        <v>10283</v>
      </c>
      <c r="P15" s="88">
        <v>20978</v>
      </c>
      <c r="Q15" s="88">
        <v>26536</v>
      </c>
      <c r="R15" s="88">
        <v>37396</v>
      </c>
      <c r="S15" s="88">
        <v>34724</v>
      </c>
      <c r="T15" s="88">
        <v>28336</v>
      </c>
      <c r="U15" s="88">
        <v>33496.606</v>
      </c>
      <c r="V15" s="88">
        <v>18944.617999999999</v>
      </c>
      <c r="W15" s="88">
        <v>40705.535000000003</v>
      </c>
      <c r="X15" s="89">
        <v>15109</v>
      </c>
    </row>
    <row r="16" spans="2:24" s="56" customFormat="1" ht="33" customHeight="1" x14ac:dyDescent="0.3">
      <c r="B16" s="32" t="s">
        <v>207</v>
      </c>
      <c r="C16" s="39" t="s">
        <v>205</v>
      </c>
      <c r="D16" s="40">
        <v>129748</v>
      </c>
      <c r="E16" s="40">
        <v>113186</v>
      </c>
      <c r="F16" s="40">
        <v>113186</v>
      </c>
      <c r="G16" s="41">
        <f t="shared" ref="G16:G31" si="0">D16/F16</f>
        <v>1.1463255172901243</v>
      </c>
      <c r="H16" s="50" t="s">
        <v>205</v>
      </c>
      <c r="I16" s="40">
        <v>1903686</v>
      </c>
      <c r="J16" s="40"/>
      <c r="K16" s="40">
        <v>0</v>
      </c>
      <c r="L16" s="41" t="s">
        <v>69</v>
      </c>
      <c r="N16" s="68" t="s">
        <v>208</v>
      </c>
      <c r="O16" s="70" t="s">
        <v>209</v>
      </c>
      <c r="P16" s="70" t="s">
        <v>209</v>
      </c>
      <c r="Q16" s="70" t="s">
        <v>205</v>
      </c>
      <c r="R16" s="70" t="s">
        <v>205</v>
      </c>
      <c r="S16" s="70" t="s">
        <v>205</v>
      </c>
      <c r="T16" s="70" t="s">
        <v>205</v>
      </c>
      <c r="U16" s="70" t="s">
        <v>205</v>
      </c>
      <c r="V16" s="70" t="s">
        <v>205</v>
      </c>
      <c r="W16" s="70" t="s">
        <v>205</v>
      </c>
      <c r="X16" s="71" t="s">
        <v>205</v>
      </c>
    </row>
    <row r="17" spans="2:24" ht="33" customHeight="1" thickBot="1" x14ac:dyDescent="0.35">
      <c r="B17" s="32" t="s">
        <v>210</v>
      </c>
      <c r="C17" s="39" t="s">
        <v>205</v>
      </c>
      <c r="D17" s="40">
        <v>263374</v>
      </c>
      <c r="E17" s="40">
        <v>181765</v>
      </c>
      <c r="F17" s="40">
        <v>181765</v>
      </c>
      <c r="G17" s="41">
        <f t="shared" si="0"/>
        <v>1.4489808268918658</v>
      </c>
      <c r="H17" s="50" t="s">
        <v>205</v>
      </c>
      <c r="I17" s="40">
        <v>2053110</v>
      </c>
      <c r="J17" s="40"/>
      <c r="K17" s="40">
        <v>0</v>
      </c>
      <c r="L17" s="41" t="s">
        <v>69</v>
      </c>
      <c r="N17" s="72" t="s">
        <v>211</v>
      </c>
      <c r="O17" s="73" t="s">
        <v>212</v>
      </c>
      <c r="P17" s="73" t="s">
        <v>213</v>
      </c>
      <c r="Q17" s="74" t="s">
        <v>214</v>
      </c>
      <c r="R17" s="74" t="s">
        <v>215</v>
      </c>
      <c r="S17" s="74" t="s">
        <v>216</v>
      </c>
      <c r="T17" s="74" t="s">
        <v>217</v>
      </c>
      <c r="U17" s="73" t="s">
        <v>218</v>
      </c>
      <c r="V17" s="75" t="s">
        <v>219</v>
      </c>
      <c r="W17" s="75" t="s">
        <v>219</v>
      </c>
      <c r="X17" s="76"/>
    </row>
    <row r="18" spans="2:24" ht="33" customHeight="1" thickBot="1" x14ac:dyDescent="0.35">
      <c r="B18" s="33" t="s">
        <v>220</v>
      </c>
      <c r="C18" s="42" t="s">
        <v>205</v>
      </c>
      <c r="D18" s="43">
        <f>SUM(D15:D17)</f>
        <v>483077</v>
      </c>
      <c r="E18" s="43">
        <f t="shared" ref="E18:F18" si="1">SUM(E15:E17)</f>
        <v>350660</v>
      </c>
      <c r="F18" s="43">
        <f t="shared" si="1"/>
        <v>350660</v>
      </c>
      <c r="G18" s="44">
        <f t="shared" si="0"/>
        <v>1.3776221981406491</v>
      </c>
      <c r="H18" s="51" t="s">
        <v>205</v>
      </c>
      <c r="I18" s="43">
        <f>SUM(I15:I17)</f>
        <v>3991989</v>
      </c>
      <c r="J18" s="43">
        <f t="shared" ref="J18:K18" si="2">SUM(J15:J17)</f>
        <v>0</v>
      </c>
      <c r="K18" s="43">
        <f t="shared" si="2"/>
        <v>0</v>
      </c>
      <c r="L18" s="44" t="s">
        <v>69</v>
      </c>
      <c r="N18" s="60"/>
    </row>
    <row r="19" spans="2:24" ht="33" customHeight="1" thickBot="1" x14ac:dyDescent="0.35">
      <c r="B19" s="32" t="s">
        <v>221</v>
      </c>
      <c r="C19" s="39" t="s">
        <v>205</v>
      </c>
      <c r="D19" s="40">
        <v>353664</v>
      </c>
      <c r="E19" s="40">
        <v>273534</v>
      </c>
      <c r="F19" s="40">
        <v>273534</v>
      </c>
      <c r="G19" s="41">
        <f t="shared" si="0"/>
        <v>1.2929434732062559</v>
      </c>
      <c r="H19" s="50" t="s">
        <v>205</v>
      </c>
      <c r="I19" s="40">
        <v>5771819</v>
      </c>
      <c r="J19" s="40">
        <v>1881446</v>
      </c>
      <c r="K19" s="40">
        <v>1881446</v>
      </c>
      <c r="L19" s="41">
        <f t="shared" ref="L19:L31" si="3">I19/K19</f>
        <v>3.0677569273845755</v>
      </c>
      <c r="N19" s="352" t="s">
        <v>183</v>
      </c>
      <c r="O19" s="353"/>
      <c r="P19" s="353"/>
      <c r="Q19" s="353"/>
      <c r="R19" s="353"/>
      <c r="S19" s="353"/>
      <c r="T19" s="353"/>
      <c r="U19" s="353"/>
      <c r="V19" s="353"/>
      <c r="W19" s="353"/>
      <c r="X19" s="354"/>
    </row>
    <row r="20" spans="2:24" ht="33" customHeight="1" thickBot="1" x14ac:dyDescent="0.35">
      <c r="B20" s="32" t="s">
        <v>222</v>
      </c>
      <c r="C20" s="39" t="s">
        <v>205</v>
      </c>
      <c r="D20" s="40">
        <v>366726</v>
      </c>
      <c r="E20" s="40">
        <v>245871</v>
      </c>
      <c r="F20" s="40">
        <v>245871</v>
      </c>
      <c r="G20" s="41">
        <f t="shared" si="0"/>
        <v>1.4915382456654098</v>
      </c>
      <c r="H20" s="50" t="s">
        <v>205</v>
      </c>
      <c r="I20" s="40">
        <v>6914780</v>
      </c>
      <c r="J20" s="40">
        <v>3762892</v>
      </c>
      <c r="K20" s="40">
        <v>3762892</v>
      </c>
      <c r="L20" s="41">
        <f t="shared" si="3"/>
        <v>1.8376238276304502</v>
      </c>
      <c r="N20" s="90" t="s">
        <v>193</v>
      </c>
      <c r="O20" s="91" t="s">
        <v>194</v>
      </c>
      <c r="P20" s="91" t="s">
        <v>195</v>
      </c>
      <c r="Q20" s="91" t="s">
        <v>196</v>
      </c>
      <c r="R20" s="91" t="s">
        <v>197</v>
      </c>
      <c r="S20" s="91" t="s">
        <v>198</v>
      </c>
      <c r="T20" s="91" t="s">
        <v>199</v>
      </c>
      <c r="U20" s="91" t="s">
        <v>200</v>
      </c>
      <c r="V20" s="91" t="s">
        <v>201</v>
      </c>
      <c r="W20" s="91" t="s">
        <v>202</v>
      </c>
      <c r="X20" s="92" t="s">
        <v>203</v>
      </c>
    </row>
    <row r="21" spans="2:24" ht="33" customHeight="1" x14ac:dyDescent="0.3">
      <c r="B21" s="32" t="s">
        <v>223</v>
      </c>
      <c r="C21" s="39" t="s">
        <v>205</v>
      </c>
      <c r="D21" s="40">
        <v>304624</v>
      </c>
      <c r="E21" s="40">
        <v>216495</v>
      </c>
      <c r="F21" s="40">
        <v>216495</v>
      </c>
      <c r="G21" s="41">
        <f t="shared" si="0"/>
        <v>1.4070717568535069</v>
      </c>
      <c r="H21" s="50" t="s">
        <v>205</v>
      </c>
      <c r="I21" s="40">
        <v>6296042</v>
      </c>
      <c r="J21" s="40">
        <v>5644338</v>
      </c>
      <c r="K21" s="40">
        <v>5644338</v>
      </c>
      <c r="L21" s="41">
        <f t="shared" si="3"/>
        <v>1.1154615474835137</v>
      </c>
      <c r="N21" s="87" t="s">
        <v>224</v>
      </c>
      <c r="O21" s="88"/>
      <c r="P21" s="88"/>
      <c r="Q21" s="88"/>
      <c r="R21" s="88">
        <v>1157810</v>
      </c>
      <c r="S21" s="88">
        <v>1836138</v>
      </c>
      <c r="T21" s="88">
        <v>2220590</v>
      </c>
      <c r="U21" s="88">
        <v>824815</v>
      </c>
      <c r="V21" s="88">
        <v>651005</v>
      </c>
      <c r="W21" s="88">
        <v>1667500</v>
      </c>
      <c r="X21" s="89">
        <v>316324</v>
      </c>
    </row>
    <row r="22" spans="2:24" ht="33" customHeight="1" x14ac:dyDescent="0.3">
      <c r="B22" s="33" t="s">
        <v>225</v>
      </c>
      <c r="C22" s="42" t="s">
        <v>205</v>
      </c>
      <c r="D22" s="43">
        <f>SUM(D19:D21)</f>
        <v>1025014</v>
      </c>
      <c r="E22" s="43">
        <f t="shared" ref="E22" si="4">SUM(E19:E21)</f>
        <v>735900</v>
      </c>
      <c r="F22" s="43">
        <f t="shared" ref="F22" si="5">SUM(F19:F21)</f>
        <v>735900</v>
      </c>
      <c r="G22" s="44">
        <f t="shared" si="0"/>
        <v>1.3928713140372333</v>
      </c>
      <c r="H22" s="51" t="s">
        <v>205</v>
      </c>
      <c r="I22" s="43">
        <f>SUM(I19:I21)</f>
        <v>18982641</v>
      </c>
      <c r="J22" s="43">
        <f t="shared" ref="J22:K22" si="6">SUM(J19:J21)</f>
        <v>11288676</v>
      </c>
      <c r="K22" s="43">
        <f t="shared" si="6"/>
        <v>11288676</v>
      </c>
      <c r="L22" s="44">
        <f t="shared" si="3"/>
        <v>1.681564870849336</v>
      </c>
      <c r="N22" s="68" t="s">
        <v>208</v>
      </c>
      <c r="O22" s="70"/>
      <c r="P22" s="70"/>
      <c r="Q22" s="70"/>
      <c r="R22" s="70" t="s">
        <v>205</v>
      </c>
      <c r="S22" s="70" t="s">
        <v>205</v>
      </c>
      <c r="T22" s="70" t="s">
        <v>205</v>
      </c>
      <c r="U22" s="70" t="s">
        <v>205</v>
      </c>
      <c r="V22" s="70" t="s">
        <v>205</v>
      </c>
      <c r="W22" s="70" t="s">
        <v>205</v>
      </c>
      <c r="X22" s="71" t="s">
        <v>205</v>
      </c>
    </row>
    <row r="23" spans="2:24" ht="33" customHeight="1" thickBot="1" x14ac:dyDescent="0.35">
      <c r="B23" s="32" t="s">
        <v>226</v>
      </c>
      <c r="C23" s="45" t="s">
        <v>209</v>
      </c>
      <c r="D23" s="40">
        <v>275564</v>
      </c>
      <c r="E23" s="40">
        <v>223445.99405183073</v>
      </c>
      <c r="F23" s="40">
        <v>223408</v>
      </c>
      <c r="G23" s="41">
        <f t="shared" si="0"/>
        <v>1.2334562773043043</v>
      </c>
      <c r="H23" s="81" t="s">
        <v>209</v>
      </c>
      <c r="I23" s="40">
        <v>6515201</v>
      </c>
      <c r="J23" s="40">
        <v>5194921.4161395058</v>
      </c>
      <c r="K23" s="40">
        <v>5066568</v>
      </c>
      <c r="L23" s="41">
        <f t="shared" si="3"/>
        <v>1.2859199758100552</v>
      </c>
      <c r="N23" s="72" t="s">
        <v>211</v>
      </c>
      <c r="O23" s="73"/>
      <c r="P23" s="73"/>
      <c r="Q23" s="74"/>
      <c r="R23" s="74" t="s">
        <v>215</v>
      </c>
      <c r="S23" s="74" t="s">
        <v>216</v>
      </c>
      <c r="T23" s="74" t="s">
        <v>217</v>
      </c>
      <c r="U23" s="73" t="s">
        <v>218</v>
      </c>
      <c r="V23" s="75"/>
      <c r="W23" s="75"/>
      <c r="X23" s="76"/>
    </row>
    <row r="24" spans="2:24" ht="33" customHeight="1" x14ac:dyDescent="0.3">
      <c r="B24" s="32" t="s">
        <v>227</v>
      </c>
      <c r="C24" s="45" t="s">
        <v>209</v>
      </c>
      <c r="D24" s="40">
        <v>211414</v>
      </c>
      <c r="E24" s="40">
        <v>185278</v>
      </c>
      <c r="F24" s="40">
        <v>180913</v>
      </c>
      <c r="G24" s="41">
        <f t="shared" si="0"/>
        <v>1.1685948494580267</v>
      </c>
      <c r="H24" s="81" t="s">
        <v>209</v>
      </c>
      <c r="I24" s="40">
        <v>6836449</v>
      </c>
      <c r="J24" s="40">
        <v>5433379.4147227583</v>
      </c>
      <c r="K24" s="40">
        <v>5369967</v>
      </c>
      <c r="L24" s="41">
        <f t="shared" si="3"/>
        <v>1.2730895739210315</v>
      </c>
    </row>
    <row r="25" spans="2:24" ht="33" customHeight="1" x14ac:dyDescent="0.3">
      <c r="B25" s="32" t="s">
        <v>228</v>
      </c>
      <c r="C25" s="45" t="s">
        <v>209</v>
      </c>
      <c r="D25" s="40">
        <v>197694</v>
      </c>
      <c r="E25" s="40">
        <v>191603</v>
      </c>
      <c r="F25" s="40">
        <v>174349</v>
      </c>
      <c r="G25" s="41">
        <f t="shared" si="0"/>
        <v>1.13389810093548</v>
      </c>
      <c r="H25" s="81" t="s">
        <v>209</v>
      </c>
      <c r="I25" s="40">
        <v>5868915</v>
      </c>
      <c r="J25" s="40">
        <v>5429061.1936935615</v>
      </c>
      <c r="K25" s="40">
        <v>5369967</v>
      </c>
      <c r="L25" s="41">
        <f t="shared" si="3"/>
        <v>1.092914537463638</v>
      </c>
      <c r="N25" s="60" t="s">
        <v>76</v>
      </c>
    </row>
    <row r="26" spans="2:24" ht="33" customHeight="1" x14ac:dyDescent="0.3">
      <c r="B26" s="32" t="s">
        <v>229</v>
      </c>
      <c r="C26" s="45" t="s">
        <v>209</v>
      </c>
      <c r="D26" s="40">
        <v>91233</v>
      </c>
      <c r="E26" s="40">
        <v>77329</v>
      </c>
      <c r="F26" s="40">
        <v>77329</v>
      </c>
      <c r="G26" s="41">
        <f t="shared" si="0"/>
        <v>1.1798031786263885</v>
      </c>
      <c r="H26" s="81" t="s">
        <v>209</v>
      </c>
      <c r="I26" s="40">
        <v>2947129</v>
      </c>
      <c r="J26" s="40">
        <v>2634576</v>
      </c>
      <c r="K26" s="40">
        <v>2634576</v>
      </c>
      <c r="L26" s="41">
        <f t="shared" si="3"/>
        <v>1.1186350289382427</v>
      </c>
      <c r="N26" s="357" t="s">
        <v>230</v>
      </c>
      <c r="O26" s="358"/>
      <c r="P26" s="358"/>
      <c r="Q26" s="358"/>
      <c r="R26" s="358"/>
      <c r="S26" s="358"/>
      <c r="T26" s="358"/>
      <c r="U26" s="358"/>
      <c r="V26" s="358"/>
      <c r="W26" s="359"/>
    </row>
    <row r="27" spans="2:24" ht="33" customHeight="1" x14ac:dyDescent="0.3">
      <c r="B27" s="33" t="s">
        <v>231</v>
      </c>
      <c r="C27" s="42" t="s">
        <v>209</v>
      </c>
      <c r="D27" s="43">
        <f>SUM(D23:D26)</f>
        <v>775905</v>
      </c>
      <c r="E27" s="43">
        <f t="shared" ref="E27:F27" si="7">SUM(E23:E26)</f>
        <v>677655.99405183073</v>
      </c>
      <c r="F27" s="43">
        <f t="shared" si="7"/>
        <v>655999</v>
      </c>
      <c r="G27" s="44">
        <f t="shared" si="0"/>
        <v>1.1827838152192305</v>
      </c>
      <c r="H27" s="82" t="s">
        <v>209</v>
      </c>
      <c r="I27" s="43">
        <f>SUM(I23:I26)</f>
        <v>22167694</v>
      </c>
      <c r="J27" s="43">
        <f t="shared" ref="J27:K27" si="8">SUM(J23:J26)</f>
        <v>18691938.024555825</v>
      </c>
      <c r="K27" s="43">
        <f t="shared" si="8"/>
        <v>18441078</v>
      </c>
      <c r="L27" s="44">
        <f t="shared" si="3"/>
        <v>1.2020823294603493</v>
      </c>
      <c r="N27" s="363" t="s">
        <v>232</v>
      </c>
      <c r="O27" s="364"/>
      <c r="P27" s="364"/>
      <c r="Q27" s="364"/>
      <c r="R27" s="364"/>
      <c r="S27" s="364"/>
      <c r="T27" s="364"/>
      <c r="U27" s="364"/>
      <c r="V27" s="364"/>
      <c r="W27" s="365"/>
    </row>
    <row r="28" spans="2:24" ht="33" customHeight="1" x14ac:dyDescent="0.3">
      <c r="B28" s="34">
        <v>2018</v>
      </c>
      <c r="C28" s="45" t="s">
        <v>209</v>
      </c>
      <c r="D28" s="40">
        <v>377775</v>
      </c>
      <c r="E28" s="40">
        <v>358145</v>
      </c>
      <c r="F28" s="40">
        <v>358145</v>
      </c>
      <c r="G28" s="41">
        <f t="shared" si="0"/>
        <v>1.0548102025715842</v>
      </c>
      <c r="H28" s="81" t="s">
        <v>209</v>
      </c>
      <c r="I28" s="40">
        <v>7353769</v>
      </c>
      <c r="J28" s="40">
        <v>3716492</v>
      </c>
      <c r="K28" s="40">
        <v>3716492</v>
      </c>
      <c r="L28" s="41">
        <f t="shared" si="3"/>
        <v>1.9786855454014163</v>
      </c>
      <c r="N28" s="61"/>
      <c r="O28" s="61"/>
      <c r="P28" s="61"/>
      <c r="Q28" s="61"/>
      <c r="R28" s="61"/>
      <c r="S28" s="61"/>
      <c r="T28" s="61"/>
      <c r="U28" s="61"/>
      <c r="V28" s="61"/>
      <c r="W28" s="61"/>
    </row>
    <row r="29" spans="2:24" ht="33" customHeight="1" x14ac:dyDescent="0.3">
      <c r="B29" s="34">
        <v>2019</v>
      </c>
      <c r="C29" s="45" t="s">
        <v>209</v>
      </c>
      <c r="D29" s="40">
        <v>344447</v>
      </c>
      <c r="E29" s="40">
        <v>356784</v>
      </c>
      <c r="F29" s="40">
        <v>356663</v>
      </c>
      <c r="G29" s="41">
        <f t="shared" si="0"/>
        <v>0.9657491805990529</v>
      </c>
      <c r="H29" s="81" t="s">
        <v>209</v>
      </c>
      <c r="I29" s="40">
        <v>4188155</v>
      </c>
      <c r="J29" s="40">
        <v>3524551</v>
      </c>
      <c r="K29" s="40">
        <v>3502780</v>
      </c>
      <c r="L29" s="41">
        <f t="shared" si="3"/>
        <v>1.1956660138518549</v>
      </c>
      <c r="N29" s="61"/>
      <c r="O29" s="61"/>
      <c r="P29" s="61"/>
      <c r="Q29" s="61"/>
      <c r="R29" s="61"/>
      <c r="S29" s="61"/>
      <c r="T29" s="61"/>
      <c r="U29" s="61"/>
      <c r="V29" s="61"/>
      <c r="W29" s="61"/>
    </row>
    <row r="30" spans="2:24" ht="33" customHeight="1" x14ac:dyDescent="0.3">
      <c r="B30" s="34">
        <v>2020</v>
      </c>
      <c r="C30" s="45" t="s">
        <v>209</v>
      </c>
      <c r="D30" s="40">
        <v>442517</v>
      </c>
      <c r="E30" s="40">
        <v>378765</v>
      </c>
      <c r="F30" s="40">
        <v>370720</v>
      </c>
      <c r="G30" s="41">
        <f t="shared" si="0"/>
        <v>1.193669076391886</v>
      </c>
      <c r="H30" s="81" t="s">
        <v>209</v>
      </c>
      <c r="I30" s="40">
        <v>4296545</v>
      </c>
      <c r="J30" s="40">
        <v>3074613</v>
      </c>
      <c r="K30" s="83">
        <v>3134293</v>
      </c>
      <c r="L30" s="41">
        <f t="shared" si="3"/>
        <v>1.3708179165125915</v>
      </c>
    </row>
    <row r="31" spans="2:24" ht="33" customHeight="1" x14ac:dyDescent="0.3">
      <c r="B31" s="34">
        <v>2021</v>
      </c>
      <c r="C31" s="45" t="s">
        <v>209</v>
      </c>
      <c r="D31" s="250">
        <v>451995</v>
      </c>
      <c r="E31" s="40">
        <v>418850</v>
      </c>
      <c r="F31" s="40">
        <v>446768</v>
      </c>
      <c r="G31" s="41">
        <f t="shared" si="0"/>
        <v>1.0116995845718584</v>
      </c>
      <c r="H31" s="81" t="s">
        <v>209</v>
      </c>
      <c r="I31" s="40">
        <v>3407124</v>
      </c>
      <c r="J31" s="40">
        <v>3129204</v>
      </c>
      <c r="K31" s="83">
        <v>3209155</v>
      </c>
      <c r="L31" s="41">
        <f t="shared" si="3"/>
        <v>1.0616888246282901</v>
      </c>
    </row>
    <row r="32" spans="2:24" ht="33" customHeight="1" x14ac:dyDescent="0.3">
      <c r="B32" s="33" t="s">
        <v>233</v>
      </c>
      <c r="C32" s="42" t="s">
        <v>209</v>
      </c>
      <c r="D32" s="43">
        <f>SUM(D28:D31)</f>
        <v>1616734</v>
      </c>
      <c r="E32" s="43">
        <f t="shared" ref="E32" si="9">SUM(E28:E31)</f>
        <v>1512544</v>
      </c>
      <c r="F32" s="43">
        <f t="shared" ref="F32" si="10">SUM(F28:F31)</f>
        <v>1532296</v>
      </c>
      <c r="G32" s="44">
        <f>D32/F32</f>
        <v>1.0551055409659753</v>
      </c>
      <c r="H32" s="82" t="s">
        <v>209</v>
      </c>
      <c r="I32" s="84">
        <f>SUM(I28:I31)</f>
        <v>19245593</v>
      </c>
      <c r="J32" s="43">
        <f t="shared" ref="J32:K32" si="11">SUM(J28:J31)</f>
        <v>13444860</v>
      </c>
      <c r="K32" s="43">
        <f t="shared" si="11"/>
        <v>13562720</v>
      </c>
      <c r="L32" s="44">
        <f>I32/K32</f>
        <v>1.4190068806257152</v>
      </c>
    </row>
    <row r="33" spans="2:16" ht="33" customHeight="1" x14ac:dyDescent="0.3">
      <c r="B33" s="34">
        <v>2022</v>
      </c>
      <c r="C33" s="45" t="s">
        <v>209</v>
      </c>
      <c r="D33" s="40">
        <f>216708+153806+86892</f>
        <v>457406</v>
      </c>
      <c r="E33" s="40">
        <f>'1- Ex Ante Results'!E85</f>
        <v>438166.27320000005</v>
      </c>
      <c r="F33" s="40">
        <v>419203</v>
      </c>
      <c r="G33" s="41">
        <f>D33/F33</f>
        <v>1.0911324584986271</v>
      </c>
      <c r="H33" s="81" t="s">
        <v>209</v>
      </c>
      <c r="I33" s="40">
        <f>1926934+2171063</f>
        <v>4097997</v>
      </c>
      <c r="J33" s="40">
        <v>3242620</v>
      </c>
      <c r="K33" s="40">
        <v>3358430</v>
      </c>
      <c r="L33" s="41">
        <f>I33/K33</f>
        <v>1.2202121229264864</v>
      </c>
      <c r="P33" s="254"/>
    </row>
    <row r="34" spans="2:16" ht="33" customHeight="1" x14ac:dyDescent="0.3">
      <c r="B34" s="34">
        <v>2023</v>
      </c>
      <c r="C34" s="45" t="s">
        <v>234</v>
      </c>
      <c r="D34" s="40">
        <f>'1- Ex Ante Results'!C85</f>
        <v>442609</v>
      </c>
      <c r="E34" s="40">
        <v>438166</v>
      </c>
      <c r="F34" s="40">
        <v>381110</v>
      </c>
      <c r="G34" s="41">
        <f>D34/F34</f>
        <v>1.1613681089449239</v>
      </c>
      <c r="H34" s="81" t="s">
        <v>234</v>
      </c>
      <c r="I34" s="40">
        <f>'1- Ex Ante Results'!H85</f>
        <v>4110859</v>
      </c>
      <c r="J34" s="40">
        <v>3325705</v>
      </c>
      <c r="K34" s="40">
        <v>3447082</v>
      </c>
      <c r="L34" s="41">
        <f t="shared" ref="L34:L36" si="12">I34/K34</f>
        <v>1.1925619988152298</v>
      </c>
      <c r="P34" s="255"/>
    </row>
    <row r="35" spans="2:16" ht="33" customHeight="1" x14ac:dyDescent="0.3">
      <c r="B35" s="34">
        <v>2024</v>
      </c>
      <c r="C35" s="45"/>
      <c r="D35" s="40"/>
      <c r="E35" s="40">
        <v>431422</v>
      </c>
      <c r="F35" s="40">
        <v>431422</v>
      </c>
      <c r="G35" s="41">
        <f t="shared" ref="G35:G36" si="13">D35/F35</f>
        <v>0</v>
      </c>
      <c r="H35" s="81"/>
      <c r="I35" s="40"/>
      <c r="J35" s="40">
        <v>3390229</v>
      </c>
      <c r="K35" s="83">
        <v>3508988</v>
      </c>
      <c r="L35" s="41">
        <f t="shared" si="12"/>
        <v>0</v>
      </c>
    </row>
    <row r="36" spans="2:16" ht="33" customHeight="1" x14ac:dyDescent="0.3">
      <c r="B36" s="34">
        <v>2025</v>
      </c>
      <c r="C36" s="45"/>
      <c r="D36" s="40"/>
      <c r="E36" s="40">
        <v>417175</v>
      </c>
      <c r="F36" s="40">
        <v>417175</v>
      </c>
      <c r="G36" s="41">
        <f t="shared" si="13"/>
        <v>0</v>
      </c>
      <c r="H36" s="81"/>
      <c r="I36" s="40"/>
      <c r="J36" s="40">
        <v>3447993</v>
      </c>
      <c r="K36" s="83">
        <v>3562298</v>
      </c>
      <c r="L36" s="41">
        <f t="shared" si="12"/>
        <v>0</v>
      </c>
    </row>
    <row r="37" spans="2:16" ht="33" customHeight="1" thickBot="1" x14ac:dyDescent="0.35">
      <c r="B37" s="35" t="s">
        <v>235</v>
      </c>
      <c r="C37" s="46" t="s">
        <v>234</v>
      </c>
      <c r="D37" s="47">
        <f>SUM(D33:D36)</f>
        <v>900015</v>
      </c>
      <c r="E37" s="47">
        <f t="shared" ref="E37" si="14">SUM(E33:E36)</f>
        <v>1724929.2732000002</v>
      </c>
      <c r="F37" s="47">
        <f t="shared" ref="F37" si="15">SUM(F33:F36)</f>
        <v>1648910</v>
      </c>
      <c r="G37" s="48">
        <f>D37/F37</f>
        <v>0.54582421114554458</v>
      </c>
      <c r="H37" s="85" t="s">
        <v>234</v>
      </c>
      <c r="I37" s="86">
        <f>SUM(I33:I36)</f>
        <v>8208856</v>
      </c>
      <c r="J37" s="47">
        <f t="shared" ref="J37:K37" si="16">SUM(J33:J36)</f>
        <v>13406547</v>
      </c>
      <c r="K37" s="47">
        <f t="shared" si="16"/>
        <v>13876798</v>
      </c>
      <c r="L37" s="48">
        <f>I37/K37</f>
        <v>0.59155260457059333</v>
      </c>
    </row>
    <row r="38" spans="2:16" ht="14.4" customHeight="1" x14ac:dyDescent="0.3">
      <c r="B38" s="62"/>
      <c r="C38" s="63"/>
      <c r="D38" s="64"/>
      <c r="E38" s="64"/>
      <c r="F38" s="64"/>
      <c r="G38" s="65"/>
      <c r="H38" s="65"/>
      <c r="I38" s="65"/>
      <c r="J38" s="65"/>
      <c r="K38" s="65"/>
      <c r="L38" s="65"/>
    </row>
    <row r="39" spans="2:16" x14ac:dyDescent="0.3">
      <c r="B39" s="60" t="s">
        <v>76</v>
      </c>
    </row>
    <row r="40" spans="2:16" ht="46.35" customHeight="1" x14ac:dyDescent="0.3">
      <c r="B40" s="356" t="s">
        <v>236</v>
      </c>
      <c r="C40" s="356"/>
      <c r="D40" s="356"/>
      <c r="E40" s="356"/>
      <c r="F40" s="356"/>
      <c r="G40" s="356"/>
      <c r="H40" s="66"/>
      <c r="I40" s="66"/>
      <c r="J40" s="66"/>
      <c r="K40" s="66"/>
      <c r="L40" s="66"/>
    </row>
    <row r="41" spans="2:16" ht="42.75" customHeight="1" x14ac:dyDescent="0.3">
      <c r="B41" s="356" t="s">
        <v>237</v>
      </c>
      <c r="C41" s="356"/>
      <c r="D41" s="356"/>
      <c r="E41" s="356"/>
      <c r="F41" s="356"/>
      <c r="G41" s="356"/>
      <c r="H41" s="66"/>
      <c r="I41" s="66"/>
      <c r="J41" s="66"/>
      <c r="K41" s="66"/>
      <c r="L41" s="66"/>
    </row>
    <row r="42" spans="2:16" ht="42" customHeight="1" x14ac:dyDescent="0.3">
      <c r="B42" s="300" t="s">
        <v>238</v>
      </c>
      <c r="C42" s="300"/>
      <c r="D42" s="300"/>
      <c r="E42" s="300"/>
      <c r="F42" s="300"/>
      <c r="G42" s="300"/>
      <c r="H42" s="67"/>
      <c r="I42" s="67"/>
      <c r="J42" s="67"/>
      <c r="K42" s="67"/>
      <c r="L42" s="67"/>
    </row>
  </sheetData>
  <mergeCells count="10">
    <mergeCell ref="N19:X19"/>
    <mergeCell ref="B42:G42"/>
    <mergeCell ref="B5:G9"/>
    <mergeCell ref="B40:G40"/>
    <mergeCell ref="B41:G41"/>
    <mergeCell ref="N26:W26"/>
    <mergeCell ref="H13:L13"/>
    <mergeCell ref="C13:G13"/>
    <mergeCell ref="N27:W27"/>
    <mergeCell ref="N13:X13"/>
  </mergeCells>
  <hyperlinks>
    <hyperlink ref="O17" r:id="rId1" xr:uid="{F55EC2AE-115D-4E52-A5EE-1CD6254A0CD1}"/>
    <hyperlink ref="P17" r:id="rId2" display="Docket 10-0520, Staff Ex. 1.1, p. 12." xr:uid="{A202BF72-5341-40BB-BF2F-DA8232CF1059}"/>
    <hyperlink ref="U17" r:id="rId3" xr:uid="{AE251BDF-4AFD-4580-9734-60A995F2A724}"/>
    <hyperlink ref="V17" r:id="rId4" xr:uid="{D19073C8-6AD3-478E-8B5C-AFAE45412EDA}"/>
    <hyperlink ref="W17" r:id="rId5" xr:uid="{F5ADF5E5-843C-4EA0-8F04-79A4370196C8}"/>
    <hyperlink ref="U23" r:id="rId6" xr:uid="{C5723988-8714-44F7-B449-C0A7FAFD3390}"/>
  </hyperlinks>
  <printOptions headings="1"/>
  <pageMargins left="0.7" right="0.7" top="0.75" bottom="0.75" header="0.3" footer="0.3"/>
  <pageSetup scale="44" orientation="landscape" r:id="rId7"/>
  <ignoredErrors>
    <ignoredError sqref="L19:L37 G15:G33 G35:G37"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S48"/>
  <sheetViews>
    <sheetView zoomScaleNormal="100" workbookViewId="0">
      <selection activeCell="B11" sqref="B11"/>
    </sheetView>
  </sheetViews>
  <sheetFormatPr defaultColWidth="9.109375" defaultRowHeight="14.4" x14ac:dyDescent="0.3"/>
  <cols>
    <col min="1" max="1" width="4.44140625" style="53" customWidth="1"/>
    <col min="2" max="2" width="49.88671875" style="53" customWidth="1"/>
    <col min="3" max="17" width="12.6640625" style="53" customWidth="1"/>
    <col min="18" max="18" width="12.88671875" style="53" customWidth="1"/>
    <col min="19" max="19" width="13.88671875" style="53" customWidth="1"/>
    <col min="20" max="16384" width="9.109375" style="53"/>
  </cols>
  <sheetData>
    <row r="1" spans="2:18" x14ac:dyDescent="0.3">
      <c r="B1" s="54" t="s">
        <v>0</v>
      </c>
    </row>
    <row r="2" spans="2:18" x14ac:dyDescent="0.3">
      <c r="B2" s="54" t="s">
        <v>239</v>
      </c>
    </row>
    <row r="3" spans="2:18" x14ac:dyDescent="0.3">
      <c r="B3" s="54" t="s">
        <v>2</v>
      </c>
    </row>
    <row r="4" spans="2:18" x14ac:dyDescent="0.3">
      <c r="B4" s="54"/>
    </row>
    <row r="5" spans="2:18" ht="22.35" customHeight="1" x14ac:dyDescent="0.3">
      <c r="B5" s="307" t="s">
        <v>240</v>
      </c>
      <c r="C5" s="307"/>
      <c r="D5" s="307"/>
      <c r="E5" s="307"/>
      <c r="F5" s="307"/>
      <c r="G5" s="307"/>
      <c r="H5" s="307"/>
      <c r="I5" s="307"/>
      <c r="J5" s="307"/>
      <c r="K5" s="307"/>
    </row>
    <row r="6" spans="2:18" ht="21" customHeight="1" x14ac:dyDescent="0.3">
      <c r="B6" s="307"/>
      <c r="C6" s="307"/>
      <c r="D6" s="307"/>
      <c r="E6" s="307"/>
      <c r="F6" s="307"/>
      <c r="G6" s="307"/>
      <c r="H6" s="307"/>
      <c r="I6" s="307"/>
      <c r="J6" s="307"/>
      <c r="K6" s="307"/>
    </row>
    <row r="7" spans="2:18" ht="21" customHeight="1" x14ac:dyDescent="0.3">
      <c r="B7" s="307"/>
      <c r="C7" s="307"/>
      <c r="D7" s="307"/>
      <c r="E7" s="307"/>
      <c r="F7" s="307"/>
      <c r="G7" s="307"/>
      <c r="H7" s="307"/>
      <c r="I7" s="307"/>
      <c r="J7" s="307"/>
      <c r="K7" s="307"/>
    </row>
    <row r="8" spans="2:18" x14ac:dyDescent="0.3">
      <c r="B8" s="145"/>
      <c r="C8" s="145"/>
      <c r="D8" s="145"/>
      <c r="E8" s="145"/>
      <c r="F8" s="145"/>
      <c r="G8" s="145"/>
      <c r="H8" s="145"/>
      <c r="I8" s="145"/>
      <c r="J8" s="145"/>
      <c r="K8" s="145"/>
      <c r="L8" s="145"/>
    </row>
    <row r="9" spans="2:18" x14ac:dyDescent="0.3">
      <c r="B9" s="59" t="s">
        <v>241</v>
      </c>
      <c r="C9" s="59"/>
      <c r="D9" s="177"/>
      <c r="E9" s="177"/>
      <c r="F9" s="178"/>
      <c r="G9" s="178"/>
      <c r="H9" s="178"/>
      <c r="I9" s="178"/>
      <c r="J9" s="178"/>
      <c r="K9" s="178"/>
      <c r="L9" s="178"/>
    </row>
    <row r="10" spans="2:18" x14ac:dyDescent="0.3">
      <c r="B10" s="177"/>
      <c r="C10" s="177"/>
      <c r="D10" s="177"/>
      <c r="E10" s="177"/>
      <c r="F10" s="178"/>
      <c r="G10" s="178"/>
      <c r="H10" s="178"/>
      <c r="I10" s="178"/>
      <c r="J10" s="178"/>
      <c r="K10" s="178"/>
      <c r="L10" s="178"/>
    </row>
    <row r="11" spans="2:18" ht="27.6" x14ac:dyDescent="0.3">
      <c r="B11" s="3" t="s">
        <v>242</v>
      </c>
      <c r="C11" s="2" t="s">
        <v>194</v>
      </c>
      <c r="D11" s="2" t="s">
        <v>195</v>
      </c>
      <c r="E11" s="2" t="s">
        <v>196</v>
      </c>
      <c r="F11" s="2" t="s">
        <v>197</v>
      </c>
      <c r="G11" s="2" t="s">
        <v>198</v>
      </c>
      <c r="H11" s="2" t="s">
        <v>199</v>
      </c>
      <c r="I11" s="2" t="s">
        <v>200</v>
      </c>
      <c r="J11" s="2" t="s">
        <v>201</v>
      </c>
      <c r="K11" s="2" t="s">
        <v>202</v>
      </c>
      <c r="L11" s="1" t="s">
        <v>203</v>
      </c>
      <c r="M11" s="1">
        <v>2018</v>
      </c>
      <c r="N11" s="1">
        <v>2019</v>
      </c>
      <c r="O11" s="1">
        <v>2020</v>
      </c>
      <c r="P11" s="1">
        <v>2021</v>
      </c>
      <c r="Q11" s="1">
        <v>2022</v>
      </c>
      <c r="R11" s="1">
        <v>2023</v>
      </c>
    </row>
    <row r="12" spans="2:18" x14ac:dyDescent="0.3">
      <c r="B12" s="179" t="s">
        <v>243</v>
      </c>
      <c r="C12" s="193">
        <v>100238</v>
      </c>
      <c r="D12" s="193">
        <v>150726</v>
      </c>
      <c r="E12" s="193">
        <v>289910</v>
      </c>
      <c r="F12" s="193">
        <v>391060</v>
      </c>
      <c r="G12" s="193">
        <v>401450</v>
      </c>
      <c r="H12" s="193">
        <v>404319</v>
      </c>
      <c r="I12" s="193">
        <v>379998.60600000003</v>
      </c>
      <c r="J12" s="193">
        <v>452177.61800000002</v>
      </c>
      <c r="K12" s="193">
        <v>440264.53500000003</v>
      </c>
      <c r="L12" s="193">
        <v>106342</v>
      </c>
      <c r="M12" s="194">
        <v>377775</v>
      </c>
      <c r="N12" s="194">
        <v>344447</v>
      </c>
      <c r="O12" s="194">
        <v>442517</v>
      </c>
      <c r="P12" s="194">
        <f>'3- Energy'!D31</f>
        <v>451995</v>
      </c>
      <c r="Q12" s="194">
        <f>'3- Energy'!E33</f>
        <v>438166.27320000005</v>
      </c>
      <c r="R12" s="194">
        <v>442609</v>
      </c>
    </row>
    <row r="13" spans="2:18" x14ac:dyDescent="0.3">
      <c r="B13" s="179" t="s">
        <v>244</v>
      </c>
      <c r="C13" s="193">
        <v>70883</v>
      </c>
      <c r="D13" s="193">
        <v>106586</v>
      </c>
      <c r="E13" s="193">
        <v>205010</v>
      </c>
      <c r="F13" s="193">
        <v>276538</v>
      </c>
      <c r="G13" s="193">
        <v>283886</v>
      </c>
      <c r="H13" s="193">
        <v>285915</v>
      </c>
      <c r="I13" s="193">
        <v>268717</v>
      </c>
      <c r="J13" s="193">
        <v>306361</v>
      </c>
      <c r="K13" s="193">
        <v>282549</v>
      </c>
      <c r="L13" s="193">
        <v>75200</v>
      </c>
      <c r="M13" s="194">
        <v>267144</v>
      </c>
      <c r="N13" s="194">
        <v>243538</v>
      </c>
      <c r="O13" s="194">
        <v>313509</v>
      </c>
      <c r="P13" s="194">
        <v>312893</v>
      </c>
      <c r="Q13" s="194">
        <v>318113</v>
      </c>
      <c r="R13" s="194">
        <v>313669</v>
      </c>
    </row>
    <row r="14" spans="2:18" x14ac:dyDescent="0.3">
      <c r="B14" s="179" t="s">
        <v>245</v>
      </c>
      <c r="C14" s="193">
        <v>15050</v>
      </c>
      <c r="D14" s="193">
        <v>22630</v>
      </c>
      <c r="E14" s="193">
        <v>43527</v>
      </c>
      <c r="F14" s="193">
        <v>58713</v>
      </c>
      <c r="G14" s="193">
        <v>60273</v>
      </c>
      <c r="H14" s="193">
        <v>60704</v>
      </c>
      <c r="I14" s="193">
        <v>57052</v>
      </c>
      <c r="J14" s="193">
        <v>65045</v>
      </c>
      <c r="K14" s="193">
        <v>59989</v>
      </c>
      <c r="L14" s="193">
        <v>15966</v>
      </c>
      <c r="M14" s="194">
        <v>56718</v>
      </c>
      <c r="N14" s="194">
        <v>52615</v>
      </c>
      <c r="O14" s="194">
        <v>68182</v>
      </c>
      <c r="P14" s="194">
        <v>68048</v>
      </c>
      <c r="Q14" s="194">
        <v>68543</v>
      </c>
      <c r="R14" s="194">
        <v>69801</v>
      </c>
    </row>
    <row r="15" spans="2:18" x14ac:dyDescent="0.3">
      <c r="B15" s="179" t="s">
        <v>246</v>
      </c>
      <c r="C15" s="193">
        <v>83424</v>
      </c>
      <c r="D15" s="193">
        <v>125443</v>
      </c>
      <c r="E15" s="193">
        <v>241281</v>
      </c>
      <c r="F15" s="193">
        <v>325464</v>
      </c>
      <c r="G15" s="193">
        <v>334111</v>
      </c>
      <c r="H15" s="193">
        <v>336499</v>
      </c>
      <c r="I15" s="193">
        <v>316259</v>
      </c>
      <c r="J15" s="193">
        <v>360563</v>
      </c>
      <c r="K15" s="193">
        <v>332538</v>
      </c>
      <c r="L15" s="193">
        <v>88504</v>
      </c>
      <c r="M15" s="194">
        <v>314408</v>
      </c>
      <c r="N15" s="194">
        <v>318049</v>
      </c>
      <c r="O15" s="194">
        <v>384104</v>
      </c>
      <c r="P15" s="194">
        <v>383350</v>
      </c>
      <c r="Q15" s="194">
        <v>376466</v>
      </c>
      <c r="R15" s="194">
        <v>374056</v>
      </c>
    </row>
    <row r="16" spans="2:18" x14ac:dyDescent="0.3">
      <c r="B16" s="179" t="s">
        <v>247</v>
      </c>
      <c r="C16" s="193">
        <v>8488</v>
      </c>
      <c r="D16" s="193">
        <v>12763</v>
      </c>
      <c r="E16" s="193">
        <v>24549</v>
      </c>
      <c r="F16" s="193">
        <v>33114</v>
      </c>
      <c r="G16" s="193">
        <v>33994</v>
      </c>
      <c r="H16" s="193">
        <v>34237</v>
      </c>
      <c r="I16" s="193">
        <v>32178</v>
      </c>
      <c r="J16" s="193">
        <v>36686</v>
      </c>
      <c r="K16" s="193">
        <v>33834</v>
      </c>
      <c r="L16" s="193">
        <v>9005</v>
      </c>
      <c r="M16" s="194">
        <v>31989</v>
      </c>
      <c r="N16" s="194">
        <v>28103</v>
      </c>
      <c r="O16" s="194">
        <v>37754</v>
      </c>
      <c r="P16" s="194">
        <v>37680</v>
      </c>
      <c r="Q16" s="194">
        <v>40070</v>
      </c>
      <c r="R16" s="194">
        <v>39533</v>
      </c>
    </row>
    <row r="17" spans="2:19" x14ac:dyDescent="0.3">
      <c r="B17" s="180" t="s">
        <v>248</v>
      </c>
      <c r="C17" s="193" t="s">
        <v>249</v>
      </c>
      <c r="D17" s="193" t="s">
        <v>249</v>
      </c>
      <c r="E17" s="193" t="s">
        <v>249</v>
      </c>
      <c r="F17" s="193" t="s">
        <v>249</v>
      </c>
      <c r="G17" s="193" t="s">
        <v>249</v>
      </c>
      <c r="H17" s="193" t="s">
        <v>249</v>
      </c>
      <c r="I17" s="193" t="s">
        <v>249</v>
      </c>
      <c r="J17" s="193" t="s">
        <v>249</v>
      </c>
      <c r="K17" s="193" t="s">
        <v>249</v>
      </c>
      <c r="L17" s="193" t="s">
        <v>249</v>
      </c>
      <c r="M17" s="195" t="s">
        <v>249</v>
      </c>
      <c r="N17" s="195" t="s">
        <v>250</v>
      </c>
      <c r="O17" s="195" t="s">
        <v>250</v>
      </c>
      <c r="P17" s="195" t="s">
        <v>250</v>
      </c>
      <c r="Q17" s="195" t="s">
        <v>250</v>
      </c>
      <c r="R17" s="195" t="s">
        <v>250</v>
      </c>
    </row>
    <row r="18" spans="2:19" s="56" customFormat="1" x14ac:dyDescent="0.3">
      <c r="B18" s="148" t="s">
        <v>251</v>
      </c>
      <c r="C18" s="196" t="s">
        <v>249</v>
      </c>
      <c r="D18" s="196" t="s">
        <v>249</v>
      </c>
      <c r="E18" s="196" t="s">
        <v>249</v>
      </c>
      <c r="F18" s="196" t="s">
        <v>249</v>
      </c>
      <c r="G18" s="196" t="s">
        <v>249</v>
      </c>
      <c r="H18" s="196" t="s">
        <v>249</v>
      </c>
      <c r="I18" s="196" t="s">
        <v>249</v>
      </c>
      <c r="J18" s="196" t="s">
        <v>249</v>
      </c>
      <c r="K18" s="196" t="s">
        <v>249</v>
      </c>
      <c r="L18" s="193" t="s">
        <v>249</v>
      </c>
      <c r="M18" s="195" t="s">
        <v>249</v>
      </c>
      <c r="N18" s="195" t="s">
        <v>250</v>
      </c>
      <c r="O18" s="195" t="s">
        <v>250</v>
      </c>
      <c r="P18" s="195" t="s">
        <v>250</v>
      </c>
      <c r="Q18" s="195" t="s">
        <v>250</v>
      </c>
      <c r="R18" s="195" t="s">
        <v>250</v>
      </c>
    </row>
    <row r="19" spans="2:19" s="56" customFormat="1" x14ac:dyDescent="0.3">
      <c r="B19" s="190"/>
      <c r="C19" s="191"/>
      <c r="D19" s="191"/>
      <c r="E19" s="191"/>
      <c r="F19" s="191"/>
      <c r="G19" s="191"/>
      <c r="H19" s="191"/>
      <c r="I19" s="191"/>
      <c r="J19" s="191"/>
      <c r="K19" s="191"/>
      <c r="L19" s="192"/>
    </row>
    <row r="20" spans="2:19" s="56" customFormat="1" ht="27.6" x14ac:dyDescent="0.3">
      <c r="B20" s="3" t="s">
        <v>252</v>
      </c>
      <c r="C20" s="2" t="s">
        <v>194</v>
      </c>
      <c r="D20" s="2" t="s">
        <v>195</v>
      </c>
      <c r="E20" s="2" t="s">
        <v>196</v>
      </c>
      <c r="F20" s="2" t="s">
        <v>197</v>
      </c>
      <c r="G20" s="2" t="s">
        <v>198</v>
      </c>
      <c r="H20" s="2" t="s">
        <v>199</v>
      </c>
      <c r="I20" s="2" t="s">
        <v>200</v>
      </c>
      <c r="J20" s="2" t="s">
        <v>201</v>
      </c>
      <c r="K20" s="2" t="s">
        <v>202</v>
      </c>
      <c r="L20" s="1" t="s">
        <v>203</v>
      </c>
      <c r="M20" s="1">
        <v>2018</v>
      </c>
      <c r="N20" s="1">
        <v>2019</v>
      </c>
      <c r="O20" s="1">
        <v>2020</v>
      </c>
      <c r="P20" s="1">
        <v>2021</v>
      </c>
      <c r="Q20" s="1">
        <v>2022</v>
      </c>
      <c r="R20" s="1">
        <v>2023</v>
      </c>
    </row>
    <row r="21" spans="2:19" s="56" customFormat="1" x14ac:dyDescent="0.3">
      <c r="B21" s="179" t="s">
        <v>243</v>
      </c>
      <c r="C21" s="193">
        <v>35193</v>
      </c>
      <c r="D21" s="193">
        <v>1903686</v>
      </c>
      <c r="E21" s="193">
        <v>2053110</v>
      </c>
      <c r="F21" s="193">
        <v>6929629</v>
      </c>
      <c r="G21" s="193">
        <v>8750918</v>
      </c>
      <c r="H21" s="193">
        <v>8516632</v>
      </c>
      <c r="I21" s="193">
        <v>7340016</v>
      </c>
      <c r="J21" s="193">
        <v>7487454</v>
      </c>
      <c r="K21" s="193">
        <v>7536415</v>
      </c>
      <c r="L21" s="193">
        <v>3263453</v>
      </c>
      <c r="M21" s="194">
        <v>7353769</v>
      </c>
      <c r="N21" s="194">
        <v>4188155</v>
      </c>
      <c r="O21" s="194">
        <v>4296545</v>
      </c>
      <c r="P21" s="194">
        <v>3407122</v>
      </c>
      <c r="Q21" s="194">
        <v>4137643.38466</v>
      </c>
      <c r="R21" s="194">
        <v>4010582</v>
      </c>
    </row>
    <row r="22" spans="2:19" s="56" customFormat="1" x14ac:dyDescent="0.3">
      <c r="B22" s="179" t="s">
        <v>244</v>
      </c>
      <c r="C22" s="193">
        <v>187</v>
      </c>
      <c r="D22" s="193">
        <v>10093</v>
      </c>
      <c r="E22" s="193">
        <v>10886</v>
      </c>
      <c r="F22" s="193">
        <v>36741</v>
      </c>
      <c r="G22" s="193">
        <v>46397</v>
      </c>
      <c r="H22" s="193">
        <v>45155</v>
      </c>
      <c r="I22" s="193">
        <v>38917</v>
      </c>
      <c r="J22" s="193">
        <v>39616</v>
      </c>
      <c r="K22" s="193">
        <v>39875</v>
      </c>
      <c r="L22" s="193">
        <v>17303</v>
      </c>
      <c r="M22" s="194">
        <v>38990</v>
      </c>
      <c r="N22" s="194">
        <v>22160</v>
      </c>
      <c r="O22" s="194">
        <v>22735</v>
      </c>
      <c r="P22" s="194">
        <v>18229</v>
      </c>
      <c r="Q22" s="194">
        <v>21892</v>
      </c>
      <c r="R22" s="264">
        <v>21220</v>
      </c>
    </row>
    <row r="23" spans="2:19" s="56" customFormat="1" x14ac:dyDescent="0.3">
      <c r="B23" s="179" t="s">
        <v>245</v>
      </c>
      <c r="C23" s="193">
        <v>39.6</v>
      </c>
      <c r="D23" s="193">
        <v>2143</v>
      </c>
      <c r="E23" s="193">
        <v>2331</v>
      </c>
      <c r="F23" s="193">
        <v>7801</v>
      </c>
      <c r="G23" s="193">
        <v>9851</v>
      </c>
      <c r="H23" s="193">
        <v>9587</v>
      </c>
      <c r="I23" s="193">
        <v>8263</v>
      </c>
      <c r="J23" s="193">
        <v>8411</v>
      </c>
      <c r="K23" s="193">
        <v>8466</v>
      </c>
      <c r="L23" s="193">
        <v>3674</v>
      </c>
      <c r="M23" s="194">
        <v>8278</v>
      </c>
      <c r="N23" s="194">
        <v>4787</v>
      </c>
      <c r="O23" s="194">
        <v>4944</v>
      </c>
      <c r="P23" s="194">
        <v>3964</v>
      </c>
      <c r="Q23" s="194">
        <v>4717</v>
      </c>
      <c r="R23" s="264">
        <v>4722</v>
      </c>
    </row>
    <row r="24" spans="2:19" s="56" customFormat="1" x14ac:dyDescent="0.3">
      <c r="B24" s="179" t="s">
        <v>246</v>
      </c>
      <c r="C24" s="193">
        <v>220</v>
      </c>
      <c r="D24" s="193">
        <v>11879</v>
      </c>
      <c r="E24" s="193">
        <v>12811</v>
      </c>
      <c r="F24" s="193">
        <v>43241</v>
      </c>
      <c r="G24" s="193">
        <v>54606</v>
      </c>
      <c r="H24" s="193">
        <v>53144</v>
      </c>
      <c r="I24" s="193">
        <v>45802</v>
      </c>
      <c r="J24" s="193">
        <v>51737</v>
      </c>
      <c r="K24" s="193">
        <v>52075</v>
      </c>
      <c r="L24" s="193">
        <v>20364</v>
      </c>
      <c r="M24" s="194">
        <v>45888</v>
      </c>
      <c r="N24" s="194">
        <v>28939</v>
      </c>
      <c r="O24" s="194">
        <v>27855</v>
      </c>
      <c r="P24" s="194">
        <v>22334</v>
      </c>
      <c r="Q24" s="194">
        <v>25908</v>
      </c>
      <c r="R24" s="264">
        <v>25305</v>
      </c>
    </row>
    <row r="25" spans="2:19" s="56" customFormat="1" x14ac:dyDescent="0.3">
      <c r="B25" s="179" t="s">
        <v>247</v>
      </c>
      <c r="C25" s="193">
        <v>22.3</v>
      </c>
      <c r="D25" s="193">
        <v>1209</v>
      </c>
      <c r="E25" s="193">
        <v>1304</v>
      </c>
      <c r="F25" s="193">
        <v>4400</v>
      </c>
      <c r="G25" s="193">
        <v>5556</v>
      </c>
      <c r="H25" s="193">
        <v>5407</v>
      </c>
      <c r="I25" s="193">
        <v>4660</v>
      </c>
      <c r="J25" s="193">
        <v>4571</v>
      </c>
      <c r="K25" s="193">
        <v>4601</v>
      </c>
      <c r="L25" s="193">
        <v>2072</v>
      </c>
      <c r="M25" s="194">
        <v>4669</v>
      </c>
      <c r="N25" s="194">
        <v>2557</v>
      </c>
      <c r="O25" s="194">
        <v>2738</v>
      </c>
      <c r="P25" s="194">
        <v>2195</v>
      </c>
      <c r="Q25" s="194">
        <v>2758</v>
      </c>
      <c r="R25" s="264">
        <v>2674</v>
      </c>
    </row>
    <row r="26" spans="2:19" s="56" customFormat="1" x14ac:dyDescent="0.3">
      <c r="B26" s="180" t="s">
        <v>248</v>
      </c>
      <c r="C26" s="193" t="s">
        <v>249</v>
      </c>
      <c r="D26" s="193" t="s">
        <v>249</v>
      </c>
      <c r="E26" s="193" t="s">
        <v>249</v>
      </c>
      <c r="F26" s="193" t="s">
        <v>249</v>
      </c>
      <c r="G26" s="193" t="s">
        <v>249</v>
      </c>
      <c r="H26" s="193" t="s">
        <v>249</v>
      </c>
      <c r="I26" s="193" t="s">
        <v>249</v>
      </c>
      <c r="J26" s="193" t="s">
        <v>249</v>
      </c>
      <c r="K26" s="193" t="s">
        <v>249</v>
      </c>
      <c r="L26" s="193" t="s">
        <v>249</v>
      </c>
      <c r="M26" s="195" t="s">
        <v>249</v>
      </c>
      <c r="N26" s="195" t="s">
        <v>250</v>
      </c>
      <c r="O26" s="195" t="s">
        <v>250</v>
      </c>
      <c r="P26" s="195" t="s">
        <v>250</v>
      </c>
      <c r="Q26" s="195" t="s">
        <v>250</v>
      </c>
      <c r="R26" s="195" t="s">
        <v>250</v>
      </c>
    </row>
    <row r="27" spans="2:19" s="56" customFormat="1" x14ac:dyDescent="0.3">
      <c r="B27" s="148" t="s">
        <v>251</v>
      </c>
      <c r="C27" s="196" t="s">
        <v>249</v>
      </c>
      <c r="D27" s="196" t="s">
        <v>249</v>
      </c>
      <c r="E27" s="196" t="s">
        <v>249</v>
      </c>
      <c r="F27" s="196" t="s">
        <v>249</v>
      </c>
      <c r="G27" s="196" t="s">
        <v>249</v>
      </c>
      <c r="H27" s="196" t="s">
        <v>249</v>
      </c>
      <c r="I27" s="196" t="s">
        <v>249</v>
      </c>
      <c r="J27" s="196" t="s">
        <v>249</v>
      </c>
      <c r="K27" s="196" t="s">
        <v>249</v>
      </c>
      <c r="L27" s="193" t="s">
        <v>249</v>
      </c>
      <c r="M27" s="195" t="s">
        <v>249</v>
      </c>
      <c r="N27" s="195" t="s">
        <v>250</v>
      </c>
      <c r="O27" s="195" t="s">
        <v>250</v>
      </c>
      <c r="P27" s="195" t="s">
        <v>250</v>
      </c>
      <c r="Q27" s="195" t="s">
        <v>250</v>
      </c>
      <c r="R27" s="195" t="s">
        <v>250</v>
      </c>
    </row>
    <row r="28" spans="2:19" s="56" customFormat="1" x14ac:dyDescent="0.3">
      <c r="B28" s="190"/>
      <c r="C28" s="191"/>
      <c r="D28" s="191"/>
      <c r="E28" s="191"/>
      <c r="F28" s="191"/>
      <c r="G28" s="191"/>
      <c r="H28" s="191"/>
      <c r="I28" s="191"/>
      <c r="J28" s="191"/>
      <c r="K28" s="191"/>
      <c r="L28" s="192"/>
    </row>
    <row r="29" spans="2:19" s="56" customFormat="1" ht="27.6" x14ac:dyDescent="0.3">
      <c r="B29" s="3" t="s">
        <v>253</v>
      </c>
      <c r="C29" s="2" t="s">
        <v>194</v>
      </c>
      <c r="D29" s="2" t="s">
        <v>195</v>
      </c>
      <c r="E29" s="2" t="s">
        <v>196</v>
      </c>
      <c r="F29" s="2" t="s">
        <v>197</v>
      </c>
      <c r="G29" s="2" t="s">
        <v>198</v>
      </c>
      <c r="H29" s="2" t="s">
        <v>199</v>
      </c>
      <c r="I29" s="2" t="s">
        <v>200</v>
      </c>
      <c r="J29" s="2" t="s">
        <v>201</v>
      </c>
      <c r="K29" s="2" t="s">
        <v>202</v>
      </c>
      <c r="L29" s="1" t="s">
        <v>203</v>
      </c>
      <c r="M29" s="1">
        <v>2018</v>
      </c>
      <c r="N29" s="1">
        <v>2019</v>
      </c>
      <c r="O29" s="1">
        <v>2020</v>
      </c>
      <c r="P29" s="1">
        <v>2021</v>
      </c>
      <c r="Q29" s="1">
        <v>2022</v>
      </c>
      <c r="R29" s="1">
        <v>2023</v>
      </c>
    </row>
    <row r="30" spans="2:19" s="56" customFormat="1" x14ac:dyDescent="0.25">
      <c r="B30" s="179" t="s">
        <v>244</v>
      </c>
      <c r="C30" s="193">
        <f>SUM(C13,C22)</f>
        <v>71070</v>
      </c>
      <c r="D30" s="193">
        <f t="shared" ref="D30:P30" si="0">SUM(D13,D22)</f>
        <v>116679</v>
      </c>
      <c r="E30" s="193">
        <f t="shared" si="0"/>
        <v>215896</v>
      </c>
      <c r="F30" s="193">
        <f t="shared" si="0"/>
        <v>313279</v>
      </c>
      <c r="G30" s="193">
        <f t="shared" si="0"/>
        <v>330283</v>
      </c>
      <c r="H30" s="193">
        <f t="shared" si="0"/>
        <v>331070</v>
      </c>
      <c r="I30" s="193">
        <f t="shared" si="0"/>
        <v>307634</v>
      </c>
      <c r="J30" s="193">
        <f t="shared" si="0"/>
        <v>345977</v>
      </c>
      <c r="K30" s="193">
        <f t="shared" si="0"/>
        <v>322424</v>
      </c>
      <c r="L30" s="193">
        <f t="shared" si="0"/>
        <v>92503</v>
      </c>
      <c r="M30" s="193">
        <f t="shared" si="0"/>
        <v>306134</v>
      </c>
      <c r="N30" s="193">
        <f t="shared" si="0"/>
        <v>265698</v>
      </c>
      <c r="O30" s="193">
        <f t="shared" si="0"/>
        <v>336244</v>
      </c>
      <c r="P30" s="193">
        <f t="shared" si="0"/>
        <v>331122</v>
      </c>
      <c r="Q30" s="193">
        <f t="shared" ref="Q30" si="1">SUM(Q13,Q22)</f>
        <v>340005</v>
      </c>
      <c r="R30" s="193">
        <f>SUM(R13,R22)</f>
        <v>334889</v>
      </c>
      <c r="S30" s="295"/>
    </row>
    <row r="31" spans="2:19" s="56" customFormat="1" x14ac:dyDescent="0.25">
      <c r="B31" s="179" t="s">
        <v>245</v>
      </c>
      <c r="C31" s="193">
        <f t="shared" ref="C31:P33" si="2">SUM(C14,C23)</f>
        <v>15089.6</v>
      </c>
      <c r="D31" s="193">
        <f t="shared" si="2"/>
        <v>24773</v>
      </c>
      <c r="E31" s="193">
        <f t="shared" si="2"/>
        <v>45858</v>
      </c>
      <c r="F31" s="193">
        <f t="shared" si="2"/>
        <v>66514</v>
      </c>
      <c r="G31" s="193">
        <f t="shared" si="2"/>
        <v>70124</v>
      </c>
      <c r="H31" s="193">
        <f t="shared" si="2"/>
        <v>70291</v>
      </c>
      <c r="I31" s="193">
        <f t="shared" si="2"/>
        <v>65315</v>
      </c>
      <c r="J31" s="193">
        <f t="shared" si="2"/>
        <v>73456</v>
      </c>
      <c r="K31" s="193">
        <f t="shared" si="2"/>
        <v>68455</v>
      </c>
      <c r="L31" s="193">
        <f t="shared" si="2"/>
        <v>19640</v>
      </c>
      <c r="M31" s="193">
        <f t="shared" si="2"/>
        <v>64996</v>
      </c>
      <c r="N31" s="193">
        <f t="shared" si="2"/>
        <v>57402</v>
      </c>
      <c r="O31" s="193">
        <f t="shared" si="2"/>
        <v>73126</v>
      </c>
      <c r="P31" s="193">
        <f t="shared" si="2"/>
        <v>72012</v>
      </c>
      <c r="Q31" s="193">
        <f t="shared" ref="Q31" si="3">SUM(Q14,Q23)</f>
        <v>73260</v>
      </c>
      <c r="R31" s="193">
        <f t="shared" ref="R31" si="4">SUM(R14,R23)</f>
        <v>74523</v>
      </c>
      <c r="S31" s="295"/>
    </row>
    <row r="32" spans="2:19" s="56" customFormat="1" x14ac:dyDescent="0.25">
      <c r="B32" s="179" t="s">
        <v>246</v>
      </c>
      <c r="C32" s="193">
        <f t="shared" si="2"/>
        <v>83644</v>
      </c>
      <c r="D32" s="193">
        <f t="shared" si="2"/>
        <v>137322</v>
      </c>
      <c r="E32" s="193">
        <f t="shared" si="2"/>
        <v>254092</v>
      </c>
      <c r="F32" s="193">
        <f t="shared" si="2"/>
        <v>368705</v>
      </c>
      <c r="G32" s="193">
        <f t="shared" si="2"/>
        <v>388717</v>
      </c>
      <c r="H32" s="193">
        <f t="shared" si="2"/>
        <v>389643</v>
      </c>
      <c r="I32" s="193">
        <f t="shared" si="2"/>
        <v>362061</v>
      </c>
      <c r="J32" s="193">
        <f t="shared" si="2"/>
        <v>412300</v>
      </c>
      <c r="K32" s="193">
        <f t="shared" si="2"/>
        <v>384613</v>
      </c>
      <c r="L32" s="193">
        <f t="shared" si="2"/>
        <v>108868</v>
      </c>
      <c r="M32" s="193">
        <f t="shared" si="2"/>
        <v>360296</v>
      </c>
      <c r="N32" s="193">
        <f t="shared" si="2"/>
        <v>346988</v>
      </c>
      <c r="O32" s="193">
        <f t="shared" si="2"/>
        <v>411959</v>
      </c>
      <c r="P32" s="193">
        <f t="shared" si="2"/>
        <v>405684</v>
      </c>
      <c r="Q32" s="193">
        <f t="shared" ref="Q32" si="5">SUM(Q15,Q24)</f>
        <v>402374</v>
      </c>
      <c r="R32" s="193">
        <f t="shared" ref="R32" si="6">SUM(R15,R24)</f>
        <v>399361</v>
      </c>
      <c r="S32" s="295"/>
    </row>
    <row r="33" spans="2:19" s="56" customFormat="1" x14ac:dyDescent="0.25">
      <c r="B33" s="179" t="s">
        <v>247</v>
      </c>
      <c r="C33" s="193">
        <f t="shared" si="2"/>
        <v>8510.2999999999993</v>
      </c>
      <c r="D33" s="193">
        <f t="shared" si="2"/>
        <v>13972</v>
      </c>
      <c r="E33" s="193">
        <f t="shared" si="2"/>
        <v>25853</v>
      </c>
      <c r="F33" s="193">
        <f t="shared" si="2"/>
        <v>37514</v>
      </c>
      <c r="G33" s="193">
        <f t="shared" si="2"/>
        <v>39550</v>
      </c>
      <c r="H33" s="193">
        <f t="shared" si="2"/>
        <v>39644</v>
      </c>
      <c r="I33" s="193">
        <f t="shared" si="2"/>
        <v>36838</v>
      </c>
      <c r="J33" s="193">
        <f t="shared" si="2"/>
        <v>41257</v>
      </c>
      <c r="K33" s="193">
        <f t="shared" si="2"/>
        <v>38435</v>
      </c>
      <c r="L33" s="193">
        <f t="shared" si="2"/>
        <v>11077</v>
      </c>
      <c r="M33" s="193">
        <f t="shared" si="2"/>
        <v>36658</v>
      </c>
      <c r="N33" s="193">
        <f t="shared" si="2"/>
        <v>30660</v>
      </c>
      <c r="O33" s="193">
        <f t="shared" si="2"/>
        <v>40492</v>
      </c>
      <c r="P33" s="193">
        <f t="shared" si="2"/>
        <v>39875</v>
      </c>
      <c r="Q33" s="193">
        <f t="shared" ref="Q33" si="7">SUM(Q16,Q25)</f>
        <v>42828</v>
      </c>
      <c r="R33" s="193">
        <f t="shared" ref="R33" si="8">SUM(R16,R25)</f>
        <v>42207</v>
      </c>
      <c r="S33" s="295"/>
    </row>
    <row r="34" spans="2:19" s="56" customFormat="1" x14ac:dyDescent="0.25">
      <c r="B34" s="180" t="s">
        <v>248</v>
      </c>
      <c r="C34" s="193" t="s">
        <v>249</v>
      </c>
      <c r="D34" s="193" t="s">
        <v>249</v>
      </c>
      <c r="E34" s="193" t="s">
        <v>249</v>
      </c>
      <c r="F34" s="193" t="s">
        <v>249</v>
      </c>
      <c r="G34" s="193" t="s">
        <v>249</v>
      </c>
      <c r="H34" s="193" t="s">
        <v>249</v>
      </c>
      <c r="I34" s="193" t="s">
        <v>249</v>
      </c>
      <c r="J34" s="193" t="s">
        <v>249</v>
      </c>
      <c r="K34" s="193" t="s">
        <v>249</v>
      </c>
      <c r="L34" s="193" t="s">
        <v>249</v>
      </c>
      <c r="M34" s="193">
        <v>1481</v>
      </c>
      <c r="N34" s="193">
        <v>2955</v>
      </c>
      <c r="O34" s="193">
        <v>4275</v>
      </c>
      <c r="P34" s="193">
        <v>4106</v>
      </c>
      <c r="Q34" s="193">
        <v>3832</v>
      </c>
      <c r="R34" s="193" t="s">
        <v>249</v>
      </c>
      <c r="S34" s="295"/>
    </row>
    <row r="35" spans="2:19" s="56" customFormat="1" x14ac:dyDescent="0.25">
      <c r="B35" s="148" t="s">
        <v>251</v>
      </c>
      <c r="C35" s="193" t="s">
        <v>249</v>
      </c>
      <c r="D35" s="193" t="s">
        <v>249</v>
      </c>
      <c r="E35" s="193" t="s">
        <v>249</v>
      </c>
      <c r="F35" s="193" t="s">
        <v>249</v>
      </c>
      <c r="G35" s="193" t="s">
        <v>249</v>
      </c>
      <c r="H35" s="193" t="s">
        <v>249</v>
      </c>
      <c r="I35" s="193" t="s">
        <v>249</v>
      </c>
      <c r="J35" s="193" t="s">
        <v>249</v>
      </c>
      <c r="K35" s="193" t="s">
        <v>249</v>
      </c>
      <c r="L35" s="193" t="s">
        <v>249</v>
      </c>
      <c r="M35" s="193" t="s">
        <v>249</v>
      </c>
      <c r="N35" s="193" t="s">
        <v>249</v>
      </c>
      <c r="O35" s="193">
        <v>40330</v>
      </c>
      <c r="P35" s="193">
        <v>45844</v>
      </c>
      <c r="Q35" s="256">
        <v>31564</v>
      </c>
      <c r="R35" s="193">
        <v>35320</v>
      </c>
      <c r="S35" s="295"/>
    </row>
    <row r="36" spans="2:19" x14ac:dyDescent="0.3">
      <c r="B36" s="181"/>
      <c r="C36" s="182"/>
      <c r="D36" s="182"/>
      <c r="E36" s="182"/>
      <c r="F36" s="182"/>
      <c r="G36" s="183"/>
      <c r="H36" s="183"/>
      <c r="I36" s="183"/>
      <c r="J36" s="182"/>
      <c r="K36" s="182"/>
      <c r="L36" s="184"/>
    </row>
    <row r="37" spans="2:19" x14ac:dyDescent="0.3">
      <c r="B37" s="157" t="s">
        <v>76</v>
      </c>
      <c r="C37" s="181"/>
      <c r="D37" s="157"/>
      <c r="E37" s="157"/>
      <c r="F37" s="185"/>
      <c r="G37" s="186"/>
      <c r="H37" s="186"/>
      <c r="I37" s="186"/>
      <c r="J37" s="185"/>
      <c r="K37" s="185"/>
      <c r="L37" s="187"/>
    </row>
    <row r="38" spans="2:19" ht="29.4" customHeight="1" x14ac:dyDescent="0.3">
      <c r="B38" s="317" t="s">
        <v>254</v>
      </c>
      <c r="C38" s="318"/>
      <c r="D38" s="318"/>
      <c r="E38" s="318"/>
      <c r="F38" s="318"/>
      <c r="G38" s="318"/>
      <c r="H38" s="318"/>
      <c r="I38" s="318"/>
      <c r="J38" s="318"/>
      <c r="K38" s="318"/>
      <c r="L38" s="319"/>
    </row>
    <row r="39" spans="2:19" ht="27.75" customHeight="1" x14ac:dyDescent="0.3">
      <c r="B39" s="317" t="s">
        <v>255</v>
      </c>
      <c r="C39" s="318"/>
      <c r="D39" s="318"/>
      <c r="E39" s="318"/>
      <c r="F39" s="318"/>
      <c r="G39" s="318"/>
      <c r="H39" s="318"/>
      <c r="I39" s="318"/>
      <c r="J39" s="318"/>
      <c r="K39" s="318"/>
      <c r="L39" s="319"/>
    </row>
    <row r="40" spans="2:19" ht="33" customHeight="1" x14ac:dyDescent="0.3">
      <c r="B40" s="317" t="s">
        <v>256</v>
      </c>
      <c r="C40" s="318"/>
      <c r="D40" s="318"/>
      <c r="E40" s="318"/>
      <c r="F40" s="318"/>
      <c r="G40" s="318"/>
      <c r="H40" s="318"/>
      <c r="I40" s="318"/>
      <c r="J40" s="318"/>
      <c r="K40" s="318"/>
      <c r="L40" s="319"/>
    </row>
    <row r="41" spans="2:19" ht="44.25" customHeight="1" x14ac:dyDescent="0.3">
      <c r="B41" s="369" t="s">
        <v>257</v>
      </c>
      <c r="C41" s="369"/>
      <c r="D41" s="369"/>
      <c r="E41" s="369"/>
      <c r="F41" s="369"/>
      <c r="G41" s="369"/>
      <c r="H41" s="369"/>
      <c r="I41" s="369"/>
      <c r="J41" s="369"/>
      <c r="K41" s="369"/>
      <c r="L41" s="369"/>
    </row>
    <row r="42" spans="2:19" x14ac:dyDescent="0.3">
      <c r="B42" s="366" t="s">
        <v>258</v>
      </c>
      <c r="C42" s="367"/>
      <c r="D42" s="367"/>
      <c r="E42" s="367"/>
      <c r="F42" s="367"/>
      <c r="G42" s="367"/>
      <c r="H42" s="367"/>
      <c r="I42" s="367"/>
      <c r="J42" s="367"/>
      <c r="K42" s="367"/>
      <c r="L42" s="368"/>
    </row>
    <row r="43" spans="2:19" x14ac:dyDescent="0.3">
      <c r="B43" s="188"/>
      <c r="C43" s="188"/>
      <c r="D43" s="189"/>
      <c r="E43" s="189"/>
      <c r="F43" s="189"/>
      <c r="G43" s="189"/>
      <c r="H43" s="145"/>
      <c r="I43" s="145"/>
      <c r="J43" s="145"/>
      <c r="K43" s="145"/>
      <c r="L43" s="145"/>
    </row>
    <row r="44" spans="2:19" x14ac:dyDescent="0.3">
      <c r="B44" s="145"/>
      <c r="C44" s="145"/>
      <c r="D44" s="145"/>
      <c r="E44" s="145"/>
      <c r="F44" s="145"/>
      <c r="G44" s="145"/>
      <c r="H44" s="145"/>
      <c r="I44" s="145"/>
      <c r="J44" s="145"/>
      <c r="K44" s="145"/>
      <c r="L44" s="145"/>
    </row>
    <row r="45" spans="2:19" x14ac:dyDescent="0.3">
      <c r="B45" s="145"/>
      <c r="C45" s="145"/>
      <c r="D45" s="145"/>
      <c r="E45" s="145"/>
      <c r="F45" s="145"/>
      <c r="G45" s="145"/>
      <c r="H45" s="145"/>
      <c r="I45" s="145"/>
      <c r="J45" s="145"/>
      <c r="K45" s="145"/>
      <c r="L45" s="145"/>
    </row>
    <row r="46" spans="2:19" x14ac:dyDescent="0.3">
      <c r="B46" s="145"/>
      <c r="C46" s="145"/>
      <c r="D46" s="145"/>
      <c r="E46" s="145"/>
      <c r="F46" s="145"/>
      <c r="G46" s="145"/>
      <c r="H46" s="145"/>
      <c r="I46" s="145"/>
      <c r="J46" s="145"/>
      <c r="K46" s="145"/>
      <c r="L46" s="145"/>
    </row>
    <row r="47" spans="2:19" x14ac:dyDescent="0.3">
      <c r="B47" s="145"/>
      <c r="C47" s="145"/>
      <c r="D47" s="145"/>
      <c r="E47" s="145"/>
      <c r="F47" s="145"/>
      <c r="G47" s="145"/>
      <c r="H47" s="145"/>
      <c r="I47" s="145"/>
      <c r="J47" s="145"/>
      <c r="K47" s="145"/>
      <c r="L47" s="145"/>
    </row>
    <row r="48" spans="2:19" x14ac:dyDescent="0.3">
      <c r="B48" s="145"/>
      <c r="C48" s="145"/>
      <c r="D48" s="145"/>
      <c r="E48" s="145"/>
      <c r="F48" s="145"/>
      <c r="G48" s="145"/>
      <c r="H48" s="145"/>
      <c r="I48" s="145"/>
      <c r="J48" s="145"/>
      <c r="K48" s="145"/>
      <c r="L48" s="145"/>
    </row>
  </sheetData>
  <mergeCells count="6">
    <mergeCell ref="B42:L42"/>
    <mergeCell ref="B5:K7"/>
    <mergeCell ref="B39:L39"/>
    <mergeCell ref="B38:L38"/>
    <mergeCell ref="B41:L41"/>
    <mergeCell ref="B40:L40"/>
  </mergeCells>
  <printOptions headings="1"/>
  <pageMargins left="0.7" right="0.7" top="0.75" bottom="0.75" header="0.3" footer="0.3"/>
  <pageSetup scale="7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U37"/>
  <sheetViews>
    <sheetView zoomScale="85" zoomScaleNormal="85" workbookViewId="0">
      <selection activeCell="B14" sqref="B14"/>
    </sheetView>
  </sheetViews>
  <sheetFormatPr defaultColWidth="9.109375" defaultRowHeight="14.4" x14ac:dyDescent="0.3"/>
  <cols>
    <col min="1" max="1" width="3.5546875" style="53" customWidth="1"/>
    <col min="2" max="2" width="53.6640625" style="56" customWidth="1"/>
    <col min="3" max="7" width="22.33203125" style="53" customWidth="1"/>
    <col min="8" max="8" width="8.88671875" style="53" customWidth="1"/>
    <col min="9" max="9" width="53.6640625" style="53" customWidth="1"/>
    <col min="10" max="14" width="22.33203125" style="53" customWidth="1"/>
    <col min="15" max="15" width="9.109375" style="53"/>
    <col min="16" max="16" width="53.6640625" style="53" customWidth="1"/>
    <col min="17" max="38" width="22.33203125" style="53" customWidth="1"/>
    <col min="39" max="16384" width="9.109375" style="53"/>
  </cols>
  <sheetData>
    <row r="1" spans="2:21" x14ac:dyDescent="0.3">
      <c r="B1" s="52" t="s">
        <v>0</v>
      </c>
    </row>
    <row r="2" spans="2:21" x14ac:dyDescent="0.3">
      <c r="B2" s="52" t="s">
        <v>259</v>
      </c>
    </row>
    <row r="3" spans="2:21" x14ac:dyDescent="0.3">
      <c r="B3" s="54" t="s">
        <v>82</v>
      </c>
    </row>
    <row r="4" spans="2:21" x14ac:dyDescent="0.3">
      <c r="B4" s="52"/>
    </row>
    <row r="5" spans="2:21" ht="29.25" customHeight="1" x14ac:dyDescent="0.3">
      <c r="B5" s="355" t="s">
        <v>260</v>
      </c>
      <c r="C5" s="355"/>
      <c r="D5" s="355"/>
      <c r="E5" s="355"/>
      <c r="F5" s="355"/>
      <c r="G5" s="355"/>
    </row>
    <row r="6" spans="2:21" x14ac:dyDescent="0.3">
      <c r="B6" s="355"/>
      <c r="C6" s="355"/>
      <c r="D6" s="355"/>
      <c r="E6" s="355"/>
      <c r="F6" s="355"/>
      <c r="G6" s="355"/>
    </row>
    <row r="7" spans="2:21" x14ac:dyDescent="0.3">
      <c r="B7" s="355"/>
      <c r="C7" s="355"/>
      <c r="D7" s="355"/>
      <c r="E7" s="355"/>
      <c r="F7" s="355"/>
      <c r="G7" s="355"/>
    </row>
    <row r="8" spans="2:21" x14ac:dyDescent="0.3">
      <c r="B8" s="355"/>
      <c r="C8" s="355"/>
      <c r="D8" s="355"/>
      <c r="E8" s="355"/>
      <c r="F8" s="355"/>
      <c r="G8" s="355"/>
    </row>
    <row r="9" spans="2:21" ht="42" customHeight="1" x14ac:dyDescent="0.3">
      <c r="B9" s="355"/>
      <c r="C9" s="355"/>
      <c r="D9" s="355"/>
      <c r="E9" s="355"/>
      <c r="F9" s="355"/>
      <c r="G9" s="355"/>
    </row>
    <row r="11" spans="2:21" ht="17.399999999999999" x14ac:dyDescent="0.3">
      <c r="B11" s="57" t="s">
        <v>261</v>
      </c>
      <c r="C11" s="57"/>
      <c r="D11" s="58"/>
      <c r="E11" s="58"/>
      <c r="F11" s="58"/>
      <c r="G11" s="58"/>
    </row>
    <row r="12" spans="2:21" ht="18" thickBot="1" x14ac:dyDescent="0.35">
      <c r="B12" s="57"/>
      <c r="C12" s="57"/>
      <c r="D12" s="58"/>
      <c r="E12" s="58"/>
      <c r="F12" s="58"/>
      <c r="G12" s="58"/>
    </row>
    <row r="13" spans="2:21" ht="15" thickBot="1" x14ac:dyDescent="0.35">
      <c r="B13" s="370" t="s">
        <v>262</v>
      </c>
      <c r="C13" s="371"/>
      <c r="D13" s="371"/>
      <c r="E13" s="371"/>
      <c r="F13" s="371"/>
      <c r="G13" s="372"/>
      <c r="I13" s="370" t="s">
        <v>263</v>
      </c>
      <c r="J13" s="371"/>
      <c r="K13" s="371"/>
      <c r="L13" s="371"/>
      <c r="M13" s="371"/>
      <c r="N13" s="372"/>
      <c r="P13" s="370" t="s">
        <v>264</v>
      </c>
      <c r="Q13" s="371"/>
      <c r="R13" s="371"/>
      <c r="S13" s="371"/>
      <c r="T13" s="371"/>
      <c r="U13" s="372"/>
    </row>
    <row r="14" spans="2:21" s="56" customFormat="1" ht="47.1" customHeight="1" x14ac:dyDescent="0.3">
      <c r="B14" s="229" t="s">
        <v>184</v>
      </c>
      <c r="C14" s="29" t="s">
        <v>265</v>
      </c>
      <c r="D14" s="29" t="s">
        <v>266</v>
      </c>
      <c r="E14" s="29" t="s">
        <v>267</v>
      </c>
      <c r="F14" s="29" t="s">
        <v>268</v>
      </c>
      <c r="G14" s="30" t="s">
        <v>269</v>
      </c>
      <c r="I14" s="229" t="s">
        <v>184</v>
      </c>
      <c r="J14" s="29" t="s">
        <v>265</v>
      </c>
      <c r="K14" s="29" t="s">
        <v>266</v>
      </c>
      <c r="L14" s="29" t="s">
        <v>267</v>
      </c>
      <c r="M14" s="29" t="s">
        <v>268</v>
      </c>
      <c r="N14" s="30" t="s">
        <v>269</v>
      </c>
      <c r="P14" s="229" t="s">
        <v>184</v>
      </c>
      <c r="Q14" s="29" t="s">
        <v>265</v>
      </c>
      <c r="R14" s="29" t="s">
        <v>266</v>
      </c>
      <c r="S14" s="29" t="s">
        <v>267</v>
      </c>
      <c r="T14" s="29" t="s">
        <v>268</v>
      </c>
      <c r="U14" s="30" t="s">
        <v>269</v>
      </c>
    </row>
    <row r="15" spans="2:21" ht="16.5" customHeight="1" x14ac:dyDescent="0.3">
      <c r="B15" s="230" t="s">
        <v>270</v>
      </c>
      <c r="C15" s="234">
        <v>10402128</v>
      </c>
      <c r="D15" s="235">
        <v>2727503</v>
      </c>
      <c r="E15" s="235">
        <f>SUM(C15:D15)</f>
        <v>13129631</v>
      </c>
      <c r="F15" s="235" t="s">
        <v>69</v>
      </c>
      <c r="G15" s="236">
        <f>SUM(E15:F15)</f>
        <v>13129631</v>
      </c>
      <c r="I15" s="230" t="s">
        <v>270</v>
      </c>
      <c r="J15" s="234">
        <v>990371</v>
      </c>
      <c r="K15" s="235">
        <v>0</v>
      </c>
      <c r="L15" s="235">
        <f>SUM(J15:K15)</f>
        <v>990371</v>
      </c>
      <c r="M15" s="235">
        <v>0</v>
      </c>
      <c r="N15" s="236">
        <f>SUM(L15:M15)</f>
        <v>990371</v>
      </c>
      <c r="P15" s="230" t="s">
        <v>270</v>
      </c>
      <c r="Q15" s="234">
        <f>SUM(C15,J15)</f>
        <v>11392499</v>
      </c>
      <c r="R15" s="234">
        <f>SUM(D15,K15)</f>
        <v>2727503</v>
      </c>
      <c r="S15" s="235">
        <f>SUM(Q15:R15)</f>
        <v>14120002</v>
      </c>
      <c r="T15" s="235">
        <f>SUM(F15,M15)</f>
        <v>0</v>
      </c>
      <c r="U15" s="236">
        <f>SUM(S15:T15)</f>
        <v>14120002</v>
      </c>
    </row>
    <row r="16" spans="2:21" s="56" customFormat="1" ht="16.5" customHeight="1" x14ac:dyDescent="0.25">
      <c r="B16" s="230" t="s">
        <v>271</v>
      </c>
      <c r="C16" s="237">
        <v>20869054</v>
      </c>
      <c r="D16" s="238">
        <v>6643233</v>
      </c>
      <c r="E16" s="235">
        <f t="shared" ref="E16:E17" si="0">SUM(C16:D16)</f>
        <v>27512287</v>
      </c>
      <c r="F16" s="238" t="s">
        <v>69</v>
      </c>
      <c r="G16" s="236">
        <f t="shared" ref="G16:G17" si="1">SUM(E16:F16)</f>
        <v>27512287</v>
      </c>
      <c r="I16" s="230" t="s">
        <v>271</v>
      </c>
      <c r="J16" s="237">
        <v>3710637</v>
      </c>
      <c r="K16" s="238">
        <v>0</v>
      </c>
      <c r="L16" s="235">
        <f t="shared" ref="L16:L17" si="2">SUM(J16:K16)</f>
        <v>3710637</v>
      </c>
      <c r="M16" s="238">
        <v>0</v>
      </c>
      <c r="N16" s="236">
        <f t="shared" ref="N16:N17" si="3">SUM(L16:M16)</f>
        <v>3710637</v>
      </c>
      <c r="P16" s="230" t="s">
        <v>271</v>
      </c>
      <c r="Q16" s="234">
        <f t="shared" ref="Q16:Q17" si="4">SUM(C16,J16)</f>
        <v>24579691</v>
      </c>
      <c r="R16" s="234">
        <f t="shared" ref="R16:R17" si="5">SUM(D16,K16)</f>
        <v>6643233</v>
      </c>
      <c r="S16" s="235">
        <f t="shared" ref="S16:S17" si="6">SUM(Q16:R16)</f>
        <v>31222924</v>
      </c>
      <c r="T16" s="235">
        <f t="shared" ref="T16:T17" si="7">SUM(F16,M16)</f>
        <v>0</v>
      </c>
      <c r="U16" s="236">
        <f t="shared" ref="U16:U17" si="8">SUM(S16:T16)</f>
        <v>31222924</v>
      </c>
    </row>
    <row r="17" spans="2:21" ht="16.5" customHeight="1" x14ac:dyDescent="0.3">
      <c r="B17" s="230" t="s">
        <v>272</v>
      </c>
      <c r="C17" s="234">
        <v>32811835</v>
      </c>
      <c r="D17" s="235">
        <v>10070569</v>
      </c>
      <c r="E17" s="235">
        <f t="shared" si="0"/>
        <v>42882404</v>
      </c>
      <c r="F17" s="235" t="s">
        <v>69</v>
      </c>
      <c r="G17" s="236">
        <f t="shared" si="1"/>
        <v>42882404</v>
      </c>
      <c r="I17" s="230" t="s">
        <v>272</v>
      </c>
      <c r="J17" s="234">
        <v>4479640</v>
      </c>
      <c r="K17" s="235">
        <v>0</v>
      </c>
      <c r="L17" s="235">
        <f t="shared" si="2"/>
        <v>4479640</v>
      </c>
      <c r="M17" s="235">
        <v>0</v>
      </c>
      <c r="N17" s="236">
        <f t="shared" si="3"/>
        <v>4479640</v>
      </c>
      <c r="P17" s="230" t="s">
        <v>272</v>
      </c>
      <c r="Q17" s="234">
        <f t="shared" si="4"/>
        <v>37291475</v>
      </c>
      <c r="R17" s="234">
        <f t="shared" si="5"/>
        <v>10070569</v>
      </c>
      <c r="S17" s="235">
        <f t="shared" si="6"/>
        <v>47362044</v>
      </c>
      <c r="T17" s="235">
        <f t="shared" si="7"/>
        <v>0</v>
      </c>
      <c r="U17" s="236">
        <f t="shared" si="8"/>
        <v>47362044</v>
      </c>
    </row>
    <row r="18" spans="2:21" ht="16.5" customHeight="1" x14ac:dyDescent="0.3">
      <c r="B18" s="231" t="s">
        <v>220</v>
      </c>
      <c r="C18" s="239">
        <f>SUM(C15:C17)</f>
        <v>64083017</v>
      </c>
      <c r="D18" s="239">
        <f t="shared" ref="D18:G18" si="9">SUM(D15:D17)</f>
        <v>19441305</v>
      </c>
      <c r="E18" s="239">
        <f t="shared" si="9"/>
        <v>83524322</v>
      </c>
      <c r="F18" s="239">
        <f t="shared" si="9"/>
        <v>0</v>
      </c>
      <c r="G18" s="240">
        <f t="shared" si="9"/>
        <v>83524322</v>
      </c>
      <c r="I18" s="231" t="s">
        <v>220</v>
      </c>
      <c r="J18" s="239">
        <f>SUM(J15:J17)</f>
        <v>9180648</v>
      </c>
      <c r="K18" s="239">
        <f t="shared" ref="K18" si="10">SUM(K15:K17)</f>
        <v>0</v>
      </c>
      <c r="L18" s="239">
        <f t="shared" ref="L18" si="11">SUM(L15:L17)</f>
        <v>9180648</v>
      </c>
      <c r="M18" s="239">
        <f t="shared" ref="M18" si="12">SUM(M15:M17)</f>
        <v>0</v>
      </c>
      <c r="N18" s="240">
        <f t="shared" ref="N18" si="13">SUM(N15:N17)</f>
        <v>9180648</v>
      </c>
      <c r="P18" s="231" t="s">
        <v>220</v>
      </c>
      <c r="Q18" s="239">
        <f>SUM(Q15:Q17)</f>
        <v>73263665</v>
      </c>
      <c r="R18" s="239">
        <f t="shared" ref="R18" si="14">SUM(R15:R17)</f>
        <v>19441305</v>
      </c>
      <c r="S18" s="239">
        <f t="shared" ref="S18" si="15">SUM(S15:S17)</f>
        <v>92704970</v>
      </c>
      <c r="T18" s="239">
        <f t="shared" ref="T18" si="16">SUM(T15:T17)</f>
        <v>0</v>
      </c>
      <c r="U18" s="240">
        <f t="shared" ref="U18" si="17">SUM(U15:U17)</f>
        <v>92704970</v>
      </c>
    </row>
    <row r="19" spans="2:21" ht="16.5" customHeight="1" x14ac:dyDescent="0.3">
      <c r="B19" s="230" t="s">
        <v>273</v>
      </c>
      <c r="C19" s="234">
        <v>38106737</v>
      </c>
      <c r="D19" s="235">
        <v>10366287</v>
      </c>
      <c r="E19" s="235">
        <f>SUM(C19:D19)</f>
        <v>48473024</v>
      </c>
      <c r="F19" s="235" t="s">
        <v>69</v>
      </c>
      <c r="G19" s="236">
        <f>SUM(E19:F19)</f>
        <v>48473024</v>
      </c>
      <c r="I19" s="230" t="s">
        <v>273</v>
      </c>
      <c r="J19" s="234">
        <v>10955117.050000001</v>
      </c>
      <c r="K19" s="235">
        <v>3124552</v>
      </c>
      <c r="L19" s="235">
        <f>SUM(J19:K19)</f>
        <v>14079669.050000001</v>
      </c>
      <c r="M19" s="235">
        <v>0</v>
      </c>
      <c r="N19" s="236">
        <f>SUM(L19:M19)</f>
        <v>14079669.050000001</v>
      </c>
      <c r="P19" s="230" t="s">
        <v>273</v>
      </c>
      <c r="Q19" s="234">
        <f>SUM(C19,J19)</f>
        <v>49061854.049999997</v>
      </c>
      <c r="R19" s="234">
        <f>SUM(D19,K19)</f>
        <v>13490839</v>
      </c>
      <c r="S19" s="235">
        <f>SUM(Q19:R19)</f>
        <v>62552693.049999997</v>
      </c>
      <c r="T19" s="235">
        <f>SUM(F19,M19)</f>
        <v>0</v>
      </c>
      <c r="U19" s="236">
        <f>SUM(S19:T19)</f>
        <v>62552693.049999997</v>
      </c>
    </row>
    <row r="20" spans="2:21" ht="16.5" customHeight="1" x14ac:dyDescent="0.3">
      <c r="B20" s="230" t="s">
        <v>274</v>
      </c>
      <c r="C20" s="234">
        <v>37710086.579999998</v>
      </c>
      <c r="D20" s="235">
        <v>12955815</v>
      </c>
      <c r="E20" s="235">
        <f t="shared" ref="E20:E21" si="18">SUM(C20:D20)</f>
        <v>50665901.579999998</v>
      </c>
      <c r="F20" s="235" t="s">
        <v>69</v>
      </c>
      <c r="G20" s="236">
        <f t="shared" ref="G20:G21" si="19">SUM(E20:F20)</f>
        <v>50665901.579999998</v>
      </c>
      <c r="I20" s="230" t="s">
        <v>274</v>
      </c>
      <c r="J20" s="234">
        <v>11771030.83</v>
      </c>
      <c r="K20" s="235">
        <v>4540401</v>
      </c>
      <c r="L20" s="235">
        <f t="shared" ref="L20:L21" si="20">SUM(J20:K20)</f>
        <v>16311431.83</v>
      </c>
      <c r="M20" s="235">
        <v>0</v>
      </c>
      <c r="N20" s="236">
        <f t="shared" ref="N20:N21" si="21">SUM(L20:M20)</f>
        <v>16311431.83</v>
      </c>
      <c r="P20" s="230" t="s">
        <v>274</v>
      </c>
      <c r="Q20" s="234">
        <f t="shared" ref="Q20:Q21" si="22">SUM(C20,J20)</f>
        <v>49481117.409999996</v>
      </c>
      <c r="R20" s="234">
        <f t="shared" ref="R20:R21" si="23">SUM(D20,K20)</f>
        <v>17496216</v>
      </c>
      <c r="S20" s="235">
        <f ca="1">SUM(Q20:R30)</f>
        <v>0</v>
      </c>
      <c r="T20" s="235">
        <f t="shared" ref="T20:T21" si="24">SUM(F20,M20)</f>
        <v>0</v>
      </c>
      <c r="U20" s="236">
        <f t="shared" ref="U20:U21" ca="1" si="25">SUM(S20:T20)</f>
        <v>66977333.409999996</v>
      </c>
    </row>
    <row r="21" spans="2:21" ht="16.5" customHeight="1" x14ac:dyDescent="0.3">
      <c r="B21" s="230" t="s">
        <v>275</v>
      </c>
      <c r="C21" s="234">
        <v>37398421</v>
      </c>
      <c r="D21" s="235">
        <v>8665054</v>
      </c>
      <c r="E21" s="235">
        <f t="shared" si="18"/>
        <v>46063475</v>
      </c>
      <c r="F21" s="235">
        <v>11304464</v>
      </c>
      <c r="G21" s="236">
        <f t="shared" si="19"/>
        <v>57367939</v>
      </c>
      <c r="I21" s="230" t="s">
        <v>275</v>
      </c>
      <c r="J21" s="234">
        <v>10107643</v>
      </c>
      <c r="K21" s="235">
        <v>5012103</v>
      </c>
      <c r="L21" s="235">
        <f t="shared" si="20"/>
        <v>15119746</v>
      </c>
      <c r="M21" s="235">
        <v>0</v>
      </c>
      <c r="N21" s="236">
        <f t="shared" si="21"/>
        <v>15119746</v>
      </c>
      <c r="P21" s="230" t="s">
        <v>275</v>
      </c>
      <c r="Q21" s="234">
        <f t="shared" si="22"/>
        <v>47506064</v>
      </c>
      <c r="R21" s="234">
        <f t="shared" si="23"/>
        <v>13677157</v>
      </c>
      <c r="S21" s="235">
        <f ca="1">SUM(Q21:R31)</f>
        <v>0</v>
      </c>
      <c r="T21" s="235">
        <f t="shared" si="24"/>
        <v>11304464</v>
      </c>
      <c r="U21" s="236">
        <f t="shared" ca="1" si="25"/>
        <v>72487685</v>
      </c>
    </row>
    <row r="22" spans="2:21" ht="16.5" customHeight="1" x14ac:dyDescent="0.3">
      <c r="B22" s="231" t="s">
        <v>225</v>
      </c>
      <c r="C22" s="239">
        <f>SUM(C19:C21)</f>
        <v>113215244.58</v>
      </c>
      <c r="D22" s="239">
        <f t="shared" ref="D22:G22" si="26">SUM(D19:D21)</f>
        <v>31987156</v>
      </c>
      <c r="E22" s="239">
        <f t="shared" si="26"/>
        <v>145202400.57999998</v>
      </c>
      <c r="F22" s="239">
        <f t="shared" si="26"/>
        <v>11304464</v>
      </c>
      <c r="G22" s="240">
        <f t="shared" si="26"/>
        <v>156506864.57999998</v>
      </c>
      <c r="I22" s="231" t="s">
        <v>225</v>
      </c>
      <c r="J22" s="239">
        <f>SUM(J19:J21)</f>
        <v>32833790.880000003</v>
      </c>
      <c r="K22" s="239">
        <f t="shared" ref="K22" si="27">SUM(K19:K21)</f>
        <v>12677056</v>
      </c>
      <c r="L22" s="239">
        <f t="shared" ref="L22" si="28">SUM(L19:L21)</f>
        <v>45510846.880000003</v>
      </c>
      <c r="M22" s="239">
        <f t="shared" ref="M22" si="29">SUM(M19:M21)</f>
        <v>0</v>
      </c>
      <c r="N22" s="240">
        <f t="shared" ref="N22" si="30">SUM(N19:N21)</f>
        <v>45510846.880000003</v>
      </c>
      <c r="P22" s="231" t="s">
        <v>225</v>
      </c>
      <c r="Q22" s="239">
        <f ca="1">SUM(Q19:Q31)</f>
        <v>0</v>
      </c>
      <c r="R22" s="239">
        <f t="shared" ref="R22" si="31">SUM(R19:R21)</f>
        <v>44664212</v>
      </c>
      <c r="S22" s="239">
        <f t="shared" ref="S22" ca="1" si="32">SUM(S19:S21)</f>
        <v>190713247.45999998</v>
      </c>
      <c r="T22" s="239">
        <f t="shared" ref="T22" si="33">SUM(T19:T21)</f>
        <v>11304464</v>
      </c>
      <c r="U22" s="240">
        <f t="shared" ref="U22" ca="1" si="34">SUM(U19:U21)</f>
        <v>202017711.45999998</v>
      </c>
    </row>
    <row r="23" spans="2:21" ht="16.5" customHeight="1" x14ac:dyDescent="0.3">
      <c r="B23" s="230" t="s">
        <v>276</v>
      </c>
      <c r="C23" s="235">
        <v>45492403.572529398</v>
      </c>
      <c r="D23" s="235">
        <v>11442802</v>
      </c>
      <c r="E23" s="235">
        <f>SUM(C23:D23)</f>
        <v>56935205.572529398</v>
      </c>
      <c r="F23" s="235">
        <v>23079733.54647059</v>
      </c>
      <c r="G23" s="236">
        <f>SUM(E23:F23)</f>
        <v>80014939.118999988</v>
      </c>
      <c r="I23" s="230" t="s">
        <v>276</v>
      </c>
      <c r="J23" s="235">
        <v>11300080.921</v>
      </c>
      <c r="K23" s="235">
        <v>3036995.8499999996</v>
      </c>
      <c r="L23" s="235">
        <f>SUM(J23:K23)</f>
        <v>14337076.771</v>
      </c>
      <c r="M23" s="235">
        <v>0</v>
      </c>
      <c r="N23" s="236">
        <f>SUM(L23:M23)</f>
        <v>14337076.771</v>
      </c>
      <c r="P23" s="230" t="s">
        <v>276</v>
      </c>
      <c r="Q23" s="234">
        <f>SUM(C23,J23)</f>
        <v>56792484.493529394</v>
      </c>
      <c r="R23" s="234">
        <f>SUM(D23,K23)</f>
        <v>14479797.85</v>
      </c>
      <c r="S23" s="235">
        <f ca="1">SUM(Q23:R33)</f>
        <v>0</v>
      </c>
      <c r="T23" s="235">
        <f>SUM(F23,M23)</f>
        <v>23079733.54647059</v>
      </c>
      <c r="U23" s="236">
        <f ca="1">SUM(S23:T23)</f>
        <v>94352015.889999986</v>
      </c>
    </row>
    <row r="24" spans="2:21" ht="16.5" customHeight="1" x14ac:dyDescent="0.3">
      <c r="B24" s="230" t="s">
        <v>277</v>
      </c>
      <c r="C24" s="235">
        <v>40525431.816717699</v>
      </c>
      <c r="D24" s="235">
        <v>3905399.7600000007</v>
      </c>
      <c r="E24" s="235">
        <f t="shared" ref="E24:E25" si="35">SUM(C24:D24)</f>
        <v>44430831.576717697</v>
      </c>
      <c r="F24" s="235">
        <v>30613784.309579305</v>
      </c>
      <c r="G24" s="236">
        <f t="shared" ref="G24:G25" si="36">SUM(E24:F24)</f>
        <v>75044615.886297002</v>
      </c>
      <c r="I24" s="230" t="s">
        <v>277</v>
      </c>
      <c r="J24" s="235">
        <v>11359483.26</v>
      </c>
      <c r="K24" s="235">
        <v>1184458.3700000001</v>
      </c>
      <c r="L24" s="235">
        <f t="shared" ref="L24:L25" si="37">SUM(J24:K24)</f>
        <v>12543941.629999999</v>
      </c>
      <c r="M24" s="235">
        <v>0</v>
      </c>
      <c r="N24" s="236">
        <f t="shared" ref="N24:N25" si="38">SUM(L24:M24)</f>
        <v>12543941.629999999</v>
      </c>
      <c r="P24" s="230" t="s">
        <v>277</v>
      </c>
      <c r="Q24" s="234">
        <f t="shared" ref="Q24:Q25" si="39">SUM(C24,J24)</f>
        <v>51884915.076717697</v>
      </c>
      <c r="R24" s="234">
        <f t="shared" ref="R24:R25" si="40">SUM(D24,K24)</f>
        <v>5089858.1300000008</v>
      </c>
      <c r="S24" s="235">
        <f ca="1">SUM(Q24:R34)</f>
        <v>0</v>
      </c>
      <c r="T24" s="235">
        <f t="shared" ref="T24:T25" si="41">SUM(F24,M24)</f>
        <v>30613784.309579305</v>
      </c>
      <c r="U24" s="236">
        <f t="shared" ref="U24:U25" ca="1" si="42">SUM(S24:T24)</f>
        <v>87588557.516297013</v>
      </c>
    </row>
    <row r="25" spans="2:21" ht="16.5" customHeight="1" x14ac:dyDescent="0.3">
      <c r="B25" s="230" t="s">
        <v>278</v>
      </c>
      <c r="C25" s="235">
        <v>73683243.6438054</v>
      </c>
      <c r="D25" s="235">
        <v>21955334.289999999</v>
      </c>
      <c r="E25" s="235">
        <f t="shared" si="35"/>
        <v>95638577.933805406</v>
      </c>
      <c r="F25" s="235">
        <v>32643055.795471098</v>
      </c>
      <c r="G25" s="236">
        <f t="shared" si="36"/>
        <v>128281633.72927651</v>
      </c>
      <c r="I25" s="230" t="s">
        <v>278</v>
      </c>
      <c r="J25" s="235">
        <v>18866753.113000002</v>
      </c>
      <c r="K25" s="235">
        <v>7373142.9500000002</v>
      </c>
      <c r="L25" s="235">
        <f t="shared" si="37"/>
        <v>26239896.063000001</v>
      </c>
      <c r="M25" s="235">
        <v>0</v>
      </c>
      <c r="N25" s="236">
        <f t="shared" si="38"/>
        <v>26239896.063000001</v>
      </c>
      <c r="P25" s="230" t="s">
        <v>278</v>
      </c>
      <c r="Q25" s="234">
        <f t="shared" si="39"/>
        <v>92549996.756805405</v>
      </c>
      <c r="R25" s="234">
        <f t="shared" si="40"/>
        <v>29328477.239999998</v>
      </c>
      <c r="S25" s="235">
        <f ca="1">SUM(Q25:R35)</f>
        <v>0</v>
      </c>
      <c r="T25" s="235">
        <f t="shared" si="41"/>
        <v>32643055.795471098</v>
      </c>
      <c r="U25" s="236">
        <f t="shared" ca="1" si="42"/>
        <v>154521529.7922765</v>
      </c>
    </row>
    <row r="26" spans="2:21" ht="16.5" customHeight="1" thickBot="1" x14ac:dyDescent="0.35">
      <c r="B26" s="232" t="s">
        <v>231</v>
      </c>
      <c r="C26" s="241">
        <f>SUM(C23:C25)</f>
        <v>159701079.0330525</v>
      </c>
      <c r="D26" s="241">
        <f t="shared" ref="D26:G26" si="43">SUM(D23:D25)</f>
        <v>37303536.049999997</v>
      </c>
      <c r="E26" s="241">
        <f t="shared" si="43"/>
        <v>197004615.08305252</v>
      </c>
      <c r="F26" s="241">
        <f t="shared" si="43"/>
        <v>86336573.651520997</v>
      </c>
      <c r="G26" s="242">
        <f t="shared" si="43"/>
        <v>283341188.73457348</v>
      </c>
      <c r="I26" s="232" t="s">
        <v>231</v>
      </c>
      <c r="J26" s="241">
        <f>SUM(J23:J25)</f>
        <v>41526317.294</v>
      </c>
      <c r="K26" s="241">
        <f t="shared" ref="K26" si="44">SUM(K23:K25)</f>
        <v>11594597.17</v>
      </c>
      <c r="L26" s="241">
        <f t="shared" ref="L26" si="45">SUM(L23:L25)</f>
        <v>53120914.464000002</v>
      </c>
      <c r="M26" s="241">
        <f t="shared" ref="M26" si="46">SUM(M23:M25)</f>
        <v>0</v>
      </c>
      <c r="N26" s="242">
        <f t="shared" ref="N26" si="47">SUM(N23:N25)</f>
        <v>53120914.464000002</v>
      </c>
      <c r="P26" s="232" t="s">
        <v>231</v>
      </c>
      <c r="Q26" s="241">
        <f>SUM(Q33:Q35)</f>
        <v>256558068.88298792</v>
      </c>
      <c r="R26" s="241">
        <f t="shared" ref="R26" si="48">SUM(R23:R25)</f>
        <v>48898133.219999999</v>
      </c>
      <c r="S26" s="241">
        <f t="shared" ref="S26" ca="1" si="49">SUM(S23:S25)</f>
        <v>250125529.5470525</v>
      </c>
      <c r="T26" s="241">
        <f t="shared" ref="T26" si="50">SUM(T23:T25)</f>
        <v>86336573.651520997</v>
      </c>
      <c r="U26" s="242">
        <f t="shared" ref="U26" ca="1" si="51">SUM(U23:U25)</f>
        <v>336462103.19857347</v>
      </c>
    </row>
    <row r="27" spans="2:21" s="56" customFormat="1" ht="47.1" customHeight="1" x14ac:dyDescent="0.3">
      <c r="B27" s="229" t="s">
        <v>184</v>
      </c>
      <c r="C27" s="29" t="s">
        <v>279</v>
      </c>
      <c r="D27" s="29" t="s">
        <v>280</v>
      </c>
      <c r="E27" s="233" t="s">
        <v>21</v>
      </c>
      <c r="F27" s="228"/>
      <c r="G27" s="228"/>
      <c r="I27" s="229" t="s">
        <v>184</v>
      </c>
      <c r="J27" s="29" t="s">
        <v>279</v>
      </c>
      <c r="K27" s="29" t="s">
        <v>280</v>
      </c>
      <c r="L27" s="233" t="s">
        <v>21</v>
      </c>
      <c r="M27" s="228"/>
      <c r="N27" s="228"/>
      <c r="P27" s="229" t="s">
        <v>184</v>
      </c>
      <c r="Q27" s="29" t="s">
        <v>279</v>
      </c>
      <c r="R27" s="29" t="s">
        <v>280</v>
      </c>
      <c r="S27" s="233" t="s">
        <v>21</v>
      </c>
      <c r="T27" s="228"/>
      <c r="U27" s="228"/>
    </row>
    <row r="28" spans="2:21" ht="16.5" customHeight="1" x14ac:dyDescent="0.3">
      <c r="B28" s="69">
        <v>2018</v>
      </c>
      <c r="C28" s="235">
        <v>102247235.25</v>
      </c>
      <c r="D28" s="235">
        <v>98689801</v>
      </c>
      <c r="E28" s="243">
        <f>C28/D28</f>
        <v>1.0360466250205531</v>
      </c>
      <c r="F28" s="64"/>
      <c r="G28" s="64"/>
      <c r="I28" s="69">
        <v>2018</v>
      </c>
      <c r="J28" s="235">
        <v>16960154.43</v>
      </c>
      <c r="K28" s="235">
        <v>15667311.84</v>
      </c>
      <c r="L28" s="243">
        <f>J28/K28</f>
        <v>1.0825184692309029</v>
      </c>
      <c r="M28" s="64"/>
      <c r="N28" s="64"/>
      <c r="P28" s="69">
        <v>2018</v>
      </c>
      <c r="Q28" s="235">
        <f>SUM(C28,J28)</f>
        <v>119207389.68000001</v>
      </c>
      <c r="R28" s="235">
        <f>SUM(D28,K28)</f>
        <v>114357112.84</v>
      </c>
      <c r="S28" s="243">
        <f>Q38/R28</f>
        <v>0</v>
      </c>
      <c r="T28" s="64"/>
      <c r="U28" s="64"/>
    </row>
    <row r="29" spans="2:21" ht="16.5" customHeight="1" x14ac:dyDescent="0.3">
      <c r="B29" s="69">
        <v>2019</v>
      </c>
      <c r="C29" s="235">
        <v>96007537.799999997</v>
      </c>
      <c r="D29" s="235">
        <v>98689801</v>
      </c>
      <c r="E29" s="243">
        <f t="shared" ref="E29:E31" si="52">C29/D29</f>
        <v>0.97282127258519846</v>
      </c>
      <c r="F29" s="64"/>
      <c r="G29" s="64"/>
      <c r="I29" s="69">
        <v>2019</v>
      </c>
      <c r="J29" s="235">
        <v>15095104.890000001</v>
      </c>
      <c r="K29" s="235">
        <v>15360706.439999999</v>
      </c>
      <c r="L29" s="243">
        <f t="shared" ref="L29:L31" si="53">J29/K29</f>
        <v>0.98270902767151647</v>
      </c>
      <c r="M29" s="64"/>
      <c r="N29" s="64"/>
      <c r="P29" s="69">
        <v>2019</v>
      </c>
      <c r="Q29" s="235">
        <f t="shared" ref="Q29:R31" si="54">SUM(C29,J29)</f>
        <v>111102642.69</v>
      </c>
      <c r="R29" s="235">
        <f t="shared" si="54"/>
        <v>114050507.44</v>
      </c>
      <c r="S29" s="243">
        <f>Q39/R29</f>
        <v>0</v>
      </c>
      <c r="T29" s="64"/>
      <c r="U29" s="64"/>
    </row>
    <row r="30" spans="2:21" ht="16.5" customHeight="1" x14ac:dyDescent="0.3">
      <c r="B30" s="69">
        <v>2020</v>
      </c>
      <c r="C30" s="235">
        <v>98400656.209999993</v>
      </c>
      <c r="D30" s="235">
        <v>98689800.997999996</v>
      </c>
      <c r="E30" s="243">
        <f t="shared" si="52"/>
        <v>0.99707016545705807</v>
      </c>
      <c r="F30" s="64"/>
      <c r="G30" s="64"/>
      <c r="I30" s="69">
        <v>2020</v>
      </c>
      <c r="J30" s="235">
        <v>14975163</v>
      </c>
      <c r="K30" s="235">
        <v>15575955.0169142</v>
      </c>
      <c r="L30" s="243">
        <f t="shared" si="53"/>
        <v>0.96142823882954276</v>
      </c>
      <c r="M30" s="64"/>
      <c r="N30" s="64"/>
      <c r="P30" s="69">
        <v>2020</v>
      </c>
      <c r="Q30" s="235">
        <f t="shared" si="54"/>
        <v>113375819.20999999</v>
      </c>
      <c r="R30" s="235">
        <f t="shared" si="54"/>
        <v>114265756.0149142</v>
      </c>
      <c r="S30" s="243">
        <f t="shared" ref="S30:S31" si="55">Q30/R30</f>
        <v>0.9922116928469974</v>
      </c>
      <c r="T30" s="64"/>
      <c r="U30" s="64"/>
    </row>
    <row r="31" spans="2:21" ht="16.5" customHeight="1" x14ac:dyDescent="0.3">
      <c r="B31" s="69">
        <v>2021</v>
      </c>
      <c r="C31" s="235">
        <v>99465648.870000005</v>
      </c>
      <c r="D31" s="235">
        <v>98689801</v>
      </c>
      <c r="E31" s="243">
        <f t="shared" si="52"/>
        <v>1.0078614797287919</v>
      </c>
      <c r="F31" s="64"/>
      <c r="G31" s="64"/>
      <c r="I31" s="69">
        <v>2021</v>
      </c>
      <c r="J31" s="235">
        <v>15033270.055786902</v>
      </c>
      <c r="K31" s="235">
        <v>15731743.369344199</v>
      </c>
      <c r="L31" s="243">
        <f t="shared" si="53"/>
        <v>0.95560102290262483</v>
      </c>
      <c r="M31" s="64"/>
      <c r="N31" s="64"/>
      <c r="P31" s="69">
        <v>2021</v>
      </c>
      <c r="Q31" s="235">
        <f t="shared" si="54"/>
        <v>114498918.92578691</v>
      </c>
      <c r="R31" s="235">
        <f t="shared" si="54"/>
        <v>114421544.3693442</v>
      </c>
      <c r="S31" s="243">
        <f t="shared" si="55"/>
        <v>1.0006762236680966</v>
      </c>
      <c r="T31" s="64"/>
      <c r="U31" s="64"/>
    </row>
    <row r="32" spans="2:21" ht="16.5" customHeight="1" thickBot="1" x14ac:dyDescent="0.35">
      <c r="B32" s="232" t="s">
        <v>233</v>
      </c>
      <c r="C32" s="241">
        <f>SUM(C28:C31)</f>
        <v>396121078.13</v>
      </c>
      <c r="D32" s="241">
        <f>SUM(D28:D31)</f>
        <v>394759203.99800003</v>
      </c>
      <c r="E32" s="244">
        <f>C32/D32</f>
        <v>1.0034498856979326</v>
      </c>
      <c r="F32" s="64"/>
      <c r="G32" s="64"/>
      <c r="I32" s="232" t="s">
        <v>233</v>
      </c>
      <c r="J32" s="241">
        <f>SUM(J28:J31)</f>
        <v>62063692.375786901</v>
      </c>
      <c r="K32" s="241">
        <f>SUM(K28:K31)</f>
        <v>62335716.666258402</v>
      </c>
      <c r="L32" s="244">
        <f>J32/K32</f>
        <v>0.99563614080306639</v>
      </c>
      <c r="M32" s="64"/>
      <c r="N32" s="64"/>
      <c r="P32" s="232" t="s">
        <v>233</v>
      </c>
      <c r="Q32" s="241">
        <f ca="1">SUM(Q31:Q38)</f>
        <v>0</v>
      </c>
      <c r="R32" s="241">
        <f>SUM(R28:R31)</f>
        <v>457094920.66425836</v>
      </c>
      <c r="S32" s="244">
        <f ca="1">Q32/R32</f>
        <v>1.002384296548176</v>
      </c>
      <c r="T32" s="64"/>
      <c r="U32" s="64"/>
    </row>
    <row r="33" spans="2:21" ht="14.4" customHeight="1" x14ac:dyDescent="0.3">
      <c r="B33" s="69">
        <v>2022</v>
      </c>
      <c r="C33" s="261">
        <v>103997826.45</v>
      </c>
      <c r="D33" s="235">
        <v>119489180</v>
      </c>
      <c r="E33" s="243">
        <f>C33/D33</f>
        <v>0.8703535035557195</v>
      </c>
      <c r="F33" s="64"/>
      <c r="G33" s="64"/>
      <c r="I33" s="69">
        <v>2022</v>
      </c>
      <c r="J33" s="261">
        <v>15503826.17</v>
      </c>
      <c r="K33" s="235">
        <v>16295291</v>
      </c>
      <c r="L33" s="243">
        <f>J33/K33</f>
        <v>0.95142984375056572</v>
      </c>
      <c r="M33" s="64"/>
      <c r="N33" s="64"/>
      <c r="P33" s="69">
        <v>2022</v>
      </c>
      <c r="Q33" s="235">
        <f>SUM(C33,J33)</f>
        <v>119501652.62</v>
      </c>
      <c r="R33" s="235">
        <f>SUM(D33,K33)</f>
        <v>135784471</v>
      </c>
      <c r="S33" s="243">
        <f>Q33/R33</f>
        <v>0.88008335371428448</v>
      </c>
      <c r="T33" s="64"/>
      <c r="U33" s="64"/>
    </row>
    <row r="34" spans="2:21" x14ac:dyDescent="0.3">
      <c r="B34" s="69">
        <v>2023</v>
      </c>
      <c r="C34" s="235">
        <f>'2- Costs'!C30</f>
        <v>119910153.37000002</v>
      </c>
      <c r="D34" s="235">
        <v>118701009</v>
      </c>
      <c r="E34" s="243">
        <f t="shared" ref="E34:E36" si="56">C34/D34</f>
        <v>1.0101864708664778</v>
      </c>
      <c r="I34" s="69">
        <v>2023</v>
      </c>
      <c r="J34" s="235">
        <f>'2- Costs'!D30</f>
        <v>17146262.892987892</v>
      </c>
      <c r="K34" s="235">
        <v>16433133</v>
      </c>
      <c r="L34" s="243">
        <f t="shared" ref="L34:L36" si="57">J34/K34</f>
        <v>1.0433958571982527</v>
      </c>
      <c r="P34" s="69">
        <v>2023</v>
      </c>
      <c r="Q34" s="235">
        <f t="shared" ref="Q34:R36" si="58">SUM(C34,J34)</f>
        <v>137056416.26298791</v>
      </c>
      <c r="R34" s="235">
        <f t="shared" si="58"/>
        <v>135134142</v>
      </c>
      <c r="S34" s="243">
        <f t="shared" ref="S34:S36" si="59">Q34/R34</f>
        <v>1.0142249340879961</v>
      </c>
    </row>
    <row r="35" spans="2:21" x14ac:dyDescent="0.3">
      <c r="B35" s="69">
        <v>2024</v>
      </c>
      <c r="C35" s="235"/>
      <c r="D35" s="235">
        <v>118701009</v>
      </c>
      <c r="E35" s="243">
        <f t="shared" si="56"/>
        <v>0</v>
      </c>
      <c r="I35" s="69">
        <v>2024</v>
      </c>
      <c r="J35" s="235"/>
      <c r="K35" s="235">
        <v>16624870</v>
      </c>
      <c r="L35" s="243">
        <f t="shared" si="57"/>
        <v>0</v>
      </c>
      <c r="P35" s="69">
        <v>2024</v>
      </c>
      <c r="Q35" s="235">
        <f t="shared" si="58"/>
        <v>0</v>
      </c>
      <c r="R35" s="235">
        <f t="shared" si="58"/>
        <v>135325879</v>
      </c>
      <c r="S35" s="243">
        <f t="shared" si="59"/>
        <v>0</v>
      </c>
    </row>
    <row r="36" spans="2:21" x14ac:dyDescent="0.3">
      <c r="B36" s="69">
        <v>2025</v>
      </c>
      <c r="C36" s="235"/>
      <c r="D36" s="235">
        <v>118701009</v>
      </c>
      <c r="E36" s="243">
        <f t="shared" si="56"/>
        <v>0</v>
      </c>
      <c r="I36" s="69">
        <v>2025</v>
      </c>
      <c r="J36" s="235"/>
      <c r="K36" s="235">
        <v>16701258</v>
      </c>
      <c r="L36" s="243">
        <f t="shared" si="57"/>
        <v>0</v>
      </c>
      <c r="P36" s="69">
        <v>2025</v>
      </c>
      <c r="Q36" s="235">
        <f t="shared" si="58"/>
        <v>0</v>
      </c>
      <c r="R36" s="235">
        <f t="shared" si="58"/>
        <v>135402267</v>
      </c>
      <c r="S36" s="243">
        <f t="shared" si="59"/>
        <v>0</v>
      </c>
    </row>
    <row r="37" spans="2:21" ht="15" thickBot="1" x14ac:dyDescent="0.35">
      <c r="B37" s="232" t="s">
        <v>235</v>
      </c>
      <c r="C37" s="241">
        <f>SUM(C33:C36)</f>
        <v>223907979.82000002</v>
      </c>
      <c r="D37" s="241">
        <f>SUM(D33:D36)</f>
        <v>475592207</v>
      </c>
      <c r="E37" s="244">
        <f>C37/D37</f>
        <v>0.47079825220937654</v>
      </c>
      <c r="I37" s="232" t="s">
        <v>235</v>
      </c>
      <c r="J37" s="241">
        <f>SUM(J33:J36)</f>
        <v>32650089.062987894</v>
      </c>
      <c r="K37" s="241">
        <f>SUM(K33:K36)</f>
        <v>66054552</v>
      </c>
      <c r="L37" s="244">
        <f>J37/K37</f>
        <v>0.49428976617671849</v>
      </c>
      <c r="P37" s="232" t="s">
        <v>235</v>
      </c>
      <c r="Q37" s="241">
        <f>SUM(Q33:Q36)</f>
        <v>256558068.88298792</v>
      </c>
      <c r="R37" s="241">
        <f>SUM(R33:R36)</f>
        <v>541646759</v>
      </c>
      <c r="S37" s="244">
        <f>Q37/R37</f>
        <v>0.47366307398691165</v>
      </c>
    </row>
  </sheetData>
  <mergeCells count="4">
    <mergeCell ref="B5:G9"/>
    <mergeCell ref="B13:G13"/>
    <mergeCell ref="I13:N13"/>
    <mergeCell ref="P13:U13"/>
  </mergeCells>
  <printOptions headings="1"/>
  <pageMargins left="0.7" right="0.7" top="0.75" bottom="0.75" header="0.3" footer="0.3"/>
  <pageSetup scale="70" orientation="portrait" r:id="rId1"/>
  <ignoredErrors>
    <ignoredError sqref="E18:E22 G18:G22 T18:T19 T22 S15:S19 Q18:R18 R22 R32 T23:T25 T15 J18:N18 L22:N22 S22 S26" formula="1"/>
    <ignoredError sqref="E28:E37 S30:S37" evalErro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8A2F517F943E5478788C00CC370CF36" ma:contentTypeVersion="19" ma:contentTypeDescription="Create a new document." ma:contentTypeScope="" ma:versionID="15c5ca41f8e8427fdeb928eaf99d865c">
  <xsd:schema xmlns:xsd="http://www.w3.org/2001/XMLSchema" xmlns:xs="http://www.w3.org/2001/XMLSchema" xmlns:p="http://schemas.microsoft.com/office/2006/metadata/properties" xmlns:ns2="c165669a-5531-4834-a3c6-766d91a836b3" xmlns:ns3="0fc115f9-6d6b-4932-b8c1-5214a931006f" targetNamespace="http://schemas.microsoft.com/office/2006/metadata/properties" ma:root="true" ma:fieldsID="0839b6621c43facfe48a68d524985539" ns2:_="" ns3:_="">
    <xsd:import namespace="c165669a-5531-4834-a3c6-766d91a836b3"/>
    <xsd:import namespace="0fc115f9-6d6b-4932-b8c1-5214a931006f"/>
    <xsd:element name="properties">
      <xsd:complexType>
        <xsd:sequence>
          <xsd:element name="documentManagement">
            <xsd:complexType>
              <xsd:all>
                <xsd:element ref="ns2:AmerenCompany"/>
                <xsd:element ref="ns2:SecurityClassification"/>
                <xsd:element ref="ns2:Document_x0020_Type" minOccurs="0"/>
                <xsd:element ref="ns2:Document_x0020_Status" minOccurs="0"/>
                <xsd:element ref="ns2:Program_x0020_Year" minOccurs="0"/>
                <xsd:element ref="ns2:Retention_x0020_Code" minOccurs="0"/>
                <xsd:element ref="ns2:Program_x0020_Month"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2:SharedWithUsers" minOccurs="0"/>
                <xsd:element ref="ns2:SharedWithDetails" minOccurs="0"/>
                <xsd:element ref="ns3:lcf76f155ced4ddcb4097134ff3c332f" minOccurs="0"/>
                <xsd:element ref="ns2:TaxCatchAll" minOccurs="0"/>
                <xsd:element ref="ns3:MediaServiceObjectDetectorVersions"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65669a-5531-4834-a3c6-766d91a836b3" elementFormDefault="qualified">
    <xsd:import namespace="http://schemas.microsoft.com/office/2006/documentManagement/types"/>
    <xsd:import namespace="http://schemas.microsoft.com/office/infopath/2007/PartnerControls"/>
    <xsd:element name="AmerenCompany" ma:index="8" ma:displayName="Ameren Company" ma:default="Ameren Illinois" ma:internalName="AmerenCompany">
      <xsd:simpleType>
        <xsd:restriction base="dms:Choice">
          <xsd:enumeration value="Ameren Illinois"/>
          <xsd:enumeration value="Ameren Missouri"/>
          <xsd:enumeration value="Ameren Services"/>
          <xsd:enumeration value="Ameren Transmission"/>
        </xsd:restriction>
      </xsd:simpleType>
    </xsd:element>
    <xsd:element name="SecurityClassification" ma:index="9" ma:displayName="Security Classification" ma:default="Internal" ma:internalName="SecurityClassification">
      <xsd:simpleType>
        <xsd:restriction base="dms:Choice">
          <xsd:enumeration value="Restricted"/>
          <xsd:enumeration value="Protected"/>
          <xsd:enumeration value="Internal"/>
          <xsd:enumeration value="External"/>
        </xsd:restriction>
      </xsd:simpleType>
    </xsd:element>
    <xsd:element name="Document_x0020_Type" ma:index="10" nillable="true" ma:displayName="Document Type" ma:format="Dropdown" ma:internalName="Document_x0020_Type">
      <xsd:simpleType>
        <xsd:restriction base="dms:Choice">
          <xsd:enumeration value="Audit"/>
          <xsd:enumeration value="Bid Exception"/>
          <xsd:enumeration value="Budget"/>
          <xsd:enumeration value="Compliance"/>
          <xsd:enumeration value="Contract"/>
          <xsd:enumeration value="Data"/>
          <xsd:enumeration value="Data Request"/>
          <xsd:enumeration value="Expense Report"/>
          <xsd:enumeration value="External Report"/>
          <xsd:enumeration value="Filing"/>
          <xsd:enumeration value="Guides"/>
          <xsd:enumeration value="Implementation Plan"/>
          <xsd:enumeration value="Internal Report"/>
          <xsd:enumeration value="Invoice"/>
          <xsd:enumeration value="Master Actuals"/>
          <xsd:enumeration value="Measure Codes"/>
          <xsd:enumeration value="Meeting Notes"/>
          <xsd:enumeration value="Memo"/>
          <xsd:enumeration value="MOA"/>
          <xsd:enumeration value="Monthly Report"/>
          <xsd:enumeration value="Notes"/>
          <xsd:enumeration value="Order"/>
          <xsd:enumeration value="Other"/>
          <xsd:enumeration value="Plan"/>
          <xsd:enumeration value="Policy"/>
          <xsd:enumeration value="Presentation"/>
          <xsd:enumeration value="Process Document"/>
          <xsd:enumeration value="Program Planning"/>
          <xsd:enumeration value="Purchase Order"/>
          <xsd:enumeration value="Quick Reference Guide"/>
          <xsd:enumeration value="RFP"/>
          <xsd:enumeration value="Service Agreement"/>
          <xsd:enumeration value="Service Agreement Amendment"/>
          <xsd:enumeration value="SOW"/>
          <xsd:enumeration value="SOW Amendment"/>
          <xsd:enumeration value="Stipulated Agreement"/>
          <xsd:enumeration value="Survey"/>
          <xsd:enumeration value="Template"/>
          <xsd:enumeration value="Testimony"/>
          <xsd:enumeration value="Training"/>
        </xsd:restriction>
      </xsd:simpleType>
    </xsd:element>
    <xsd:element name="Document_x0020_Status" ma:index="11" nillable="true" ma:displayName="Document Status" ma:format="Dropdown" ma:internalName="Document_x0020_Status">
      <xsd:simpleType>
        <xsd:restriction base="dms:Choice">
          <xsd:enumeration value="Active"/>
          <xsd:enumeration value="Draft"/>
          <xsd:enumeration value="Executed"/>
          <xsd:enumeration value="Filed"/>
          <xsd:enumeration value="Final"/>
          <xsd:enumeration value="In Review"/>
          <xsd:enumeration value="Inactive"/>
          <xsd:enumeration value="Paid"/>
          <xsd:enumeration value="Processed"/>
        </xsd:restriction>
      </xsd:simpleType>
    </xsd:element>
    <xsd:element name="Program_x0020_Year" ma:index="12" nillable="true" ma:displayName="Program Year" ma:format="Dropdown" ma:internalName="Program_x0020_Year">
      <xsd:simpleType>
        <xsd:restriction base="dms:Choice">
          <xsd:enumeration value="PY18"/>
          <xsd:enumeration value="PY19"/>
          <xsd:enumeration value="PY20"/>
          <xsd:enumeration value="PY21"/>
          <xsd:enumeration value="PY22"/>
          <xsd:enumeration value="PY23"/>
          <xsd:enumeration value="PY24"/>
        </xsd:restriction>
      </xsd:simpleType>
    </xsd:element>
    <xsd:element name="Retention_x0020_Code" ma:index="13" nillable="true" ma:displayName="Retention Code" ma:format="Dropdown" ma:internalName="Retention_x0020_Code">
      <xsd:simpleType>
        <xsd:restriction base="dms:Choice">
          <xsd:enumeration value="ACC001"/>
          <xsd:enumeration value="ACC005"/>
          <xsd:enumeration value="ACC008"/>
          <xsd:enumeration value="ACC010"/>
          <xsd:enumeration value="ACC011"/>
          <xsd:enumeration value="ACC013"/>
          <xsd:enumeration value="ACC014"/>
          <xsd:enumeration value="ACC015"/>
          <xsd:enumeration value="ACC016"/>
          <xsd:enumeration value="ACC020"/>
          <xsd:enumeration value="ACC101"/>
          <xsd:enumeration value="ACC102"/>
          <xsd:enumeration value="ACC103"/>
          <xsd:enumeration value="ACC104"/>
          <xsd:enumeration value="ACC105"/>
          <xsd:enumeration value="ACC114"/>
          <xsd:enumeration value="ACC127"/>
          <xsd:enumeration value="ACC130"/>
          <xsd:enumeration value="ACC152"/>
          <xsd:enumeration value="ACC154"/>
          <xsd:enumeration value="ACC210"/>
          <xsd:enumeration value="ACC405"/>
          <xsd:enumeration value="ACC510"/>
          <xsd:enumeration value="ADM002"/>
          <xsd:enumeration value="ADM004"/>
          <xsd:enumeration value="ADM005"/>
          <xsd:enumeration value="ADM006"/>
          <xsd:enumeration value="ADM007"/>
          <xsd:enumeration value="ADM008"/>
          <xsd:enumeration value="ADM009"/>
          <xsd:enumeration value="ADM010"/>
          <xsd:enumeration value="ADM011"/>
          <xsd:enumeration value="ADM013"/>
          <xsd:enumeration value="ADM014"/>
          <xsd:enumeration value="ADM015"/>
          <xsd:enumeration value="ADM018"/>
          <xsd:enumeration value="ADM019"/>
          <xsd:enumeration value="ADM020"/>
          <xsd:enumeration value="ADM021"/>
          <xsd:enumeration value="ADM023"/>
          <xsd:enumeration value="ADM024"/>
          <xsd:enumeration value="ADM026"/>
          <xsd:enumeration value="CXR001"/>
          <xsd:enumeration value="CXR002"/>
          <xsd:enumeration value="CXR003"/>
          <xsd:enumeration value="CXR004"/>
          <xsd:enumeration value="CXR005"/>
          <xsd:enumeration value="CXR006"/>
          <xsd:enumeration value="CXR007"/>
          <xsd:enumeration value="CXR008"/>
          <xsd:enumeration value="CXR009"/>
          <xsd:enumeration value="CXR010"/>
          <xsd:enumeration value="CXR012"/>
          <xsd:enumeration value="CXR013"/>
          <xsd:enumeration value="EHS001"/>
          <xsd:enumeration value="EHS002"/>
          <xsd:enumeration value="EHS003"/>
          <xsd:enumeration value="EHS004"/>
          <xsd:enumeration value="EHS005"/>
          <xsd:enumeration value="EHS006"/>
          <xsd:enumeration value="EHS007"/>
          <xsd:enumeration value="EHS008"/>
          <xsd:enumeration value="EHS009"/>
          <xsd:enumeration value="EHS010"/>
          <xsd:enumeration value="EHS011"/>
          <xsd:enumeration value="EHS012"/>
          <xsd:enumeration value="EHS013"/>
          <xsd:enumeration value="EHS014"/>
          <xsd:enumeration value="EHS015"/>
          <xsd:enumeration value="EHS016"/>
          <xsd:enumeration value="EHS017"/>
          <xsd:enumeration value="EHS018"/>
          <xsd:enumeration value="ELE002"/>
          <xsd:enumeration value="ELE003"/>
          <xsd:enumeration value="ELE004"/>
          <xsd:enumeration value="ELE005"/>
          <xsd:enumeration value="ELE006"/>
          <xsd:enumeration value="ELE007"/>
          <xsd:enumeration value="ELE008"/>
          <xsd:enumeration value="ELE009"/>
          <xsd:enumeration value="ELE014"/>
          <xsd:enumeration value="ELE015"/>
          <xsd:enumeration value="ELE016"/>
          <xsd:enumeration value="ELE017"/>
          <xsd:enumeration value="ELE018"/>
          <xsd:enumeration value="ELE209"/>
          <xsd:enumeration value="ELE214"/>
          <xsd:enumeration value="ELE215"/>
          <xsd:enumeration value="ELE216"/>
          <xsd:enumeration value="ELE401"/>
          <xsd:enumeration value="ELE402"/>
          <xsd:enumeration value="ELE403"/>
          <xsd:enumeration value="ELE404"/>
          <xsd:enumeration value="ELE405"/>
          <xsd:enumeration value="ELE406"/>
          <xsd:enumeration value="FIN001"/>
          <xsd:enumeration value="FIN002"/>
          <xsd:enumeration value="FIN003"/>
          <xsd:enumeration value="FIN004"/>
          <xsd:enumeration value="FIN005"/>
          <xsd:enumeration value="FIN006"/>
          <xsd:enumeration value="FIN007"/>
          <xsd:enumeration value="FIN008"/>
          <xsd:enumeration value="FIN009"/>
          <xsd:enumeration value="FIN013"/>
          <xsd:enumeration value="FIN014"/>
          <xsd:enumeration value="FIN015"/>
          <xsd:enumeration value="FIN017"/>
          <xsd:enumeration value="FIN018"/>
          <xsd:enumeration value="GAS002"/>
          <xsd:enumeration value="GAS005"/>
          <xsd:enumeration value="GAS007"/>
          <xsd:enumeration value="GAS010"/>
          <xsd:enumeration value="GAS011"/>
          <xsd:enumeration value="GAS200"/>
          <xsd:enumeration value="GAS207"/>
          <xsd:enumeration value="GAS210"/>
          <xsd:enumeration value="GAS214"/>
          <xsd:enumeration value="GAS215"/>
          <xsd:enumeration value="GAS274"/>
          <xsd:enumeration value="GAS275"/>
          <xsd:enumeration value="GAS350"/>
          <xsd:enumeration value="GAS375"/>
          <xsd:enumeration value="GAS401"/>
          <xsd:enumeration value="GAS402"/>
          <xsd:enumeration value="GAS403"/>
          <xsd:enumeration value="GAS405"/>
          <xsd:enumeration value="HUM001"/>
          <xsd:enumeration value="HUM002"/>
          <xsd:enumeration value="HUM003"/>
          <xsd:enumeration value="HUM004"/>
          <xsd:enumeration value="HUM005"/>
          <xsd:enumeration value="HUM006"/>
          <xsd:enumeration value="HUM007"/>
          <xsd:enumeration value="HUM008"/>
          <xsd:enumeration value="HUM009"/>
          <xsd:enumeration value="HUM010"/>
          <xsd:enumeration value="HUM011"/>
          <xsd:enumeration value="LEG002"/>
          <xsd:enumeration value="LEG003"/>
          <xsd:enumeration value="LEG004"/>
          <xsd:enumeration value="LEG005"/>
          <xsd:enumeration value="LEG006"/>
          <xsd:enumeration value="LEG007"/>
          <xsd:enumeration value="LEG008"/>
          <xsd:enumeration value="LEG009"/>
          <xsd:enumeration value="LEG012"/>
          <xsd:enumeration value="LEG301"/>
          <xsd:enumeration value="LEG302"/>
          <xsd:enumeration value="LEG303"/>
          <xsd:enumeration value="LEG304"/>
          <xsd:enumeration value="LEG305"/>
          <xsd:enumeration value="LEG306"/>
          <xsd:enumeration value="LEG307"/>
          <xsd:enumeration value="LEG308"/>
          <xsd:enumeration value="LEG309"/>
          <xsd:enumeration value="PRJ001"/>
          <xsd:enumeration value="PRJ002"/>
          <xsd:enumeration value="TAX001"/>
          <xsd:enumeration value="TAX002"/>
          <xsd:enumeration value="TAX003"/>
          <xsd:enumeration value="TAX004"/>
        </xsd:restriction>
      </xsd:simpleType>
    </xsd:element>
    <xsd:element name="Program_x0020_Month" ma:index="14" nillable="true" ma:displayName="Program Month" ma:format="Dropdown" ma:internalName="Program_x0020_Month">
      <xsd:simpleType>
        <xsd:restriction base="dms:Choice">
          <xsd:enumeration value="PM1"/>
          <xsd:enumeration value="PM2"/>
          <xsd:enumeration value="PM3"/>
          <xsd:enumeration value="PM4"/>
          <xsd:enumeration value="PM5"/>
          <xsd:enumeration value="PM6"/>
          <xsd:enumeration value="PM7"/>
          <xsd:enumeration value="PM8"/>
          <xsd:enumeration value="PM9"/>
          <xsd:enumeration value="PM10"/>
          <xsd:enumeration value="PM11"/>
          <xsd:enumeration value="PM12"/>
        </xsd:restriction>
      </xsd:simple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10fb89a2-95e2-4ef7-bfb8-9e923550209d}" ma:internalName="TaxCatchAll" ma:showField="CatchAllData" ma:web="c165669a-5531-4834-a3c6-766d91a836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fc115f9-6d6b-4932-b8c1-5214a931006f"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a1da4855-4edc-4d1c-82df-1c029e91f91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ocument_x0020_Status xmlns="c165669a-5531-4834-a3c6-766d91a836b3" xsi:nil="true"/>
    <Program_x0020_Year xmlns="c165669a-5531-4834-a3c6-766d91a836b3" xsi:nil="true"/>
    <Retention_x0020_Code xmlns="c165669a-5531-4834-a3c6-766d91a836b3" xsi:nil="true"/>
    <Program_x0020_Month xmlns="c165669a-5531-4834-a3c6-766d91a836b3" xsi:nil="true"/>
    <SecurityClassification xmlns="c165669a-5531-4834-a3c6-766d91a836b3">Internal</SecurityClassification>
    <AmerenCompany xmlns="c165669a-5531-4834-a3c6-766d91a836b3">Ameren Illinois</AmerenCompany>
    <Document_x0020_Type xmlns="c165669a-5531-4834-a3c6-766d91a836b3" xsi:nil="true"/>
    <TaxCatchAll xmlns="c165669a-5531-4834-a3c6-766d91a836b3" xsi:nil="true"/>
    <lcf76f155ced4ddcb4097134ff3c332f xmlns="0fc115f9-6d6b-4932-b8c1-5214a931006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310C7E2-4C81-46E0-B84F-7DEBDE3B477A}">
  <ds:schemaRefs>
    <ds:schemaRef ds:uri="http://schemas.microsoft.com/sharepoint/v3/contenttype/forms"/>
  </ds:schemaRefs>
</ds:datastoreItem>
</file>

<file path=customXml/itemProps2.xml><?xml version="1.0" encoding="utf-8"?>
<ds:datastoreItem xmlns:ds="http://schemas.openxmlformats.org/officeDocument/2006/customXml" ds:itemID="{9B49BAAD-AB44-4B48-BB32-026064D276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65669a-5531-4834-a3c6-766d91a836b3"/>
    <ds:schemaRef ds:uri="0fc115f9-6d6b-4932-b8c1-5214a93100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E2CB1D-3061-4333-83FD-8FD131D6D8B7}">
  <ds:schemaRefs>
    <ds:schemaRef ds:uri="http://schemas.microsoft.com/office/2006/metadata/properties"/>
    <ds:schemaRef ds:uri="http://schemas.microsoft.com/office/infopath/2007/PartnerControls"/>
    <ds:schemaRef ds:uri="c165669a-5531-4834-a3c6-766d91a836b3"/>
    <ds:schemaRef ds:uri="0fc115f9-6d6b-4932-b8c1-5214a931006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Ex Ante Results</vt:lpstr>
      <vt:lpstr>2- Costs</vt:lpstr>
      <vt:lpstr>5- CPAS</vt:lpstr>
      <vt:lpstr>3- Energy</vt:lpstr>
      <vt:lpstr>4- Other</vt:lpstr>
      <vt:lpstr>6- Historical Costs</vt:lpstr>
    </vt:vector>
  </TitlesOfParts>
  <Manager/>
  <Company>Exelon Corp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IL Statewide Quarterly Report Template</dc:title>
  <dc:subject/>
  <dc:creator>Celia Johnson</dc:creator>
  <cp:keywords/>
  <dc:description/>
  <cp:lastModifiedBy>Grebner, Tina M</cp:lastModifiedBy>
  <cp:revision/>
  <dcterms:created xsi:type="dcterms:W3CDTF">2016-11-04T16:24:21Z</dcterms:created>
  <dcterms:modified xsi:type="dcterms:W3CDTF">2024-04-01T20:02:56Z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0x01010058A2F517F943E5478788C00CC370CF36</vt:lpwstr>
  </property>
  <property fmtid="{D5CDD505-2E9C-101B-9397-08002B2CF9AE}" pid="3" name="MediaServiceImageTags">
    <vt:lpwstr/>
  </property>
</Properties>
</file>