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4"/>
  <workbookPr defaultThemeVersion="124226"/>
  <mc:AlternateContent xmlns:mc="http://schemas.openxmlformats.org/markup-compatibility/2006">
    <mc:Choice Requires="x15">
      <x15ac:absPath xmlns:x15ac="http://schemas.microsoft.com/office/spreadsheetml/2010/11/ac" url="https://ameren.sharepoint.com/sites/AmerenIL-DSM/Portfolio/Quarterly Reports - SAG/Quarterly Reports/2022/2022 Q4/"/>
    </mc:Choice>
  </mc:AlternateContent>
  <xr:revisionPtr revIDLastSave="39" documentId="8_{92D4B2B7-FE00-4099-9E2B-462D1D777F9C}" xr6:coauthVersionLast="47" xr6:coauthVersionMax="47" xr10:uidLastSave="{8DDA1768-0479-4718-8F5F-08749CEFCD13}"/>
  <bookViews>
    <workbookView xWindow="-120" yWindow="-120" windowWidth="29040" windowHeight="1584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1" l="1"/>
  <c r="X64" i="1"/>
  <c r="X65" i="1"/>
  <c r="X66" i="1"/>
  <c r="X67" i="1"/>
  <c r="X68" i="1"/>
  <c r="X69" i="1"/>
  <c r="X70" i="1"/>
  <c r="X71" i="1"/>
  <c r="X72" i="1"/>
  <c r="X62" i="1"/>
  <c r="R63" i="1"/>
  <c r="R64" i="1"/>
  <c r="R65" i="1"/>
  <c r="R66" i="1"/>
  <c r="R67" i="1"/>
  <c r="R68" i="1"/>
  <c r="R69" i="1"/>
  <c r="R70" i="1"/>
  <c r="R71" i="1"/>
  <c r="R72" i="1"/>
  <c r="R62" i="1"/>
  <c r="T58" i="1"/>
  <c r="U55" i="1"/>
  <c r="U27" i="1"/>
  <c r="T27" i="1"/>
  <c r="N58" i="1"/>
  <c r="O55" i="1"/>
  <c r="M25" i="1" l="1"/>
  <c r="M26" i="1"/>
  <c r="M27" i="1"/>
  <c r="M28" i="1"/>
  <c r="M29" i="1"/>
  <c r="M30" i="1"/>
  <c r="M31" i="1"/>
  <c r="M32" i="1"/>
  <c r="M24" i="1"/>
  <c r="M23" i="1"/>
  <c r="L56" i="1" l="1"/>
  <c r="L57" i="1"/>
  <c r="L58" i="1"/>
  <c r="L46" i="1"/>
  <c r="L30" i="1"/>
  <c r="L31" i="1"/>
  <c r="L32" i="1"/>
  <c r="X56" i="1" l="1"/>
  <c r="S56" i="1"/>
  <c r="S57" i="1"/>
  <c r="X57" i="1" s="1"/>
  <c r="S58" i="1"/>
  <c r="S68" i="1" s="1"/>
  <c r="S46" i="1"/>
  <c r="S70" i="1" s="1"/>
  <c r="S30" i="1"/>
  <c r="X30" i="1" s="1"/>
  <c r="S31" i="1"/>
  <c r="S32" i="1"/>
  <c r="X32" i="1" s="1"/>
  <c r="X31" i="1"/>
  <c r="U62" i="1"/>
  <c r="V62" i="1"/>
  <c r="W62" i="1"/>
  <c r="U63" i="1"/>
  <c r="V63" i="1"/>
  <c r="W63" i="1"/>
  <c r="U64" i="1"/>
  <c r="V64" i="1"/>
  <c r="W64" i="1"/>
  <c r="U65" i="1"/>
  <c r="V65" i="1"/>
  <c r="W65" i="1"/>
  <c r="U66" i="1"/>
  <c r="V66" i="1"/>
  <c r="W66" i="1"/>
  <c r="U67" i="1"/>
  <c r="V67" i="1"/>
  <c r="W67" i="1"/>
  <c r="U68" i="1"/>
  <c r="V68" i="1"/>
  <c r="W68" i="1"/>
  <c r="U69" i="1"/>
  <c r="V69" i="1"/>
  <c r="W69" i="1"/>
  <c r="U70" i="1"/>
  <c r="V70" i="1"/>
  <c r="W70" i="1"/>
  <c r="S72" i="1"/>
  <c r="S71" i="1"/>
  <c r="T62" i="1"/>
  <c r="T63" i="1"/>
  <c r="T64" i="1"/>
  <c r="T65" i="1"/>
  <c r="T66" i="1"/>
  <c r="T67" i="1"/>
  <c r="T68" i="1"/>
  <c r="T69" i="1"/>
  <c r="T70" i="1"/>
  <c r="Q68" i="1"/>
  <c r="O68" i="1"/>
  <c r="P68" i="1"/>
  <c r="N68" i="1"/>
  <c r="J68" i="1"/>
  <c r="K68" i="1"/>
  <c r="I68" i="1"/>
  <c r="H68" i="1"/>
  <c r="E68" i="1"/>
  <c r="F68" i="1"/>
  <c r="D68" i="1"/>
  <c r="C68" i="1"/>
  <c r="B68" i="1"/>
  <c r="M71" i="1"/>
  <c r="M72" i="1"/>
  <c r="O62" i="1"/>
  <c r="P62" i="1"/>
  <c r="Q62" i="1"/>
  <c r="O63" i="1"/>
  <c r="P63" i="1"/>
  <c r="Q63" i="1"/>
  <c r="O64" i="1"/>
  <c r="P64" i="1"/>
  <c r="Q64" i="1"/>
  <c r="O65" i="1"/>
  <c r="P65" i="1"/>
  <c r="Q65" i="1"/>
  <c r="P66" i="1"/>
  <c r="Q66" i="1"/>
  <c r="O67" i="1"/>
  <c r="P67" i="1"/>
  <c r="Q67" i="1"/>
  <c r="O69" i="1"/>
  <c r="P69" i="1"/>
  <c r="Q69" i="1"/>
  <c r="O70" i="1"/>
  <c r="P70" i="1"/>
  <c r="Q70" i="1"/>
  <c r="L71" i="1"/>
  <c r="L72" i="1"/>
  <c r="N62" i="1"/>
  <c r="N63" i="1"/>
  <c r="N64" i="1"/>
  <c r="N65" i="1"/>
  <c r="N66" i="1"/>
  <c r="N67" i="1"/>
  <c r="N69" i="1"/>
  <c r="N70" i="1"/>
  <c r="M70" i="1" s="1"/>
  <c r="M56" i="1"/>
  <c r="R56" i="1" s="1"/>
  <c r="M57" i="1"/>
  <c r="R57" i="1" s="1"/>
  <c r="M58" i="1"/>
  <c r="R58" i="1" s="1"/>
  <c r="M46" i="1"/>
  <c r="R46" i="1" s="1"/>
  <c r="R30" i="1"/>
  <c r="R31" i="1"/>
  <c r="R32" i="1"/>
  <c r="G71" i="1"/>
  <c r="G72" i="1"/>
  <c r="I62" i="1"/>
  <c r="J62" i="1"/>
  <c r="K62" i="1"/>
  <c r="I63" i="1"/>
  <c r="J63" i="1"/>
  <c r="K63" i="1"/>
  <c r="I64" i="1"/>
  <c r="J64" i="1"/>
  <c r="K64" i="1"/>
  <c r="L64" i="1" s="1"/>
  <c r="I65" i="1"/>
  <c r="J65" i="1"/>
  <c r="K65" i="1"/>
  <c r="I66" i="1"/>
  <c r="J66" i="1"/>
  <c r="K66" i="1"/>
  <c r="I67" i="1"/>
  <c r="J67" i="1"/>
  <c r="K67" i="1"/>
  <c r="I69" i="1"/>
  <c r="J69" i="1"/>
  <c r="K69" i="1"/>
  <c r="L69" i="1" s="1"/>
  <c r="I70" i="1"/>
  <c r="J70" i="1"/>
  <c r="K70" i="1"/>
  <c r="L70" i="1" s="1"/>
  <c r="H62" i="1"/>
  <c r="L62" i="1" s="1"/>
  <c r="H63" i="1"/>
  <c r="H64" i="1"/>
  <c r="H65" i="1"/>
  <c r="H66" i="1"/>
  <c r="H67" i="1"/>
  <c r="H69" i="1"/>
  <c r="H70" i="1"/>
  <c r="C70" i="1"/>
  <c r="G70" i="1" s="1"/>
  <c r="D70" i="1"/>
  <c r="E70" i="1"/>
  <c r="F70" i="1"/>
  <c r="B70" i="1"/>
  <c r="C69" i="1"/>
  <c r="D69" i="1"/>
  <c r="E69" i="1"/>
  <c r="F69" i="1"/>
  <c r="G69" i="1" s="1"/>
  <c r="B69" i="1"/>
  <c r="C67" i="1"/>
  <c r="D67" i="1"/>
  <c r="E67" i="1"/>
  <c r="F67" i="1"/>
  <c r="B67" i="1"/>
  <c r="C66" i="1"/>
  <c r="D66" i="1"/>
  <c r="E66" i="1"/>
  <c r="F66" i="1"/>
  <c r="B66" i="1"/>
  <c r="C65" i="1"/>
  <c r="D65" i="1"/>
  <c r="E65" i="1"/>
  <c r="F65" i="1"/>
  <c r="B65" i="1"/>
  <c r="C64" i="1"/>
  <c r="D64" i="1"/>
  <c r="E64" i="1"/>
  <c r="F64" i="1"/>
  <c r="C63" i="1"/>
  <c r="D63" i="1"/>
  <c r="E63" i="1"/>
  <c r="F63" i="1"/>
  <c r="B63" i="1"/>
  <c r="E62" i="1"/>
  <c r="F62" i="1"/>
  <c r="D62" i="1"/>
  <c r="C62" i="1"/>
  <c r="B62" i="1"/>
  <c r="G56" i="1"/>
  <c r="G57" i="1"/>
  <c r="G58" i="1"/>
  <c r="G46" i="1"/>
  <c r="G30" i="1"/>
  <c r="G31" i="1"/>
  <c r="G32" i="1"/>
  <c r="G68" i="1" l="1"/>
  <c r="M63" i="1"/>
  <c r="L68" i="1"/>
  <c r="G64" i="1"/>
  <c r="G65" i="1"/>
  <c r="L66" i="1"/>
  <c r="M67" i="1"/>
  <c r="L67" i="1"/>
  <c r="L65" i="1"/>
  <c r="L63" i="1"/>
  <c r="G67" i="1"/>
  <c r="G66" i="1"/>
  <c r="G63" i="1"/>
  <c r="G62" i="1"/>
  <c r="M68" i="1"/>
  <c r="X58" i="1"/>
  <c r="M69" i="1"/>
  <c r="S67" i="1"/>
  <c r="M65" i="1"/>
  <c r="M64" i="1"/>
  <c r="M62" i="1"/>
  <c r="O66" i="1" l="1"/>
  <c r="M66" i="1" s="1"/>
  <c r="J60" i="1"/>
  <c r="J48" i="1"/>
  <c r="J35" i="1"/>
  <c r="B64" i="1" l="1"/>
  <c r="J74" i="1" l="1"/>
  <c r="R33" i="8"/>
  <c r="R34" i="8"/>
  <c r="R35" i="8"/>
  <c r="R36" i="8"/>
  <c r="R28" i="8"/>
  <c r="R29" i="8"/>
  <c r="R32" i="8" s="1"/>
  <c r="R30" i="8"/>
  <c r="R31" i="8"/>
  <c r="Q36" i="8"/>
  <c r="Q35" i="8"/>
  <c r="Q34" i="8"/>
  <c r="Q29" i="8"/>
  <c r="S29" i="8" s="1"/>
  <c r="Q30" i="8"/>
  <c r="S30" i="8" s="1"/>
  <c r="Q31" i="8"/>
  <c r="Q28" i="8"/>
  <c r="T25" i="8"/>
  <c r="T24" i="8"/>
  <c r="T23" i="8"/>
  <c r="T21" i="8"/>
  <c r="T20" i="8"/>
  <c r="T19" i="8"/>
  <c r="T16" i="8"/>
  <c r="T17" i="8"/>
  <c r="T15" i="8"/>
  <c r="R25" i="8"/>
  <c r="Q25" i="8"/>
  <c r="R24" i="8"/>
  <c r="Q24" i="8"/>
  <c r="R23" i="8"/>
  <c r="R26" i="8" s="1"/>
  <c r="Q23" i="8"/>
  <c r="R21" i="8"/>
  <c r="Q21" i="8"/>
  <c r="R20" i="8"/>
  <c r="S20" i="8" s="1"/>
  <c r="Q20" i="8"/>
  <c r="R19" i="8"/>
  <c r="R22" i="8" s="1"/>
  <c r="Q19" i="8"/>
  <c r="Q22" i="8" s="1"/>
  <c r="Q16" i="8"/>
  <c r="R16" i="8"/>
  <c r="S16" i="8" s="1"/>
  <c r="Q17" i="8"/>
  <c r="R17" i="8"/>
  <c r="S17" i="8" s="1"/>
  <c r="R15" i="8"/>
  <c r="Q15" i="8"/>
  <c r="Q26" i="8"/>
  <c r="S23" i="8"/>
  <c r="S35" i="8" l="1"/>
  <c r="S34" i="8"/>
  <c r="R37" i="8"/>
  <c r="S36" i="8"/>
  <c r="S31" i="8"/>
  <c r="T26" i="8"/>
  <c r="T22" i="8"/>
  <c r="U17" i="8"/>
  <c r="S24" i="8"/>
  <c r="U24" i="8" s="1"/>
  <c r="S25" i="8"/>
  <c r="U25" i="8" s="1"/>
  <c r="S21" i="8"/>
  <c r="U21" i="8" s="1"/>
  <c r="Q32" i="8"/>
  <c r="S32" i="8" s="1"/>
  <c r="S28" i="8"/>
  <c r="U23" i="8"/>
  <c r="U20" i="8"/>
  <c r="U16" i="8"/>
  <c r="T18" i="8"/>
  <c r="S19" i="8"/>
  <c r="U19" i="8" s="1"/>
  <c r="R18" i="8"/>
  <c r="S15" i="8"/>
  <c r="S18" i="8" s="1"/>
  <c r="Q18" i="8"/>
  <c r="S26" i="8"/>
  <c r="K37" i="8"/>
  <c r="L36" i="8"/>
  <c r="L35" i="8"/>
  <c r="L34"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4" i="8"/>
  <c r="E35" i="8"/>
  <c r="E36" i="8"/>
  <c r="E29" i="8"/>
  <c r="E30" i="8"/>
  <c r="E31" i="8"/>
  <c r="E28" i="8"/>
  <c r="D37" i="8"/>
  <c r="D32" i="8"/>
  <c r="C32" i="8"/>
  <c r="E32" i="8" s="1"/>
  <c r="D26" i="8"/>
  <c r="F26" i="8"/>
  <c r="C26" i="8"/>
  <c r="D22" i="8"/>
  <c r="E22" i="8"/>
  <c r="F22" i="8"/>
  <c r="C22" i="8"/>
  <c r="D18" i="8"/>
  <c r="F18" i="8"/>
  <c r="C18" i="8"/>
  <c r="E15" i="8"/>
  <c r="G15" i="8" s="1"/>
  <c r="E24" i="7"/>
  <c r="E23" i="7"/>
  <c r="D30" i="4"/>
  <c r="E30" i="4"/>
  <c r="F30" i="4"/>
  <c r="G30" i="4"/>
  <c r="H30" i="4"/>
  <c r="I30" i="4"/>
  <c r="J30" i="4"/>
  <c r="K30" i="4"/>
  <c r="L30" i="4"/>
  <c r="M30" i="4"/>
  <c r="N30" i="4"/>
  <c r="O30" i="4"/>
  <c r="P30" i="4"/>
  <c r="Q30" i="4"/>
  <c r="D31" i="4"/>
  <c r="E31" i="4"/>
  <c r="F31" i="4"/>
  <c r="G31" i="4"/>
  <c r="H31" i="4"/>
  <c r="I31" i="4"/>
  <c r="J31" i="4"/>
  <c r="K31" i="4"/>
  <c r="L31" i="4"/>
  <c r="M31" i="4"/>
  <c r="N31" i="4"/>
  <c r="O31" i="4"/>
  <c r="P31" i="4"/>
  <c r="Q31" i="4"/>
  <c r="D32" i="4"/>
  <c r="E32" i="4"/>
  <c r="F32" i="4"/>
  <c r="G32" i="4"/>
  <c r="H32" i="4"/>
  <c r="I32" i="4"/>
  <c r="J32" i="4"/>
  <c r="K32" i="4"/>
  <c r="L32" i="4"/>
  <c r="M32" i="4"/>
  <c r="N32" i="4"/>
  <c r="O32" i="4"/>
  <c r="P32" i="4"/>
  <c r="Q32" i="4"/>
  <c r="D33" i="4"/>
  <c r="E33" i="4"/>
  <c r="F33" i="4"/>
  <c r="G33" i="4"/>
  <c r="H33" i="4"/>
  <c r="I33" i="4"/>
  <c r="J33" i="4"/>
  <c r="K33" i="4"/>
  <c r="L33" i="4"/>
  <c r="M33" i="4"/>
  <c r="N33" i="4"/>
  <c r="O33" i="4"/>
  <c r="P33" i="4"/>
  <c r="Q33" i="4"/>
  <c r="C31" i="4"/>
  <c r="C32" i="4"/>
  <c r="C33" i="4"/>
  <c r="C30" i="4"/>
  <c r="P12" i="4"/>
  <c r="J37" i="3"/>
  <c r="K37" i="3"/>
  <c r="J32" i="3"/>
  <c r="K32" i="3"/>
  <c r="I32" i="3"/>
  <c r="J27" i="3"/>
  <c r="K27" i="3"/>
  <c r="I27" i="3"/>
  <c r="J22" i="3"/>
  <c r="K22" i="3"/>
  <c r="I22" i="3"/>
  <c r="J18" i="3"/>
  <c r="K18" i="3"/>
  <c r="I18" i="3"/>
  <c r="F37" i="3"/>
  <c r="F32" i="3"/>
  <c r="E32" i="3"/>
  <c r="D32" i="3"/>
  <c r="E27" i="3"/>
  <c r="F27" i="3"/>
  <c r="D27" i="3"/>
  <c r="F22" i="3"/>
  <c r="G22" i="3" s="1"/>
  <c r="E22" i="3"/>
  <c r="D22" i="3"/>
  <c r="E18" i="3"/>
  <c r="F18" i="3"/>
  <c r="D18" i="3"/>
  <c r="L36" i="3"/>
  <c r="L35" i="3"/>
  <c r="L34" i="3"/>
  <c r="L32" i="3"/>
  <c r="L31" i="3"/>
  <c r="L30" i="3"/>
  <c r="L29" i="3"/>
  <c r="L28" i="3"/>
  <c r="L27" i="3"/>
  <c r="L26" i="3"/>
  <c r="L25" i="3"/>
  <c r="L24" i="3"/>
  <c r="L23" i="3"/>
  <c r="L21" i="3"/>
  <c r="L20" i="3"/>
  <c r="L19" i="3"/>
  <c r="G34" i="3"/>
  <c r="G35" i="3"/>
  <c r="G36" i="3"/>
  <c r="G16" i="3"/>
  <c r="G17" i="3"/>
  <c r="G18" i="3"/>
  <c r="G19" i="3"/>
  <c r="G20" i="3"/>
  <c r="G21" i="3"/>
  <c r="G23" i="3"/>
  <c r="G24" i="3"/>
  <c r="G25" i="3"/>
  <c r="G26" i="3"/>
  <c r="G28" i="3"/>
  <c r="G29" i="3"/>
  <c r="G30" i="3"/>
  <c r="G31" i="3"/>
  <c r="G15" i="3"/>
  <c r="E21" i="2"/>
  <c r="E22" i="2"/>
  <c r="E23" i="2"/>
  <c r="D24" i="2"/>
  <c r="W78" i="1"/>
  <c r="V78" i="1"/>
  <c r="U78" i="1"/>
  <c r="T78" i="1"/>
  <c r="W60" i="1"/>
  <c r="V60" i="1"/>
  <c r="U60" i="1"/>
  <c r="T60" i="1"/>
  <c r="W48" i="1"/>
  <c r="V48" i="1"/>
  <c r="U48" i="1"/>
  <c r="T48" i="1"/>
  <c r="W35" i="1"/>
  <c r="W81" i="1" s="1"/>
  <c r="V35" i="1"/>
  <c r="V81" i="1" s="1"/>
  <c r="U35" i="1"/>
  <c r="T35" i="1"/>
  <c r="O78" i="1"/>
  <c r="P78" i="1"/>
  <c r="Q78" i="1"/>
  <c r="N78" i="1"/>
  <c r="O60" i="1"/>
  <c r="P60" i="1"/>
  <c r="Q60" i="1"/>
  <c r="N60" i="1"/>
  <c r="P48" i="1"/>
  <c r="Q48" i="1"/>
  <c r="O48" i="1"/>
  <c r="N48" i="1"/>
  <c r="P35" i="1"/>
  <c r="Q35" i="1"/>
  <c r="Q81" i="1" s="1"/>
  <c r="O35" i="1"/>
  <c r="N35" i="1"/>
  <c r="S80" i="1"/>
  <c r="S79" i="1"/>
  <c r="S55" i="1"/>
  <c r="S66" i="1" s="1"/>
  <c r="S54" i="1"/>
  <c r="S65" i="1" s="1"/>
  <c r="S53" i="1"/>
  <c r="X53" i="1" s="1"/>
  <c r="S52" i="1"/>
  <c r="X52" i="1" s="1"/>
  <c r="S51" i="1"/>
  <c r="X51" i="1" s="1"/>
  <c r="S50" i="1"/>
  <c r="X50" i="1" s="1"/>
  <c r="S49" i="1"/>
  <c r="S45" i="1"/>
  <c r="X45" i="1" s="1"/>
  <c r="S44" i="1"/>
  <c r="X44" i="1" s="1"/>
  <c r="S43" i="1"/>
  <c r="X43" i="1" s="1"/>
  <c r="S42" i="1"/>
  <c r="S64" i="1" s="1"/>
  <c r="S41" i="1"/>
  <c r="X41" i="1" s="1"/>
  <c r="S40" i="1"/>
  <c r="S63" i="1" s="1"/>
  <c r="S39" i="1"/>
  <c r="X39" i="1" s="1"/>
  <c r="S37" i="1"/>
  <c r="X37" i="1" s="1"/>
  <c r="S36" i="1"/>
  <c r="D13" i="2" s="1"/>
  <c r="S29" i="1"/>
  <c r="X29" i="1" s="1"/>
  <c r="S28" i="1"/>
  <c r="X28" i="1" s="1"/>
  <c r="S27" i="1"/>
  <c r="S26" i="1"/>
  <c r="S25" i="1"/>
  <c r="X25" i="1" s="1"/>
  <c r="S24" i="1"/>
  <c r="S23" i="1"/>
  <c r="X23" i="1" s="1"/>
  <c r="R25" i="1"/>
  <c r="R26" i="1"/>
  <c r="R27" i="1"/>
  <c r="R28" i="1"/>
  <c r="R29" i="1"/>
  <c r="M36" i="1"/>
  <c r="R36" i="1" s="1"/>
  <c r="M37" i="1"/>
  <c r="R37" i="1" s="1"/>
  <c r="M39" i="1"/>
  <c r="R39" i="1" s="1"/>
  <c r="M40" i="1"/>
  <c r="M41" i="1"/>
  <c r="R41" i="1" s="1"/>
  <c r="M42" i="1"/>
  <c r="M43" i="1"/>
  <c r="R43" i="1" s="1"/>
  <c r="M44" i="1"/>
  <c r="R44" i="1" s="1"/>
  <c r="M45" i="1"/>
  <c r="R45" i="1" s="1"/>
  <c r="M49" i="1"/>
  <c r="M50" i="1"/>
  <c r="R50" i="1" s="1"/>
  <c r="M51" i="1"/>
  <c r="R51" i="1" s="1"/>
  <c r="M52" i="1"/>
  <c r="R52" i="1" s="1"/>
  <c r="M53" i="1"/>
  <c r="R53" i="1" s="1"/>
  <c r="M54" i="1"/>
  <c r="M55" i="1"/>
  <c r="M79" i="1"/>
  <c r="M80" i="1"/>
  <c r="X80" i="1"/>
  <c r="X79" i="1"/>
  <c r="R79" i="1"/>
  <c r="R80" i="1"/>
  <c r="R23" i="1"/>
  <c r="K78" i="1"/>
  <c r="J78" i="1"/>
  <c r="J81" i="1" s="1"/>
  <c r="I78" i="1"/>
  <c r="H78" i="1"/>
  <c r="K60" i="1"/>
  <c r="I60" i="1"/>
  <c r="H60" i="1"/>
  <c r="K48" i="1"/>
  <c r="I48" i="1"/>
  <c r="H48" i="1"/>
  <c r="K35" i="1"/>
  <c r="I35" i="1"/>
  <c r="H35" i="1"/>
  <c r="L80" i="1"/>
  <c r="L79" i="1"/>
  <c r="L55" i="1"/>
  <c r="L54" i="1"/>
  <c r="L53" i="1"/>
  <c r="L52" i="1"/>
  <c r="L51" i="1"/>
  <c r="L50" i="1"/>
  <c r="L45" i="1"/>
  <c r="L44" i="1"/>
  <c r="L43" i="1"/>
  <c r="L42" i="1"/>
  <c r="L41" i="1"/>
  <c r="L40" i="1"/>
  <c r="L39" i="1"/>
  <c r="L37" i="1"/>
  <c r="L36" i="1"/>
  <c r="L29" i="1"/>
  <c r="L28" i="1"/>
  <c r="L27" i="1"/>
  <c r="L26" i="1"/>
  <c r="L25" i="1"/>
  <c r="L24" i="1"/>
  <c r="L23" i="1"/>
  <c r="G36" i="1"/>
  <c r="G37" i="1"/>
  <c r="G39" i="1"/>
  <c r="G40" i="1"/>
  <c r="G41" i="1"/>
  <c r="G42" i="1"/>
  <c r="G43" i="1"/>
  <c r="G44" i="1"/>
  <c r="G45" i="1"/>
  <c r="G50" i="1"/>
  <c r="G51" i="1"/>
  <c r="G52" i="1"/>
  <c r="G53" i="1"/>
  <c r="G54" i="1"/>
  <c r="G55" i="1"/>
  <c r="G79" i="1"/>
  <c r="G80" i="1"/>
  <c r="G24" i="1"/>
  <c r="G25" i="1"/>
  <c r="G26" i="1"/>
  <c r="G27" i="1"/>
  <c r="G28" i="1"/>
  <c r="G29" i="1"/>
  <c r="E78" i="1"/>
  <c r="F78" i="1"/>
  <c r="D78" i="1"/>
  <c r="C78" i="1"/>
  <c r="F60" i="1"/>
  <c r="E60" i="1"/>
  <c r="D60" i="1"/>
  <c r="C60" i="1"/>
  <c r="F48" i="1"/>
  <c r="E48" i="1"/>
  <c r="D48" i="1"/>
  <c r="C48" i="1"/>
  <c r="P81" i="1" l="1"/>
  <c r="M60" i="1"/>
  <c r="R60" i="1" s="1"/>
  <c r="H81" i="1"/>
  <c r="T81" i="1"/>
  <c r="U81" i="1"/>
  <c r="N81" i="1"/>
  <c r="O81" i="1"/>
  <c r="X40" i="1"/>
  <c r="X26" i="1"/>
  <c r="S69" i="1"/>
  <c r="X27" i="1"/>
  <c r="S62" i="1"/>
  <c r="I81" i="1"/>
  <c r="K81" i="1"/>
  <c r="G32" i="3"/>
  <c r="R55" i="1"/>
  <c r="R40" i="1"/>
  <c r="X54" i="1"/>
  <c r="X55" i="1"/>
  <c r="R24" i="1"/>
  <c r="X24" i="1"/>
  <c r="S78" i="1"/>
  <c r="R54" i="1"/>
  <c r="R42" i="1"/>
  <c r="X42" i="1"/>
  <c r="G48" i="1"/>
  <c r="G60" i="1"/>
  <c r="M48" i="1"/>
  <c r="C15" i="2" s="1"/>
  <c r="U26" i="8"/>
  <c r="N22" i="8"/>
  <c r="U22" i="8"/>
  <c r="S22" i="8"/>
  <c r="U15" i="8"/>
  <c r="U18" i="8" s="1"/>
  <c r="N26" i="8"/>
  <c r="N18" i="8"/>
  <c r="L18" i="8"/>
  <c r="L22" i="8"/>
  <c r="L26" i="8"/>
  <c r="E26" i="8"/>
  <c r="G22" i="8"/>
  <c r="G18" i="8"/>
  <c r="G26" i="8"/>
  <c r="E18" i="8"/>
  <c r="D74" i="1"/>
  <c r="S60" i="1"/>
  <c r="D16" i="2" s="1"/>
  <c r="C14" i="2"/>
  <c r="H74" i="1"/>
  <c r="M35" i="1"/>
  <c r="R35" i="1" s="1"/>
  <c r="D14" i="2"/>
  <c r="C74" i="1"/>
  <c r="G78" i="1"/>
  <c r="S48" i="1"/>
  <c r="D15" i="2" s="1"/>
  <c r="X36" i="1"/>
  <c r="C13" i="2"/>
  <c r="E13" i="2" s="1"/>
  <c r="X78" i="1"/>
  <c r="L22" i="3"/>
  <c r="G27" i="3"/>
  <c r="V74" i="1"/>
  <c r="W74" i="1"/>
  <c r="T74" i="1"/>
  <c r="U74" i="1"/>
  <c r="M78" i="1"/>
  <c r="O74" i="1"/>
  <c r="P74" i="1"/>
  <c r="Q74" i="1"/>
  <c r="N74" i="1"/>
  <c r="S35" i="1"/>
  <c r="X35" i="1" s="1"/>
  <c r="I74" i="1"/>
  <c r="F74" i="1"/>
  <c r="L60" i="1"/>
  <c r="E74" i="1"/>
  <c r="L78" i="1"/>
  <c r="K74" i="1"/>
  <c r="L48" i="1"/>
  <c r="L35" i="1"/>
  <c r="C16" i="2" l="1"/>
  <c r="E16" i="2" s="1"/>
  <c r="M81" i="1"/>
  <c r="R81" i="1" s="1"/>
  <c r="S81" i="1"/>
  <c r="X81" i="1" s="1"/>
  <c r="E14" i="2"/>
  <c r="D18" i="2"/>
  <c r="M74" i="1"/>
  <c r="C17" i="2" s="1"/>
  <c r="L74" i="1"/>
  <c r="L81" i="1"/>
  <c r="R48" i="1"/>
  <c r="X60" i="1"/>
  <c r="G74" i="1"/>
  <c r="I33" i="3"/>
  <c r="I37" i="3" s="1"/>
  <c r="L37" i="3" s="1"/>
  <c r="X48" i="1"/>
  <c r="R78" i="1"/>
  <c r="E15" i="2"/>
  <c r="S74" i="1"/>
  <c r="C18" i="2" l="1"/>
  <c r="E18" i="2"/>
  <c r="R74" i="1"/>
  <c r="L33" i="3"/>
  <c r="C24" i="2"/>
  <c r="E20" i="2"/>
  <c r="E24" i="2" s="1"/>
  <c r="X74" i="1"/>
  <c r="D17" i="2"/>
  <c r="C25" i="2" l="1"/>
  <c r="C30" i="2" s="1"/>
  <c r="C33" i="8" s="1"/>
  <c r="E33" i="8" s="1"/>
  <c r="E17" i="2"/>
  <c r="E25" i="2" s="1"/>
  <c r="E30" i="2" s="1"/>
  <c r="G30" i="2" s="1"/>
  <c r="D25" i="2"/>
  <c r="D30" i="2" s="1"/>
  <c r="J33" i="8" s="1"/>
  <c r="C37" i="8" l="1"/>
  <c r="E37" i="8" s="1"/>
  <c r="Q33" i="8"/>
  <c r="J37" i="8"/>
  <c r="L37" i="8" s="1"/>
  <c r="L33" i="8"/>
  <c r="E18" i="7"/>
  <c r="Q37" i="8" l="1"/>
  <c r="S37" i="8" s="1"/>
  <c r="S33" i="8"/>
  <c r="E26" i="7"/>
  <c r="E37" i="7" s="1"/>
  <c r="E34" i="7"/>
  <c r="E35" i="7" l="1"/>
  <c r="E27" i="7"/>
  <c r="C35" i="1"/>
  <c r="E35" i="1"/>
  <c r="E81" i="1" s="1"/>
  <c r="E33" i="3" s="1"/>
  <c r="E37" i="3" s="1"/>
  <c r="G23" i="1"/>
  <c r="D35" i="1"/>
  <c r="D81" i="1" s="1"/>
  <c r="F35" i="1"/>
  <c r="F81" i="1" s="1"/>
  <c r="C81" i="1" l="1"/>
  <c r="G35" i="1"/>
  <c r="D33" i="3" l="1"/>
  <c r="D37" i="3" s="1"/>
  <c r="G37" i="3" s="1"/>
  <c r="E29" i="7"/>
  <c r="G81" i="1"/>
  <c r="G33" i="3" l="1"/>
  <c r="E28" i="7"/>
  <c r="E30" i="7"/>
  <c r="E36" i="7"/>
  <c r="E38" i="7" s="1"/>
  <c r="E39" i="7" s="1"/>
</calcChain>
</file>

<file path=xl/sharedStrings.xml><?xml version="1.0" encoding="utf-8"?>
<sst xmlns="http://schemas.openxmlformats.org/spreadsheetml/2006/main" count="568" uniqueCount="269">
  <si>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</si>
  <si>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</si>
  <si>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</si>
  <si>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</si>
  <si>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</si>
  <si>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t>
    </r>
    <r>
      <rPr>
        <b/>
        <sz val="11"/>
        <color rgb="FFFF0000"/>
        <rFont val="Century Gothic"/>
      </rPr>
      <t>Ameren Illinois</t>
    </r>
    <r>
      <rPr>
        <b/>
        <sz val="11"/>
        <color rgb="FF000000"/>
        <rFont val="Century Gothic"/>
      </rPr>
      <t>] Ex Ante Results - Section 8-103B/8-104 (EEPS) Programs [</t>
    </r>
    <r>
      <rPr>
        <b/>
        <sz val="11"/>
        <color rgb="FFFF0000"/>
        <rFont val="Century Gothic"/>
      </rPr>
      <t>PY2022 Q4</t>
    </r>
    <r>
      <rPr>
        <b/>
        <sz val="11"/>
        <color rgb="FF000000"/>
        <rFont val="Century Gothic"/>
      </rPr>
      <t>]</t>
    </r>
  </si>
  <si>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</si>
  <si>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</si>
  <si>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</si>
  <si>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</si>
  <si>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</si>
  <si>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</si>
  <si>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</si>
  <si>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</si>
  <si>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</si>
  <si>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</si>
  <si>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</si>
  <si>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</si>
  <si>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</si>
  <si>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</si>
  <si>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</si>
  <si>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</si>
  <si>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</si>
  <si>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t>
  </si>
  <si>
    <t>Small Business Direct Install</t>
  </si>
  <si>
    <t>Small Business Energy Performance</t>
  </si>
  <si>
    <t>One Stop Shop for Homeless Facilities</t>
  </si>
  <si>
    <t>Midstream Lighting &amp; HVAC</t>
  </si>
  <si>
    <t>Midstream Food Service</t>
  </si>
  <si>
    <t>Custom</t>
  </si>
  <si>
    <t>Retro-Commissioning</t>
  </si>
  <si>
    <t>Streetlights</t>
  </si>
  <si>
    <t>Business Market Transformation</t>
  </si>
  <si>
    <t>C&amp;I Programs Subtotal</t>
  </si>
  <si>
    <t>C&amp;I Programs - Private Sector Total</t>
  </si>
  <si>
    <t>C&amp;I Programs - Public Sector Total</t>
  </si>
  <si>
    <t>Residential Programs</t>
  </si>
  <si>
    <t>Market Rate Single Family Home Efficiency</t>
  </si>
  <si>
    <t>Market Rate Single Family Midstream HVAC</t>
  </si>
  <si>
    <t>Market Rate Multifamily</t>
  </si>
  <si>
    <t>Direct Distribution Efficient Products Initiative - School Kits</t>
  </si>
  <si>
    <t>Retail Products</t>
  </si>
  <si>
    <t>Residential Market Transformation</t>
  </si>
  <si>
    <t>Public Housing</t>
  </si>
  <si>
    <t>Residential Targeted / Direct Distribution High School Innovation</t>
  </si>
  <si>
    <t>Residential Programs Subtotal</t>
  </si>
  <si>
    <t>Income Qualified Programs</t>
  </si>
  <si>
    <t>IQ CAA</t>
  </si>
  <si>
    <t>IQ Single Family</t>
  </si>
  <si>
    <t>IQ Multifamily</t>
  </si>
  <si>
    <t>IQ Retail Products</t>
  </si>
  <si>
    <t>IQ Community Kits</t>
  </si>
  <si>
    <t>IQ Smart Savers</t>
  </si>
  <si>
    <t>IQ Electrification</t>
  </si>
  <si>
    <t>IQ Manufactured Homes Weatherization and Air Sealing</t>
  </si>
  <si>
    <t>IQ Healthier Homes</t>
  </si>
  <si>
    <t>Income Qualified Programs Subtotal</t>
  </si>
  <si>
    <t>Third Party Programs (Section 8-103B - Beginning in 2019)</t>
  </si>
  <si>
    <t>Smart Home Engagement</t>
  </si>
  <si>
    <t>Advanced Thermostats with TOU</t>
  </si>
  <si>
    <t>Third Party Programs (Section 8-103B - Beginning in 2019) Subtotal</t>
  </si>
  <si>
    <t>Demonstration of Breakthrough Equipment and Devices</t>
  </si>
  <si>
    <t>Demonstration of Breakthrough Equipment and Devices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</si>
  <si>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</si>
  <si>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</si>
  <si>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</si>
  <si>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</si>
  <si>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</si>
  <si>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</si>
  <si>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</si>
  <si>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</si>
  <si>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</si>
  <si>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</si>
  <si>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</si>
  <si>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t>
    </r>
    <r>
      <rPr>
        <b/>
        <sz val="11"/>
        <color rgb="FFFF0000"/>
        <rFont val="Century Gothic"/>
      </rPr>
      <t>Ameren Illinois</t>
    </r>
    <r>
      <rPr>
        <b/>
        <sz val="11"/>
        <color rgb="FF000000"/>
        <rFont val="Century Gothic"/>
      </rPr>
      <t>] Section 8-103B/8-104 (EEPS) Costs [</t>
    </r>
    <r>
      <rPr>
        <b/>
        <sz val="11"/>
        <color rgb="FFFF0000"/>
        <rFont val="Century Gothic"/>
      </rPr>
      <t>PY2022 Q4</t>
    </r>
    <r>
      <rPr>
        <b/>
        <sz val="11"/>
        <color rgb="FF000000"/>
        <rFont val="Century Gothic"/>
      </rPr>
      <t>]</t>
    </r>
  </si>
  <si>
    <t>Section 8-103B/8-104 (EEPS) Cost Category</t>
  </si>
  <si>
    <r>
      <rPr>
        <b/>
        <sz val="10"/>
        <color rgb="FFFF0000"/>
        <rFont val="Century Gothic"/>
        <family val="2"/>
      </rPr>
      <t xml:space="preserve"> </t>
    </r>
    <r>
      <rPr>
        <b/>
        <sz val="10"/>
        <color theme="0"/>
        <rFont val="Century Gothic"/>
        <family val="2"/>
      </rPr>
      <t xml:space="preserve">2022
Actual </t>
    </r>
    <r>
      <rPr>
        <b/>
        <sz val="10"/>
        <color rgb="FF00B050"/>
        <rFont val="Century Gothic"/>
        <family val="2"/>
      </rPr>
      <t>Electric</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</si>
  <si>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 xml:space="preserve">2022
Actual </t>
    </r>
    <r>
      <rPr>
        <b/>
        <sz val="10"/>
        <color rgb="FF00B0F0"/>
        <rFont val="Century Gothic"/>
        <family val="2"/>
      </rPr>
      <t>Gas</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</si>
  <si>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2022
Total Actual Costs YTD</t>
    </r>
  </si>
  <si>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</si>
  <si>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</si>
  <si>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</si>
  <si>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</si>
  <si>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</si>
  <si>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</si>
  <si>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</si>
  <si>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</si>
  <si>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</si>
  <si>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</si>
  <si>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</si>
  <si>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</si>
  <si>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r>
      <rPr>
        <b/>
        <sz val="11"/>
        <color rgb="FF000000"/>
        <rFont val="Century Gothic"/>
      </rPr>
      <t>[</t>
    </r>
    <r>
      <rPr>
        <b/>
        <sz val="11"/>
        <color rgb="FFFF0000"/>
        <rFont val="Century Gothic"/>
      </rPr>
      <t>Ameren Illinois</t>
    </r>
    <r>
      <rPr>
        <b/>
        <sz val="11"/>
        <color rgb="FF000000"/>
        <rFont val="Century Gothic"/>
      </rPr>
      <t>] Section 8-103B/8-104 (EEPS) Costs  [</t>
    </r>
    <r>
      <rPr>
        <b/>
        <sz val="11"/>
        <color rgb="FFFF0000"/>
        <rFont val="Century Gothic"/>
      </rPr>
      <t>PY2022 Q4</t>
    </r>
    <r>
      <rPr>
        <b/>
        <sz val="11"/>
        <color rgb="FF000000"/>
        <rFont val="Century Gothic"/>
      </rPr>
      <t>]</t>
    </r>
  </si>
  <si>
    <t>Overall Total Costs</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</si>
  <si>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</si>
  <si>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</si>
  <si>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</si>
  <si>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000000"/>
        <rFont val="Century Gothic"/>
      </rPr>
      <t>[</t>
    </r>
    <r>
      <rPr>
        <b/>
        <sz val="11"/>
        <color rgb="FFFF0000"/>
        <rFont val="Century Gothic"/>
      </rPr>
      <t>Ameren Illinois</t>
    </r>
    <r>
      <rPr>
        <b/>
        <sz val="11"/>
        <color rgb="FF000000"/>
        <rFont val="Century Gothic"/>
      </rPr>
      <t>] Section 8-103B/8-104 (EEPS) Energy Saved (MWh or therms) as of [</t>
    </r>
    <r>
      <rPr>
        <b/>
        <sz val="11"/>
        <color rgb="FFFF0000"/>
        <rFont val="Century Gothic"/>
      </rPr>
      <t>PY2022 Q4</t>
    </r>
    <r>
      <rPr>
        <b/>
        <sz val="11"/>
        <color rgb="FF000000"/>
        <rFont val="Century Gothic"/>
      </rPr>
      <t>]</t>
    </r>
  </si>
  <si>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</si>
  <si>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</si>
  <si>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</si>
  <si>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</si>
  <si>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</si>
  <si>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</si>
  <si>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</si>
  <si>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</si>
  <si>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</si>
  <si>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</si>
  <si>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</si>
  <si>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</si>
  <si>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</si>
  <si>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</si>
  <si>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</si>
  <si>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</si>
  <si>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</si>
  <si>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</si>
  <si>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</si>
  <si>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</si>
  <si>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</si>
  <si>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</si>
  <si>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</si>
  <si>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</si>
  <si>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</si>
  <si>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NA</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</si>
  <si>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</si>
  <si>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</si>
  <si>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</si>
  <si>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</si>
  <si>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</si>
  <si>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</si>
  <si>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</si>
  <si>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</si>
  <si>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</si>
  <si>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</si>
  <si>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</si>
  <si>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</si>
  <si>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</si>
  <si>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</si>
  <si>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</si>
  <si>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</si>
  <si>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</si>
  <si>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</si>
  <si>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</si>
  <si>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</si>
  <si>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</si>
  <si>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</si>
  <si>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</si>
  <si>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</si>
  <si>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</si>
  <si>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</si>
  <si>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</si>
  <si>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</si>
  <si>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</si>
  <si>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</si>
  <si>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</si>
  <si>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</si>
  <si>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</si>
  <si>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</si>
  <si>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</si>
  <si>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t>
    </r>
    <r>
      <rPr>
        <b/>
        <sz val="11"/>
        <color rgb="FFFF0000"/>
        <rFont val="Century Gothic"/>
      </rPr>
      <t>Ameren Illinois</t>
    </r>
    <r>
      <rPr>
        <b/>
        <sz val="11"/>
        <color rgb="FF000000"/>
        <rFont val="Century Gothic"/>
      </rPr>
      <t>] Service Territory as of [</t>
    </r>
    <r>
      <rPr>
        <b/>
        <sz val="11"/>
        <color rgb="FFFF0000"/>
        <rFont val="Century Gothic"/>
      </rPr>
      <t>PY2022 Q4</t>
    </r>
    <r>
      <rPr>
        <b/>
        <sz val="11"/>
        <color rgb="FF000000"/>
        <rFont val="Century Gothic"/>
      </rPr>
      <t>]</t>
    </r>
  </si>
  <si>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</si>
  <si>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</si>
  <si>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</si>
  <si>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</si>
  <si>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</si>
  <si>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</si>
  <si>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</si>
  <si>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</si>
  <si>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</si>
  <si>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</si>
  <si>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</si>
  <si>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</si>
  <si>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</si>
  <si>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</si>
  <si>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</si>
  <si>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</si>
  <si>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</si>
  <si>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</si>
  <si>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</si>
  <si>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</si>
  <si>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</si>
  <si>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</si>
  <si>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</si>
  <si>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t>
    </r>
    <r>
      <rPr>
        <b/>
        <sz val="11"/>
        <color rgb="FFFF0000"/>
        <rFont val="Century Gothic"/>
      </rPr>
      <t>Ameren Illinois</t>
    </r>
    <r>
      <rPr>
        <b/>
        <sz val="11"/>
        <color rgb="FF000000"/>
        <rFont val="Century Gothic"/>
      </rPr>
      <t>] CPAS and AAIG Progress Ex Ante Results - Section 8-103B Portfolio [</t>
    </r>
    <r>
      <rPr>
        <b/>
        <sz val="11"/>
        <color rgb="FFFF0000"/>
        <rFont val="Century Gothic"/>
      </rPr>
      <t>PY2022 Q4</t>
    </r>
    <r>
      <rPr>
        <b/>
        <sz val="11"/>
        <color rgb="FF000000"/>
        <rFont val="Century Gothic"/>
      </rPr>
      <t>]</t>
    </r>
  </si>
  <si>
    <t>Cumulative Persisting Annual Savings (CPAS) Goal Progress [PY2022 Q3]</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</si>
  <si>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</si>
  <si>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</si>
  <si>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</si>
  <si>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</si>
  <si>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</si>
  <si>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</si>
  <si>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</si>
  <si>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</si>
  <si>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</si>
  <si>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</si>
  <si>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</si>
  <si>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</si>
  <si>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</si>
  <si>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</si>
  <si>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</si>
  <si>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</si>
  <si>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</si>
  <si>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</si>
  <si>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</si>
  <si>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</si>
  <si>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</si>
  <si>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</si>
  <si>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</si>
  <si>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</si>
  <si>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</si>
  <si>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</si>
  <si>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</si>
  <si>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</si>
  <si>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</si>
  <si>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</si>
  <si>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</si>
  <si>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</si>
  <si>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</si>
  <si>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</si>
  <si>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</si>
  <si>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</si>
  <si>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</si>
  <si>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</si>
  <si>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</si>
  <si>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</si>
  <si>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</si>
  <si>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</si>
  <si>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</si>
  <si>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</si>
  <si>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</si>
  <si>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</si>
  <si>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</si>
  <si>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</si>
  <si>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</si>
  <si>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</si>
  <si>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</si>
  <si>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</si>
  <si>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</si>
  <si>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</si>
  <si>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</si>
  <si>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</si>
  <si>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</si>
  <si>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</si>
  <si>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</si>
  <si>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</si>
  <si>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</si>
  <si>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</si>
  <si>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</si>
  <si>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</si>
  <si>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</si>
  <si>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t>
    </r>
    <r>
      <rPr>
        <b/>
        <sz val="11"/>
        <color rgb="FFFF0000"/>
        <rFont val="Century Gothic"/>
      </rPr>
      <t>Ameren Illinois</t>
    </r>
    <r>
      <rPr>
        <b/>
        <sz val="11"/>
        <color rgb="FF000000"/>
        <rFont val="Century Gothic"/>
      </rPr>
      <t>] Service Territory Historical Energy Efficiency Costs as of [</t>
    </r>
    <r>
      <rPr>
        <b/>
        <sz val="11"/>
        <color rgb="FFFF0000"/>
        <rFont val="Century Gothic"/>
      </rPr>
      <t>PY2022 Q4</t>
    </r>
    <r>
      <rPr>
        <b/>
        <sz val="11"/>
        <color rgb="FF000000"/>
        <rFont val="Century Gothic"/>
      </rPr>
      <t>]</t>
    </r>
  </si>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</sst>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s>
  <fonts count="46">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b/>
      <sz val="11"/>
      <color rgb="FF000000"/>
      <name val="Century Gothic"/>
    </font>
    <font>
      <b/>
      <sz val="11"/>
      <color rgb="FFFF0000"/>
      <name val="Century Gothic"/>
    </font>
    <font>
      <b/>
      <sz val="11"/>
      <color theme="1"/>
      <name val="Century Gothic"/>
    </font>
    <font>
      <b/>
      <sz val="11"/>
      <name val="Century Gothic"/>
    </font>
    <font>
      <sz val="7"/>
      <color theme="1"/>
      <name val="Times New Roman"/>
      <charset val="1"/>
    </font>
    <font>
      <sz val="11"/>
      <color rgb="FF444444"/>
      <name val="Calibri"/>
      <family val="2"/>
      <charset val="1"/>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7">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60">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2" fillId="3" borderId="1" xfId="1" applyNumberFormat="1" applyFont="1" applyFill="1" applyBorder="1" applyAlignment="1">
      <alignment horizontal="center" wrapText="1"/>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6" borderId="1" xfId="1" applyNumberFormat="1" applyFont="1" applyFill="1" applyBorder="1" applyAlignment="1">
      <alignment horizontal="center"/>
    </xf>
    <xf numFmtId="165" fontId="4" fillId="5" borderId="23" xfId="1" applyNumberFormat="1" applyFont="1" applyFill="1" applyBorder="1" applyAlignment="1">
      <alignment horizontal="left" vertical="center" wrapText="1"/>
    </xf>
    <xf numFmtId="165" fontId="4" fillId="5" borderId="24" xfId="1" applyNumberFormat="1" applyFont="1" applyFill="1" applyBorder="1" applyAlignment="1">
      <alignment horizontal="center" vertical="center"/>
    </xf>
    <xf numFmtId="165" fontId="2" fillId="3" borderId="1" xfId="1" applyNumberFormat="1" applyFont="1" applyFill="1" applyBorder="1" applyAlignment="1">
      <alignment horizont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4" fillId="5" borderId="23" xfId="2" applyFont="1" applyFill="1" applyBorder="1" applyAlignment="1">
      <alignment horizontal="left" vertical="center" wrapText="1"/>
    </xf>
    <xf numFmtId="44" fontId="2" fillId="3" borderId="1" xfId="2" applyFont="1" applyFill="1" applyBorder="1" applyAlignment="1">
      <alignment horizontal="center"/>
    </xf>
    <xf numFmtId="44" fontId="3" fillId="6" borderId="1" xfId="2" applyFont="1" applyFill="1" applyBorder="1" applyAlignment="1">
      <alignment horizontal="center"/>
    </xf>
    <xf numFmtId="44" fontId="4" fillId="6" borderId="1" xfId="2" applyFont="1" applyFill="1" applyBorder="1" applyAlignment="1">
      <alignment horizontal="center"/>
    </xf>
    <xf numFmtId="44" fontId="4" fillId="5" borderId="24" xfId="2" applyFont="1" applyFill="1" applyBorder="1" applyAlignment="1">
      <alignment horizontal="center" vertical="center"/>
    </xf>
    <xf numFmtId="0" fontId="17" fillId="2" borderId="21" xfId="0" applyFont="1" applyFill="1" applyBorder="1" applyAlignment="1">
      <alignment horizontal="center" vertical="center" wrapText="1"/>
    </xf>
    <xf numFmtId="44" fontId="2" fillId="3" borderId="21" xfId="2" applyFont="1" applyFill="1" applyBorder="1" applyAlignment="1">
      <alignment horizontal="center"/>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9" fillId="10" borderId="0" xfId="0" applyFont="1" applyFill="1"/>
    <xf numFmtId="165" fontId="2" fillId="10" borderId="21" xfId="1" applyNumberFormat="1" applyFont="1" applyFill="1" applyBorder="1" applyAlignment="1">
      <alignment horizontal="center" vertical="center" wrapText="1"/>
    </xf>
    <xf numFmtId="165" fontId="2" fillId="10" borderId="1" xfId="1" applyNumberFormat="1" applyFont="1" applyFill="1" applyBorder="1" applyAlignment="1">
      <alignment horizontal="center" wrapText="1"/>
    </xf>
    <xf numFmtId="10" fontId="2" fillId="10" borderId="22" xfId="4" applyNumberFormat="1" applyFont="1" applyFill="1" applyBorder="1" applyAlignment="1">
      <alignment horizontal="center" wrapText="1"/>
    </xf>
    <xf numFmtId="165" fontId="2" fillId="10" borderId="21" xfId="1"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30" fillId="10" borderId="0" xfId="0" applyFont="1" applyFill="1"/>
    <xf numFmtId="165" fontId="2" fillId="10" borderId="21" xfId="1" applyNumberFormat="1" applyFont="1" applyFill="1" applyBorder="1" applyAlignment="1">
      <alignment horizontal="left" wrapText="1"/>
    </xf>
    <xf numFmtId="165" fontId="2" fillId="10" borderId="21" xfId="1" applyNumberFormat="1" applyFont="1" applyFill="1" applyBorder="1" applyAlignment="1">
      <alignment horizontal="center"/>
    </xf>
    <xf numFmtId="165" fontId="2" fillId="10" borderId="1" xfId="1" applyNumberFormat="1" applyFont="1" applyFill="1" applyBorder="1" applyAlignment="1">
      <alignment horizontal="center"/>
    </xf>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65" fontId="31" fillId="10" borderId="21" xfId="1" applyNumberFormat="1" applyFont="1" applyFill="1" applyBorder="1" applyAlignment="1">
      <alignment horizontal="left" wrapText="1"/>
    </xf>
    <xf numFmtId="165" fontId="31" fillId="10" borderId="1" xfId="1" applyNumberFormat="1" applyFont="1" applyFill="1" applyBorder="1" applyAlignment="1">
      <alignment horizontal="left" wrapText="1"/>
    </xf>
    <xf numFmtId="10" fontId="31" fillId="10" borderId="22" xfId="4" applyNumberFormat="1" applyFont="1" applyFill="1" applyBorder="1" applyAlignment="1">
      <alignment horizontal="center"/>
    </xf>
    <xf numFmtId="44" fontId="31" fillId="10" borderId="1" xfId="2" applyFont="1" applyFill="1" applyBorder="1" applyAlignment="1">
      <alignment horizontal="left" wrapText="1"/>
    </xf>
    <xf numFmtId="0" fontId="32" fillId="10" borderId="0" xfId="0" applyFont="1" applyFill="1"/>
    <xf numFmtId="165" fontId="2" fillId="10" borderId="21" xfId="1" applyNumberFormat="1" applyFont="1" applyFill="1" applyBorder="1" applyAlignment="1">
      <alignment horizontal="left"/>
    </xf>
    <xf numFmtId="165" fontId="2" fillId="10" borderId="17" xfId="1" applyNumberFormat="1" applyFont="1" applyFill="1" applyBorder="1" applyAlignment="1">
      <alignment horizontal="left"/>
    </xf>
    <xf numFmtId="165" fontId="2" fillId="10" borderId="13" xfId="1" applyNumberFormat="1" applyFont="1" applyFill="1" applyBorder="1" applyAlignment="1">
      <alignment horizontal="center"/>
    </xf>
    <xf numFmtId="10" fontId="2" fillId="10" borderId="18" xfId="4" applyNumberFormat="1" applyFont="1" applyFill="1" applyBorder="1" applyAlignment="1">
      <alignment horizontal="center"/>
    </xf>
    <xf numFmtId="44" fontId="2" fillId="10" borderId="13" xfId="2" applyFont="1" applyFill="1" applyBorder="1" applyAlignment="1">
      <alignment horizontal="center"/>
    </xf>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65" fontId="3" fillId="12" borderId="19" xfId="1" applyNumberFormat="1" applyFont="1" applyFill="1" applyBorder="1" applyAlignment="1">
      <alignment vertical="center" wrapText="1"/>
    </xf>
    <xf numFmtId="165" fontId="3" fillId="12" borderId="9" xfId="1" applyNumberFormat="1" applyFont="1" applyFill="1" applyBorder="1" applyAlignment="1">
      <alignment vertical="center" wrapText="1"/>
    </xf>
    <xf numFmtId="10" fontId="3" fillId="12" borderId="20" xfId="4" applyNumberFormat="1" applyFont="1" applyFill="1" applyBorder="1" applyAlignment="1">
      <alignment vertical="center" wrapText="1"/>
    </xf>
    <xf numFmtId="165" fontId="3" fillId="12" borderId="28" xfId="1" applyNumberFormat="1" applyFont="1" applyFill="1" applyBorder="1" applyAlignment="1">
      <alignment vertical="center" wrapText="1"/>
    </xf>
    <xf numFmtId="165" fontId="3" fillId="12" borderId="4" xfId="1"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65" fontId="33" fillId="6" borderId="21" xfId="1" applyNumberFormat="1" applyFont="1" applyFill="1" applyBorder="1" applyAlignment="1">
      <alignment horizontal="left"/>
    </xf>
    <xf numFmtId="165" fontId="33" fillId="6" borderId="1" xfId="1" applyNumberFormat="1" applyFont="1" applyFill="1" applyBorder="1" applyAlignment="1">
      <alignment horizontal="center"/>
    </xf>
    <xf numFmtId="10" fontId="33" fillId="6" borderId="22" xfId="4" applyNumberFormat="1" applyFont="1" applyFill="1" applyBorder="1" applyAlignment="1">
      <alignment horizontal="center"/>
    </xf>
    <xf numFmtId="44" fontId="33" fillId="6" borderId="21" xfId="2" applyFont="1" applyFill="1" applyBorder="1" applyAlignment="1">
      <alignment horizontal="left"/>
    </xf>
    <xf numFmtId="44" fontId="33" fillId="6" borderId="1" xfId="2" applyFont="1" applyFill="1" applyBorder="1" applyAlignment="1">
      <alignment horizontal="center"/>
    </xf>
    <xf numFmtId="10" fontId="2" fillId="10" borderId="6" xfId="4" applyNumberFormat="1"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3"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1" fillId="10" borderId="1" xfId="0" applyFont="1" applyFill="1" applyBorder="1" applyAlignment="1">
      <alignment vertical="center"/>
    </xf>
    <xf numFmtId="44" fontId="31" fillId="10" borderId="1" xfId="2" applyFont="1" applyFill="1" applyBorder="1" applyAlignment="1">
      <alignment vertical="center"/>
    </xf>
    <xf numFmtId="44" fontId="31" fillId="10" borderId="13" xfId="2" applyFont="1" applyFill="1" applyBorder="1" applyAlignment="1">
      <alignment vertical="center"/>
    </xf>
    <xf numFmtId="0" fontId="7" fillId="10" borderId="13" xfId="0" applyFont="1" applyFill="1" applyBorder="1" applyAlignment="1">
      <alignment horizontal="left" vertical="center" wrapText="1"/>
    </xf>
    <xf numFmtId="44" fontId="7" fillId="10" borderId="13" xfId="2" applyFont="1" applyFill="1" applyBorder="1" applyAlignment="1">
      <alignment horizontal="left" vertical="center"/>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1" fillId="3" borderId="33" xfId="0" applyFont="1" applyFill="1" applyBorder="1" applyAlignment="1">
      <alignment horizontal="right" wrapText="1"/>
    </xf>
    <xf numFmtId="0" fontId="3" fillId="4" borderId="33" xfId="0" applyFont="1" applyFill="1" applyBorder="1" applyAlignment="1">
      <alignment vertical="center" wrapText="1"/>
    </xf>
    <xf numFmtId="167" fontId="31" fillId="10" borderId="33" xfId="1" applyNumberFormat="1" applyFont="1" applyFill="1" applyBorder="1" applyAlignment="1">
      <alignment horizontal="left" wrapText="1"/>
    </xf>
    <xf numFmtId="0" fontId="2" fillId="10" borderId="46"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2"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5" fillId="10" borderId="0" xfId="0" applyFont="1" applyFill="1"/>
    <xf numFmtId="0" fontId="25" fillId="10" borderId="0" xfId="0" applyFont="1" applyFill="1" applyAlignment="1">
      <alignment horizontal="center"/>
    </xf>
    <xf numFmtId="0" fontId="23" fillId="10" borderId="0" xfId="0" applyFont="1" applyFill="1"/>
    <xf numFmtId="0" fontId="24" fillId="10" borderId="0" xfId="0" applyFont="1" applyFill="1"/>
    <xf numFmtId="0" fontId="26" fillId="10" borderId="8" xfId="0" applyFont="1" applyFill="1" applyBorder="1" applyAlignment="1">
      <alignment vertical="center"/>
    </xf>
    <xf numFmtId="0" fontId="26" fillId="10" borderId="9" xfId="0" applyFont="1" applyFill="1" applyBorder="1" applyAlignment="1">
      <alignment vertical="center"/>
    </xf>
    <xf numFmtId="0" fontId="26" fillId="10" borderId="10" xfId="0" applyFont="1" applyFill="1" applyBorder="1" applyAlignment="1">
      <alignment vertical="center"/>
    </xf>
    <xf numFmtId="0" fontId="9" fillId="11" borderId="2" xfId="0" applyFont="1" applyFill="1" applyBorder="1" applyAlignment="1">
      <alignment horizontal="left" vertical="top"/>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6"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0" fontId="9" fillId="11" borderId="2" xfId="0" applyFont="1" applyFill="1" applyBorder="1" applyAlignment="1">
      <alignment horizontal="right" vertical="top"/>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165" fontId="31" fillId="10" borderId="10" xfId="1" applyNumberFormat="1" applyFont="1" applyFill="1" applyBorder="1" applyAlignment="1">
      <alignment horizontal="left" wrapText="1"/>
    </xf>
    <xf numFmtId="165" fontId="2" fillId="10" borderId="10" xfId="1" applyNumberFormat="1" applyFont="1" applyFill="1" applyBorder="1" applyAlignment="1">
      <alignment horizontal="center"/>
    </xf>
    <xf numFmtId="44" fontId="31" fillId="10" borderId="10" xfId="2" applyFont="1" applyFill="1" applyBorder="1" applyAlignment="1">
      <alignment horizontal="left" wrapText="1"/>
    </xf>
    <xf numFmtId="44" fontId="2" fillId="10" borderId="10" xfId="2" applyFont="1" applyFill="1" applyBorder="1" applyAlignment="1">
      <alignment horizontal="left" wrapText="1"/>
    </xf>
    <xf numFmtId="44" fontId="2" fillId="0" borderId="21" xfId="2" applyFont="1" applyFill="1" applyBorder="1" applyAlignment="1">
      <alignment horizontal="center"/>
    </xf>
    <xf numFmtId="0" fontId="42" fillId="10" borderId="0" xfId="0" applyFont="1" applyFill="1" applyAlignment="1">
      <alignment horizontal="left" vertical="center"/>
    </xf>
    <xf numFmtId="0" fontId="42" fillId="10" borderId="0" xfId="0" applyFont="1" applyFill="1"/>
    <xf numFmtId="0" fontId="42" fillId="10" borderId="0" xfId="0" applyFont="1" applyFill="1" applyAlignment="1">
      <alignment vertical="center"/>
    </xf>
    <xf numFmtId="0" fontId="43" fillId="10" borderId="0" xfId="0" applyFont="1" applyFill="1" applyAlignment="1">
      <alignment vertical="center"/>
    </xf>
    <xf numFmtId="0" fontId="43" fillId="10" borderId="0" xfId="0" applyFont="1" applyFill="1"/>
    <xf numFmtId="165" fontId="7" fillId="8" borderId="1" xfId="1" applyNumberFormat="1" applyFont="1" applyFill="1" applyBorder="1" applyAlignment="1">
      <alignment horizontal="center"/>
    </xf>
    <xf numFmtId="165" fontId="4" fillId="6" borderId="21" xfId="1" applyNumberFormat="1" applyFont="1" applyFill="1" applyBorder="1" applyAlignment="1">
      <alignment horizontal="left"/>
    </xf>
    <xf numFmtId="165" fontId="2" fillId="3" borderId="21" xfId="1" applyNumberFormat="1" applyFont="1" applyFill="1" applyBorder="1" applyAlignment="1">
      <alignment horizontal="left" wrapText="1"/>
    </xf>
    <xf numFmtId="165" fontId="2" fillId="3" borderId="21" xfId="1" applyNumberFormat="1" applyFont="1" applyFill="1" applyBorder="1" applyAlignment="1">
      <alignment horizontal="center"/>
    </xf>
    <xf numFmtId="0" fontId="44" fillId="0" borderId="0" xfId="0" applyFont="1"/>
    <xf numFmtId="0" fontId="45" fillId="0" borderId="0" xfId="0" quotePrefix="1" applyFont="1"/>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8" fillId="10" borderId="8" xfId="0" applyFont="1" applyFill="1" applyBorder="1" applyAlignment="1">
      <alignment horizontal="right" vertical="center"/>
    </xf>
    <xf numFmtId="0" fontId="28" fillId="10" borderId="10" xfId="0" applyFont="1" applyFill="1" applyBorder="1" applyAlignment="1">
      <alignment horizontal="right" vertical="center"/>
    </xf>
    <xf numFmtId="0" fontId="26" fillId="10" borderId="8" xfId="0" applyFont="1" applyFill="1" applyBorder="1" applyAlignment="1">
      <alignment horizontal="left" vertical="center"/>
    </xf>
    <xf numFmtId="0" fontId="26" fillId="10" borderId="10" xfId="0" applyFont="1" applyFill="1" applyBorder="1" applyAlignment="1">
      <alignment horizontal="left" vertical="center"/>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3.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8"/>
  <sheetViews>
    <sheetView tabSelected="1" topLeftCell="A18" zoomScale="85" zoomScaleNormal="85" workbookViewId="0">
      <pane xSplit="2" ySplit="4" topLeftCell="Q57" activePane="bottomRight" state="frozen"/>
      <selection pane="bottomRight" activeCell="W65" sqref="W65"/>
      <selection pane="bottomLeft" activeCell="A22" sqref="A22"/>
      <selection pane="topRight" activeCell="C18" sqref="C18"/>
    </sheetView>
  </sheetViews>
  <sheetFormatPr defaultColWidth="9.140625" defaultRowHeight="15"/>
  <cols>
    <col min="1" max="1" width="2.85546875" style="61" customWidth="1"/>
    <col min="2" max="2" width="64.7109375" style="61" customWidth="1"/>
    <col min="3" max="12" width="17.7109375" style="61" customWidth="1"/>
    <col min="13" max="24" width="19.28515625" style="61" customWidth="1"/>
    <col min="25" max="16384" width="9.140625" style="61"/>
  </cols>
  <sheetData>
    <row r="1" spans="2:24">
      <c r="B1" s="62" t="s">
        <v>0</v>
      </c>
      <c r="C1" s="62"/>
    </row>
    <row r="2" spans="2:24">
      <c r="B2" s="62" t="s">
        <v>1</v>
      </c>
      <c r="C2" s="62"/>
    </row>
    <row r="3" spans="2:24">
      <c r="B3" s="62" t="s">
        <v>2</v>
      </c>
      <c r="C3" s="62"/>
    </row>
    <row r="4" spans="2:24">
      <c r="B4" s="62"/>
      <c r="C4" s="62"/>
    </row>
    <row r="5" spans="2:24" ht="42" customHeight="1">
      <c r="B5" s="290" t="s">
        <v>3</v>
      </c>
      <c r="C5" s="291"/>
      <c r="D5" s="291"/>
      <c r="E5" s="291"/>
      <c r="F5" s="291"/>
      <c r="G5" s="291"/>
      <c r="H5" s="291"/>
      <c r="I5" s="291"/>
      <c r="J5" s="291"/>
      <c r="K5" s="291"/>
      <c r="L5" s="291"/>
      <c r="M5" s="291"/>
      <c r="N5" s="291"/>
      <c r="O5" s="291"/>
      <c r="P5" s="291"/>
      <c r="Q5" s="291"/>
      <c r="R5" s="291"/>
      <c r="S5" s="291"/>
      <c r="T5" s="291"/>
      <c r="U5" s="291"/>
      <c r="V5" s="291"/>
      <c r="W5" s="291"/>
      <c r="X5" s="292"/>
    </row>
    <row r="6" spans="2:24" ht="23.1" customHeight="1">
      <c r="B6" s="293"/>
      <c r="C6" s="294"/>
      <c r="D6" s="294"/>
      <c r="E6" s="294"/>
      <c r="F6" s="294"/>
      <c r="G6" s="294"/>
      <c r="H6" s="294"/>
      <c r="I6" s="294"/>
      <c r="J6" s="294"/>
      <c r="K6" s="294"/>
      <c r="L6" s="294"/>
      <c r="M6" s="294"/>
      <c r="N6" s="294"/>
      <c r="O6" s="294"/>
      <c r="P6" s="294"/>
      <c r="Q6" s="294"/>
      <c r="R6" s="294"/>
      <c r="S6" s="294"/>
      <c r="T6" s="294"/>
      <c r="U6" s="294"/>
      <c r="V6" s="294"/>
      <c r="W6" s="294"/>
      <c r="X6" s="295"/>
    </row>
    <row r="7" spans="2:24">
      <c r="B7" s="101"/>
      <c r="C7" s="62"/>
    </row>
    <row r="8" spans="2:24" ht="14.45" customHeight="1">
      <c r="B8" s="296" t="s">
        <v>4</v>
      </c>
      <c r="C8" s="296"/>
      <c r="D8" s="296"/>
      <c r="E8" s="296"/>
      <c r="F8" s="296"/>
      <c r="G8" s="296"/>
      <c r="H8" s="296"/>
      <c r="I8" s="296"/>
      <c r="J8" s="296"/>
      <c r="K8" s="296"/>
      <c r="L8" s="296"/>
      <c r="M8" s="296"/>
      <c r="N8" s="296"/>
      <c r="O8" s="296"/>
      <c r="P8" s="296"/>
      <c r="Q8" s="296"/>
      <c r="R8" s="296"/>
      <c r="S8" s="296"/>
      <c r="T8" s="296"/>
      <c r="U8" s="296"/>
      <c r="V8" s="296"/>
      <c r="W8" s="296"/>
      <c r="X8" s="296"/>
    </row>
    <row r="9" spans="2:24" ht="12.6" customHeight="1">
      <c r="B9" s="296"/>
      <c r="C9" s="296"/>
      <c r="D9" s="296"/>
      <c r="E9" s="296"/>
      <c r="F9" s="296"/>
      <c r="G9" s="296"/>
      <c r="H9" s="296"/>
      <c r="I9" s="296"/>
      <c r="J9" s="296"/>
      <c r="K9" s="296"/>
      <c r="L9" s="296"/>
      <c r="M9" s="296"/>
      <c r="N9" s="296"/>
      <c r="O9" s="296"/>
      <c r="P9" s="296"/>
      <c r="Q9" s="296"/>
      <c r="R9" s="296"/>
      <c r="S9" s="296"/>
      <c r="T9" s="296"/>
      <c r="U9" s="296"/>
      <c r="V9" s="296"/>
      <c r="W9" s="296"/>
      <c r="X9" s="296"/>
    </row>
    <row r="10" spans="2:24" ht="15" customHeight="1">
      <c r="B10" s="296"/>
      <c r="C10" s="296"/>
      <c r="D10" s="296"/>
      <c r="E10" s="296"/>
      <c r="F10" s="296"/>
      <c r="G10" s="296"/>
      <c r="H10" s="296"/>
      <c r="I10" s="296"/>
      <c r="J10" s="296"/>
      <c r="K10" s="296"/>
      <c r="L10" s="296"/>
      <c r="M10" s="296"/>
      <c r="N10" s="296"/>
      <c r="O10" s="296"/>
      <c r="P10" s="296"/>
      <c r="Q10" s="296"/>
      <c r="R10" s="296"/>
      <c r="S10" s="296"/>
      <c r="T10" s="296"/>
      <c r="U10" s="296"/>
      <c r="V10" s="296"/>
      <c r="W10" s="296"/>
      <c r="X10" s="296"/>
    </row>
    <row r="11" spans="2:24" ht="15" customHeight="1">
      <c r="B11" s="296"/>
      <c r="C11" s="296"/>
      <c r="D11" s="296"/>
      <c r="E11" s="296"/>
      <c r="F11" s="296"/>
      <c r="G11" s="296"/>
      <c r="H11" s="296"/>
      <c r="I11" s="296"/>
      <c r="J11" s="296"/>
      <c r="K11" s="296"/>
      <c r="L11" s="296"/>
      <c r="M11" s="296"/>
      <c r="N11" s="296"/>
      <c r="O11" s="296"/>
      <c r="P11" s="296"/>
      <c r="Q11" s="296"/>
      <c r="R11" s="296"/>
      <c r="S11" s="296"/>
      <c r="T11" s="296"/>
      <c r="U11" s="296"/>
      <c r="V11" s="296"/>
      <c r="W11" s="296"/>
      <c r="X11" s="296"/>
    </row>
    <row r="12" spans="2:24" ht="15" customHeight="1">
      <c r="B12" s="296"/>
      <c r="C12" s="296"/>
      <c r="D12" s="296"/>
      <c r="E12" s="296"/>
      <c r="F12" s="296"/>
      <c r="G12" s="296"/>
      <c r="H12" s="296"/>
      <c r="I12" s="296"/>
      <c r="J12" s="296"/>
      <c r="K12" s="296"/>
      <c r="L12" s="296"/>
      <c r="M12" s="296"/>
      <c r="N12" s="296"/>
      <c r="O12" s="296"/>
      <c r="P12" s="296"/>
      <c r="Q12" s="296"/>
      <c r="R12" s="296"/>
      <c r="S12" s="296"/>
      <c r="T12" s="296"/>
      <c r="U12" s="296"/>
      <c r="V12" s="296"/>
      <c r="W12" s="296"/>
      <c r="X12" s="296"/>
    </row>
    <row r="13" spans="2:24" ht="15" customHeight="1">
      <c r="B13" s="296"/>
      <c r="C13" s="296"/>
      <c r="D13" s="296"/>
      <c r="E13" s="296"/>
      <c r="F13" s="296"/>
      <c r="G13" s="296"/>
      <c r="H13" s="296"/>
      <c r="I13" s="296"/>
      <c r="J13" s="296"/>
      <c r="K13" s="296"/>
      <c r="L13" s="296"/>
      <c r="M13" s="296"/>
      <c r="N13" s="296"/>
      <c r="O13" s="296"/>
      <c r="P13" s="296"/>
      <c r="Q13" s="296"/>
      <c r="R13" s="296"/>
      <c r="S13" s="296"/>
      <c r="T13" s="296"/>
      <c r="U13" s="296"/>
      <c r="V13" s="296"/>
      <c r="W13" s="296"/>
      <c r="X13" s="296"/>
    </row>
    <row r="14" spans="2:24" ht="17.45" customHeight="1">
      <c r="B14" s="296"/>
      <c r="C14" s="296"/>
      <c r="D14" s="296"/>
      <c r="E14" s="296"/>
      <c r="F14" s="296"/>
      <c r="G14" s="296"/>
      <c r="H14" s="296"/>
      <c r="I14" s="296"/>
      <c r="J14" s="296"/>
      <c r="K14" s="296"/>
      <c r="L14" s="296"/>
      <c r="M14" s="296"/>
      <c r="N14" s="296"/>
      <c r="O14" s="296"/>
      <c r="P14" s="296"/>
      <c r="Q14" s="296"/>
      <c r="R14" s="296"/>
      <c r="S14" s="296"/>
      <c r="T14" s="296"/>
      <c r="U14" s="296"/>
      <c r="V14" s="296"/>
      <c r="W14" s="296"/>
      <c r="X14" s="296"/>
    </row>
    <row r="15" spans="2:24" ht="17.45" customHeight="1">
      <c r="B15" s="296"/>
      <c r="C15" s="296"/>
      <c r="D15" s="296"/>
      <c r="E15" s="296"/>
      <c r="F15" s="296"/>
      <c r="G15" s="296"/>
      <c r="H15" s="296"/>
      <c r="I15" s="296"/>
      <c r="J15" s="296"/>
      <c r="K15" s="296"/>
      <c r="L15" s="296"/>
      <c r="M15" s="296"/>
      <c r="N15" s="296"/>
      <c r="O15" s="296"/>
      <c r="P15" s="296"/>
      <c r="Q15" s="296"/>
      <c r="R15" s="296"/>
      <c r="S15" s="296"/>
      <c r="T15" s="296"/>
      <c r="U15" s="296"/>
      <c r="V15" s="296"/>
      <c r="W15" s="296"/>
      <c r="X15" s="296"/>
    </row>
    <row r="16" spans="2:24" ht="44.1" customHeight="1">
      <c r="B16" s="296"/>
      <c r="C16" s="296"/>
      <c r="D16" s="296"/>
      <c r="E16" s="296"/>
      <c r="F16" s="296"/>
      <c r="G16" s="296"/>
      <c r="H16" s="296"/>
      <c r="I16" s="296"/>
      <c r="J16" s="296"/>
      <c r="K16" s="296"/>
      <c r="L16" s="296"/>
      <c r="M16" s="296"/>
      <c r="N16" s="296"/>
      <c r="O16" s="296"/>
      <c r="P16" s="296"/>
      <c r="Q16" s="296"/>
      <c r="R16" s="296"/>
      <c r="S16" s="296"/>
      <c r="T16" s="296"/>
      <c r="U16" s="296"/>
      <c r="V16" s="296"/>
      <c r="W16" s="296"/>
      <c r="X16" s="296"/>
    </row>
    <row r="17" spans="2:24" ht="17.45" customHeight="1">
      <c r="B17" s="75"/>
      <c r="C17" s="75"/>
      <c r="D17" s="75"/>
      <c r="E17" s="75"/>
      <c r="F17" s="75"/>
      <c r="G17" s="75"/>
      <c r="H17" s="75"/>
      <c r="I17" s="75"/>
      <c r="J17" s="75"/>
      <c r="K17" s="75"/>
      <c r="L17" s="75"/>
      <c r="M17" s="75"/>
      <c r="N17" s="75"/>
      <c r="O17" s="75"/>
      <c r="P17" s="75"/>
      <c r="Q17" s="75"/>
      <c r="R17" s="75"/>
      <c r="S17" s="75"/>
      <c r="T17" s="75"/>
      <c r="U17" s="75"/>
      <c r="V17" s="75"/>
      <c r="W17" s="75"/>
      <c r="X17" s="75"/>
    </row>
    <row r="18" spans="2:24" ht="17.45" customHeight="1">
      <c r="B18" s="278" t="s">
        <v>5</v>
      </c>
      <c r="C18" s="75"/>
      <c r="D18" s="75"/>
      <c r="E18" s="75"/>
      <c r="F18" s="75"/>
      <c r="G18" s="75"/>
      <c r="H18" s="75"/>
      <c r="I18" s="75"/>
      <c r="J18" s="75"/>
      <c r="K18" s="75"/>
      <c r="L18" s="75"/>
      <c r="M18" s="75"/>
      <c r="N18" s="75"/>
      <c r="O18" s="75"/>
      <c r="P18" s="75"/>
      <c r="Q18" s="75"/>
      <c r="R18" s="75"/>
      <c r="S18" s="75"/>
      <c r="T18" s="75"/>
      <c r="U18" s="75"/>
      <c r="V18" s="75"/>
      <c r="W18" s="75"/>
      <c r="X18" s="75"/>
    </row>
    <row r="19" spans="2:24" ht="17.45" customHeight="1" thickBot="1">
      <c r="B19" s="102"/>
      <c r="C19" s="75"/>
      <c r="D19" s="75"/>
      <c r="E19" s="75"/>
      <c r="F19" s="75"/>
      <c r="G19" s="75"/>
      <c r="H19" s="75"/>
      <c r="I19" s="75"/>
      <c r="J19" s="75"/>
      <c r="K19" s="75"/>
      <c r="L19" s="75"/>
      <c r="M19" s="75"/>
      <c r="N19" s="75"/>
      <c r="O19" s="75"/>
      <c r="P19" s="75"/>
      <c r="Q19" s="75"/>
      <c r="R19" s="75"/>
      <c r="S19" s="75"/>
      <c r="T19" s="75"/>
      <c r="U19" s="75"/>
      <c r="V19" s="75"/>
      <c r="W19" s="75"/>
      <c r="X19" s="75"/>
    </row>
    <row r="20" spans="2:24" ht="16.350000000000001" customHeight="1" thickBot="1">
      <c r="B20" s="75"/>
      <c r="C20" s="309" t="s">
        <v>6</v>
      </c>
      <c r="D20" s="310"/>
      <c r="E20" s="310"/>
      <c r="F20" s="310"/>
      <c r="G20" s="310"/>
      <c r="H20" s="309" t="s">
        <v>7</v>
      </c>
      <c r="I20" s="310"/>
      <c r="J20" s="310"/>
      <c r="K20" s="310"/>
      <c r="L20" s="311"/>
      <c r="M20" s="309" t="s">
        <v>8</v>
      </c>
      <c r="N20" s="310"/>
      <c r="O20" s="310"/>
      <c r="P20" s="310"/>
      <c r="Q20" s="310"/>
      <c r="R20" s="311"/>
      <c r="S20" s="309" t="s">
        <v>9</v>
      </c>
      <c r="T20" s="310"/>
      <c r="U20" s="310"/>
      <c r="V20" s="310"/>
      <c r="W20" s="310"/>
      <c r="X20" s="311"/>
    </row>
    <row r="21" spans="2:24" s="103" customFormat="1" ht="76.5">
      <c r="B21" s="185" t="s">
        <v>10</v>
      </c>
      <c r="C21" s="11" t="s">
        <v>11</v>
      </c>
      <c r="D21" s="10" t="s">
        <v>12</v>
      </c>
      <c r="E21" s="10" t="s">
        <v>13</v>
      </c>
      <c r="F21" s="10" t="s">
        <v>14</v>
      </c>
      <c r="G21" s="184" t="s">
        <v>15</v>
      </c>
      <c r="H21" s="30" t="s">
        <v>11</v>
      </c>
      <c r="I21" s="4" t="s">
        <v>12</v>
      </c>
      <c r="J21" s="4" t="s">
        <v>13</v>
      </c>
      <c r="K21" s="4" t="s">
        <v>14</v>
      </c>
      <c r="L21" s="267" t="s">
        <v>15</v>
      </c>
      <c r="M21" s="268" t="s">
        <v>16</v>
      </c>
      <c r="N21" s="269" t="s">
        <v>17</v>
      </c>
      <c r="O21" s="269" t="s">
        <v>18</v>
      </c>
      <c r="P21" s="269" t="s">
        <v>19</v>
      </c>
      <c r="Q21" s="269" t="s">
        <v>20</v>
      </c>
      <c r="R21" s="254" t="s">
        <v>21</v>
      </c>
      <c r="S21" s="268" t="s">
        <v>16</v>
      </c>
      <c r="T21" s="269" t="s">
        <v>17</v>
      </c>
      <c r="U21" s="269" t="s">
        <v>18</v>
      </c>
      <c r="V21" s="269" t="s">
        <v>19</v>
      </c>
      <c r="W21" s="269" t="s">
        <v>20</v>
      </c>
      <c r="X21" s="254" t="s">
        <v>21</v>
      </c>
    </row>
    <row r="22" spans="2:24" s="104" customFormat="1" ht="15.6" customHeight="1">
      <c r="B22" s="186" t="s">
        <v>22</v>
      </c>
      <c r="C22" s="144"/>
      <c r="D22" s="145"/>
      <c r="E22" s="145"/>
      <c r="F22" s="145"/>
      <c r="G22" s="145"/>
      <c r="H22" s="144"/>
      <c r="I22" s="145"/>
      <c r="J22" s="145"/>
      <c r="K22" s="145"/>
      <c r="L22" s="145"/>
      <c r="M22" s="144"/>
      <c r="N22" s="145"/>
      <c r="O22" s="145"/>
      <c r="P22" s="145"/>
      <c r="Q22" s="145"/>
      <c r="R22" s="146"/>
      <c r="S22" s="144"/>
      <c r="T22" s="145"/>
      <c r="U22" s="145"/>
      <c r="V22" s="145"/>
      <c r="W22" s="145"/>
      <c r="X22" s="146"/>
    </row>
    <row r="23" spans="2:24" s="111" customFormat="1">
      <c r="B23" s="187" t="s">
        <v>23</v>
      </c>
      <c r="C23" s="105">
        <v>38921</v>
      </c>
      <c r="D23" s="106">
        <v>52525.411579540712</v>
      </c>
      <c r="E23" s="106">
        <v>52525.411579540712</v>
      </c>
      <c r="F23" s="106">
        <v>42968</v>
      </c>
      <c r="G23" s="153">
        <f>IF(F23=0,"NA",C23/F23)</f>
        <v>0.90581362874697446</v>
      </c>
      <c r="H23" s="108">
        <v>781957.41979522188</v>
      </c>
      <c r="I23" s="106">
        <v>104212.48587815792</v>
      </c>
      <c r="J23" s="106">
        <v>155291</v>
      </c>
      <c r="K23" s="106">
        <v>601177</v>
      </c>
      <c r="L23" s="153">
        <f>IF(K23=0,"NA",H23/K23)</f>
        <v>1.3007108052956482</v>
      </c>
      <c r="M23" s="109">
        <f>SUM(N23:O23)</f>
        <v>9416097.6837802529</v>
      </c>
      <c r="N23" s="110">
        <v>6296359.1899999995</v>
      </c>
      <c r="O23" s="110">
        <v>3119738.4937802525</v>
      </c>
      <c r="P23" s="110">
        <v>11805344.643487353</v>
      </c>
      <c r="Q23" s="110">
        <v>10238479.630000001</v>
      </c>
      <c r="R23" s="107">
        <f>IF(Q23=0,"NA",(M23/Q23))</f>
        <v>0.91967733726694456</v>
      </c>
      <c r="S23" s="109">
        <f>SUM(T23:U23)</f>
        <v>2031991.4441699944</v>
      </c>
      <c r="T23" s="110">
        <v>1644321.9499999997</v>
      </c>
      <c r="U23" s="110">
        <v>387669.49416999472</v>
      </c>
      <c r="V23" s="110">
        <v>1121242.706850695</v>
      </c>
      <c r="W23" s="110">
        <v>1320674.0500000003</v>
      </c>
      <c r="X23" s="107">
        <f>IF(W23=0,"NA",(S23/W23))</f>
        <v>1.5386017800304277</v>
      </c>
    </row>
    <row r="24" spans="2:24" s="111" customFormat="1">
      <c r="B24" s="187" t="s">
        <v>24</v>
      </c>
      <c r="C24" s="105">
        <v>68400</v>
      </c>
      <c r="D24" s="106">
        <v>52281.561319490211</v>
      </c>
      <c r="E24" s="106">
        <v>52281.561319490211</v>
      </c>
      <c r="F24" s="106">
        <v>71035</v>
      </c>
      <c r="G24" s="153">
        <f t="shared" ref="G24:G81" si="0">IF(F24=0,"NA",C24/F24)</f>
        <v>0.96290560991060747</v>
      </c>
      <c r="H24" s="108">
        <v>0</v>
      </c>
      <c r="I24" s="106">
        <v>51652.611408098004</v>
      </c>
      <c r="J24" s="106">
        <v>0</v>
      </c>
      <c r="K24" s="106">
        <v>0</v>
      </c>
      <c r="L24" s="153" t="str">
        <f t="shared" ref="L24:L81" si="1">IF(K24=0,"NA",H24/K24)</f>
        <v>NA</v>
      </c>
      <c r="M24" s="109">
        <f>SUM(N24:O24)</f>
        <v>18576034.188119199</v>
      </c>
      <c r="N24" s="110">
        <v>13088064.119999995</v>
      </c>
      <c r="O24" s="110">
        <v>5487970.0681192027</v>
      </c>
      <c r="P24" s="110">
        <v>18255362.973646011</v>
      </c>
      <c r="Q24" s="110">
        <v>19556533.600000001</v>
      </c>
      <c r="R24" s="107">
        <f t="shared" ref="R24:R81" si="2">IF(Q24=0,"NA",(M24/Q24))</f>
        <v>0.94986333304585213</v>
      </c>
      <c r="S24" s="109">
        <f t="shared" ref="S24:S80" si="3">SUM(T24:U24)</f>
        <v>0</v>
      </c>
      <c r="T24" s="110">
        <v>0</v>
      </c>
      <c r="U24" s="110">
        <v>0</v>
      </c>
      <c r="V24" s="110">
        <v>0</v>
      </c>
      <c r="W24" s="110">
        <v>0</v>
      </c>
      <c r="X24" s="107" t="str">
        <f t="shared" ref="X24:X81" si="4">IF(W24=0,"NA",(S24/W24))</f>
        <v>NA</v>
      </c>
    </row>
    <row r="25" spans="2:24" s="111" customFormat="1">
      <c r="B25" s="187" t="s">
        <v>25</v>
      </c>
      <c r="C25" s="105">
        <v>88</v>
      </c>
      <c r="D25" s="106">
        <v>875.37042393210334</v>
      </c>
      <c r="E25" s="106">
        <v>875.37042393210334</v>
      </c>
      <c r="F25" s="106">
        <v>792</v>
      </c>
      <c r="G25" s="153">
        <f t="shared" si="0"/>
        <v>0.1111111111111111</v>
      </c>
      <c r="H25" s="108">
        <v>20546.296928327643</v>
      </c>
      <c r="I25" s="106">
        <v>76649.707654204496</v>
      </c>
      <c r="J25" s="106">
        <v>71888</v>
      </c>
      <c r="K25" s="106">
        <v>96130</v>
      </c>
      <c r="L25" s="153">
        <f t="shared" si="1"/>
        <v>0.21373449420917137</v>
      </c>
      <c r="M25" s="109">
        <f t="shared" ref="M25:M32" si="5">SUM(N25:O25)</f>
        <v>164766.73572396272</v>
      </c>
      <c r="N25" s="110">
        <v>84691.48</v>
      </c>
      <c r="O25" s="110">
        <v>80075.255723962735</v>
      </c>
      <c r="P25" s="110">
        <v>283001.30729999999</v>
      </c>
      <c r="Q25" s="110">
        <v>403499.94999999995</v>
      </c>
      <c r="R25" s="107">
        <f t="shared" si="2"/>
        <v>0.4083438813907232</v>
      </c>
      <c r="S25" s="109">
        <f t="shared" si="3"/>
        <v>259927.45208784795</v>
      </c>
      <c r="T25" s="110">
        <v>157707.48000000001</v>
      </c>
      <c r="U25" s="110">
        <v>102219.97208784794</v>
      </c>
      <c r="V25" s="110">
        <v>265083.91773586336</v>
      </c>
      <c r="W25" s="110">
        <v>365048.81</v>
      </c>
      <c r="X25" s="107">
        <f t="shared" si="4"/>
        <v>0.71203478813654519</v>
      </c>
    </row>
    <row r="26" spans="2:24" s="111" customFormat="1">
      <c r="B26" s="187" t="s">
        <v>26</v>
      </c>
      <c r="C26" s="105">
        <v>0</v>
      </c>
      <c r="D26" s="106">
        <v>341.7</v>
      </c>
      <c r="E26" s="106">
        <v>341.7</v>
      </c>
      <c r="F26" s="106">
        <v>0</v>
      </c>
      <c r="G26" s="153" t="str">
        <f t="shared" si="0"/>
        <v>NA</v>
      </c>
      <c r="H26" s="108">
        <v>0</v>
      </c>
      <c r="I26" s="106">
        <v>960</v>
      </c>
      <c r="J26" s="106">
        <v>960</v>
      </c>
      <c r="K26" s="106">
        <v>0</v>
      </c>
      <c r="L26" s="153" t="str">
        <f t="shared" si="1"/>
        <v>NA</v>
      </c>
      <c r="M26" s="109">
        <f t="shared" si="5"/>
        <v>0</v>
      </c>
      <c r="N26" s="110">
        <v>0</v>
      </c>
      <c r="O26" s="110">
        <v>0</v>
      </c>
      <c r="P26" s="110">
        <v>30000.000000000004</v>
      </c>
      <c r="Q26" s="110">
        <v>0</v>
      </c>
      <c r="R26" s="107" t="str">
        <f t="shared" si="2"/>
        <v>NA</v>
      </c>
      <c r="S26" s="109">
        <f t="shared" si="3"/>
        <v>0</v>
      </c>
      <c r="T26" s="110">
        <v>0</v>
      </c>
      <c r="U26" s="110">
        <v>0</v>
      </c>
      <c r="V26" s="110">
        <v>1848.9817641561558</v>
      </c>
      <c r="W26" s="110">
        <v>0</v>
      </c>
      <c r="X26" s="107" t="str">
        <f t="shared" si="4"/>
        <v>NA</v>
      </c>
    </row>
    <row r="27" spans="2:24" s="111" customFormat="1">
      <c r="B27" s="187" t="s">
        <v>27</v>
      </c>
      <c r="C27" s="105">
        <v>27786</v>
      </c>
      <c r="D27" s="106">
        <v>21072.030436437475</v>
      </c>
      <c r="E27" s="106">
        <v>21072.030436437475</v>
      </c>
      <c r="F27" s="106">
        <v>32617</v>
      </c>
      <c r="G27" s="153">
        <f t="shared" si="0"/>
        <v>0.85188705276389609</v>
      </c>
      <c r="H27" s="108">
        <v>32350.38466</v>
      </c>
      <c r="I27" s="106">
        <v>12820</v>
      </c>
      <c r="J27" s="106">
        <v>90290</v>
      </c>
      <c r="K27" s="106">
        <v>25190</v>
      </c>
      <c r="L27" s="153">
        <f t="shared" si="1"/>
        <v>1.2842550480349344</v>
      </c>
      <c r="M27" s="109">
        <f t="shared" si="5"/>
        <v>3704474.5165265799</v>
      </c>
      <c r="N27" s="110">
        <v>2381146.5</v>
      </c>
      <c r="O27" s="110">
        <v>1323328.0165265796</v>
      </c>
      <c r="P27" s="110">
        <v>4013370.9401345178</v>
      </c>
      <c r="Q27" s="110">
        <v>6425801.0900000008</v>
      </c>
      <c r="R27" s="107">
        <f t="shared" si="2"/>
        <v>0.5765000292790855</v>
      </c>
      <c r="S27" s="109">
        <f t="shared" si="3"/>
        <v>86519.939999999988</v>
      </c>
      <c r="T27" s="110">
        <f>13304</f>
        <v>13304</v>
      </c>
      <c r="U27" s="110">
        <f>72468.93+747.01</f>
        <v>73215.939999999988</v>
      </c>
      <c r="V27" s="110">
        <v>113154.31</v>
      </c>
      <c r="W27" s="110">
        <v>124668.5</v>
      </c>
      <c r="X27" s="107">
        <f t="shared" si="4"/>
        <v>0.69400000802127226</v>
      </c>
    </row>
    <row r="28" spans="2:24" s="111" customFormat="1">
      <c r="B28" s="187" t="s">
        <v>28</v>
      </c>
      <c r="C28" s="105">
        <v>610</v>
      </c>
      <c r="D28" s="106">
        <v>455.21012527680375</v>
      </c>
      <c r="E28" s="106">
        <v>455.21012527680375</v>
      </c>
      <c r="F28" s="106">
        <v>455</v>
      </c>
      <c r="G28" s="153">
        <f t="shared" si="0"/>
        <v>1.3406593406593406</v>
      </c>
      <c r="H28" s="108">
        <v>26241</v>
      </c>
      <c r="I28" s="106">
        <v>77453</v>
      </c>
      <c r="J28" s="106">
        <v>0</v>
      </c>
      <c r="K28" s="106">
        <v>77453</v>
      </c>
      <c r="L28" s="153">
        <f t="shared" si="1"/>
        <v>0.3387990135953417</v>
      </c>
      <c r="M28" s="109">
        <f t="shared" si="5"/>
        <v>138885.06</v>
      </c>
      <c r="N28" s="110">
        <v>86251</v>
      </c>
      <c r="O28" s="110">
        <v>52634.06</v>
      </c>
      <c r="P28" s="110">
        <v>103918.25</v>
      </c>
      <c r="Q28" s="110">
        <v>103918</v>
      </c>
      <c r="R28" s="107">
        <f t="shared" si="2"/>
        <v>1.3364870378567717</v>
      </c>
      <c r="S28" s="109">
        <f t="shared" si="3"/>
        <v>44786.865039096549</v>
      </c>
      <c r="T28" s="110">
        <v>38509</v>
      </c>
      <c r="U28" s="110">
        <v>6277.8650390965486</v>
      </c>
      <c r="V28" s="110">
        <v>154510.57</v>
      </c>
      <c r="W28" s="110">
        <v>159656.38</v>
      </c>
      <c r="X28" s="107">
        <f t="shared" si="4"/>
        <v>0.28052035903041611</v>
      </c>
    </row>
    <row r="29" spans="2:24" s="111" customFormat="1">
      <c r="B29" s="187" t="s">
        <v>29</v>
      </c>
      <c r="C29" s="105">
        <v>23310</v>
      </c>
      <c r="D29" s="106">
        <v>49189.909100799996</v>
      </c>
      <c r="E29" s="106">
        <v>49189.909100799996</v>
      </c>
      <c r="F29" s="106">
        <v>38028</v>
      </c>
      <c r="G29" s="153">
        <f t="shared" si="0"/>
        <v>0.61296939097507097</v>
      </c>
      <c r="H29" s="108">
        <v>1819597.2832764506</v>
      </c>
      <c r="I29" s="106">
        <v>874038</v>
      </c>
      <c r="J29" s="106">
        <v>745051</v>
      </c>
      <c r="K29" s="106">
        <v>1591666</v>
      </c>
      <c r="L29" s="153">
        <f t="shared" si="1"/>
        <v>1.14320296046812</v>
      </c>
      <c r="M29" s="109">
        <f t="shared" si="5"/>
        <v>9571948.5142989308</v>
      </c>
      <c r="N29" s="110">
        <v>5793915.0699999947</v>
      </c>
      <c r="O29" s="110">
        <v>3778033.444298937</v>
      </c>
      <c r="P29" s="110">
        <v>16400356.275400545</v>
      </c>
      <c r="Q29" s="110">
        <v>13775510.780000001</v>
      </c>
      <c r="R29" s="107">
        <f t="shared" si="2"/>
        <v>0.69485252976579137</v>
      </c>
      <c r="S29" s="109">
        <f t="shared" si="3"/>
        <v>2797652.0926206694</v>
      </c>
      <c r="T29" s="110">
        <v>1597033.1900000002</v>
      </c>
      <c r="U29" s="110">
        <v>1200618.9026206692</v>
      </c>
      <c r="V29" s="110">
        <v>2290896.23</v>
      </c>
      <c r="W29" s="110">
        <v>3211130.9200000004</v>
      </c>
      <c r="X29" s="107">
        <f t="shared" si="4"/>
        <v>0.8712357615804307</v>
      </c>
    </row>
    <row r="30" spans="2:24" s="111" customFormat="1">
      <c r="B30" s="187" t="s">
        <v>30</v>
      </c>
      <c r="C30" s="105">
        <v>5126</v>
      </c>
      <c r="D30" s="106">
        <v>4743.0000000000009</v>
      </c>
      <c r="E30" s="106">
        <v>4743.0000000000009</v>
      </c>
      <c r="F30" s="106">
        <v>5784</v>
      </c>
      <c r="G30" s="153">
        <f t="shared" si="0"/>
        <v>0.88623789764868599</v>
      </c>
      <c r="H30" s="108">
        <v>48618</v>
      </c>
      <c r="I30" s="106">
        <v>52000</v>
      </c>
      <c r="J30" s="106">
        <v>59610</v>
      </c>
      <c r="K30" s="106">
        <v>190478</v>
      </c>
      <c r="L30" s="153">
        <f t="shared" si="1"/>
        <v>0.25524207520028558</v>
      </c>
      <c r="M30" s="109">
        <f t="shared" si="5"/>
        <v>1375825.5645968865</v>
      </c>
      <c r="N30" s="110">
        <v>149739.22</v>
      </c>
      <c r="O30" s="110">
        <v>1226086.3445968865</v>
      </c>
      <c r="P30" s="110">
        <v>1453882.23</v>
      </c>
      <c r="Q30" s="110">
        <v>1379720.69</v>
      </c>
      <c r="R30" s="107">
        <f t="shared" si="2"/>
        <v>0.99717687396344445</v>
      </c>
      <c r="S30" s="109">
        <f t="shared" si="3"/>
        <v>347761.87837982504</v>
      </c>
      <c r="T30" s="110">
        <v>52769.65</v>
      </c>
      <c r="U30" s="110">
        <v>294992.22837982501</v>
      </c>
      <c r="V30" s="110">
        <v>553147.6</v>
      </c>
      <c r="W30" s="110">
        <v>597146.16</v>
      </c>
      <c r="X30" s="107">
        <f t="shared" si="4"/>
        <v>0.5823731301894749</v>
      </c>
    </row>
    <row r="31" spans="2:24" s="111" customFormat="1">
      <c r="B31" s="187" t="s">
        <v>31</v>
      </c>
      <c r="C31" s="105">
        <v>23088</v>
      </c>
      <c r="D31" s="106">
        <v>15130.25674009901</v>
      </c>
      <c r="E31" s="106">
        <v>15130.25674009901</v>
      </c>
      <c r="F31" s="106">
        <v>19950</v>
      </c>
      <c r="G31" s="153">
        <f t="shared" si="0"/>
        <v>1.1572932330827068</v>
      </c>
      <c r="H31" s="108">
        <v>0</v>
      </c>
      <c r="I31" s="106">
        <v>0</v>
      </c>
      <c r="J31" s="106">
        <v>0</v>
      </c>
      <c r="K31" s="106">
        <v>0</v>
      </c>
      <c r="L31" s="153" t="str">
        <f t="shared" si="1"/>
        <v>NA</v>
      </c>
      <c r="M31" s="109">
        <f t="shared" si="5"/>
        <v>1291482.3101354749</v>
      </c>
      <c r="N31" s="110">
        <v>1210072.4300000002</v>
      </c>
      <c r="O31" s="110">
        <v>81409.880135474785</v>
      </c>
      <c r="P31" s="110">
        <v>1518055.23</v>
      </c>
      <c r="Q31" s="110">
        <v>1451456.6600000001</v>
      </c>
      <c r="R31" s="107">
        <f t="shared" si="2"/>
        <v>0.88978358481298003</v>
      </c>
      <c r="S31" s="109">
        <f t="shared" si="3"/>
        <v>0</v>
      </c>
      <c r="T31" s="110">
        <v>0</v>
      </c>
      <c r="U31" s="110">
        <v>0</v>
      </c>
      <c r="V31" s="110">
        <v>0</v>
      </c>
      <c r="W31" s="110">
        <v>0</v>
      </c>
      <c r="X31" s="107" t="str">
        <f t="shared" si="4"/>
        <v>NA</v>
      </c>
    </row>
    <row r="32" spans="2:24" s="111" customFormat="1">
      <c r="B32" s="187" t="s">
        <v>32</v>
      </c>
      <c r="C32" s="105">
        <v>0</v>
      </c>
      <c r="D32" s="106">
        <v>268.99700000000001</v>
      </c>
      <c r="E32" s="106">
        <v>268.99700000000001</v>
      </c>
      <c r="F32" s="106">
        <v>269</v>
      </c>
      <c r="G32" s="153">
        <f t="shared" si="0"/>
        <v>0</v>
      </c>
      <c r="H32" s="108">
        <v>0</v>
      </c>
      <c r="I32" s="106">
        <v>0</v>
      </c>
      <c r="J32" s="106">
        <v>0</v>
      </c>
      <c r="K32" s="106">
        <v>0</v>
      </c>
      <c r="L32" s="153" t="str">
        <f t="shared" si="1"/>
        <v>NA</v>
      </c>
      <c r="M32" s="109">
        <f t="shared" si="5"/>
        <v>550703.82639999979</v>
      </c>
      <c r="N32" s="110">
        <v>31265.1</v>
      </c>
      <c r="O32" s="110">
        <v>519438.72639999981</v>
      </c>
      <c r="P32" s="110">
        <v>240650</v>
      </c>
      <c r="Q32" s="110">
        <v>621163.05999999994</v>
      </c>
      <c r="R32" s="107">
        <f t="shared" si="2"/>
        <v>0.88656886067886886</v>
      </c>
      <c r="S32" s="109">
        <f t="shared" si="3"/>
        <v>70668.612800000046</v>
      </c>
      <c r="T32" s="110"/>
      <c r="U32" s="110">
        <v>70668.612800000046</v>
      </c>
      <c r="V32" s="110">
        <v>0</v>
      </c>
      <c r="W32" s="110">
        <v>70664.639999999999</v>
      </c>
      <c r="X32" s="107">
        <f t="shared" si="4"/>
        <v>1.0000562204802861</v>
      </c>
    </row>
    <row r="33" spans="2:24" s="111" customFormat="1">
      <c r="B33" s="187"/>
      <c r="C33" s="105"/>
      <c r="D33" s="106"/>
      <c r="E33" s="106"/>
      <c r="F33" s="106"/>
      <c r="G33" s="153"/>
      <c r="H33" s="108"/>
      <c r="I33" s="106"/>
      <c r="J33" s="106"/>
      <c r="K33" s="106"/>
      <c r="L33" s="153"/>
      <c r="M33" s="109"/>
      <c r="N33" s="110"/>
      <c r="O33" s="110"/>
      <c r="P33" s="110"/>
      <c r="Q33" s="110"/>
      <c r="R33" s="107"/>
      <c r="S33" s="109"/>
      <c r="T33" s="110"/>
      <c r="U33" s="110"/>
      <c r="V33" s="110"/>
      <c r="W33" s="110"/>
      <c r="X33" s="107"/>
    </row>
    <row r="34" spans="2:24" s="111" customFormat="1">
      <c r="B34" s="187"/>
      <c r="C34" s="112"/>
      <c r="D34" s="106"/>
      <c r="E34" s="106"/>
      <c r="F34" s="106"/>
      <c r="G34" s="153"/>
      <c r="H34" s="113"/>
      <c r="I34" s="114"/>
      <c r="J34" s="114"/>
      <c r="K34" s="114"/>
      <c r="L34" s="153"/>
      <c r="M34" s="115"/>
      <c r="N34" s="116"/>
      <c r="O34" s="116"/>
      <c r="P34" s="116"/>
      <c r="Q34" s="116"/>
      <c r="R34" s="107"/>
      <c r="S34" s="115"/>
      <c r="T34" s="116"/>
      <c r="U34" s="116"/>
      <c r="V34" s="116"/>
      <c r="W34" s="116"/>
      <c r="X34" s="107"/>
    </row>
    <row r="35" spans="2:24" s="104" customFormat="1">
      <c r="B35" s="188" t="s">
        <v>33</v>
      </c>
      <c r="C35" s="17">
        <f>SUM(C23:C34)</f>
        <v>187329</v>
      </c>
      <c r="D35" s="18">
        <f>SUM(D23:D34)</f>
        <v>196883.44672557633</v>
      </c>
      <c r="E35" s="18">
        <f>SUM(E23:E34)</f>
        <v>196883.44672557633</v>
      </c>
      <c r="F35" s="18">
        <f>SUM(F23:F34)</f>
        <v>211898</v>
      </c>
      <c r="G35" s="154">
        <f t="shared" si="0"/>
        <v>0.8840527046031581</v>
      </c>
      <c r="H35" s="17">
        <f>SUM(H23:H34)</f>
        <v>2729310.38466</v>
      </c>
      <c r="I35" s="18">
        <f>SUM(I23:I34)</f>
        <v>1249785.8049404605</v>
      </c>
      <c r="J35" s="18">
        <f>SUM(J23:J34)</f>
        <v>1123090</v>
      </c>
      <c r="K35" s="18">
        <f>SUM(K23:K34)</f>
        <v>2582094</v>
      </c>
      <c r="L35" s="154">
        <f t="shared" ref="L35" si="6">IF(K35=0,"NA",H35/K35)</f>
        <v>1.0570143397800389</v>
      </c>
      <c r="M35" s="23">
        <f t="shared" ref="M35:M80" si="7">SUM(N35:O35)</f>
        <v>44790218.399581283</v>
      </c>
      <c r="N35" s="27">
        <f>SUM(N23:N34)</f>
        <v>29121504.109999992</v>
      </c>
      <c r="O35" s="27">
        <f>SUM(O23:O34)</f>
        <v>15668714.289581295</v>
      </c>
      <c r="P35" s="27">
        <f>SUM(P23:P34)</f>
        <v>54103941.849968418</v>
      </c>
      <c r="Q35" s="27">
        <f>SUM(Q23:Q34)</f>
        <v>53956083.460000008</v>
      </c>
      <c r="R35" s="13">
        <f t="shared" si="2"/>
        <v>0.83012360288874976</v>
      </c>
      <c r="S35" s="23">
        <f t="shared" si="3"/>
        <v>5639308.2850974333</v>
      </c>
      <c r="T35" s="27">
        <f>SUM(T23:T34)</f>
        <v>3503645.27</v>
      </c>
      <c r="U35" s="27">
        <f>SUM(U23:U34)</f>
        <v>2135663.0150974337</v>
      </c>
      <c r="V35" s="27">
        <f>SUM(V23:V34)</f>
        <v>4499884.3163507143</v>
      </c>
      <c r="W35" s="27">
        <f>SUM(W23:W34)</f>
        <v>5848989.46</v>
      </c>
      <c r="X35" s="13">
        <f t="shared" si="4"/>
        <v>0.9641508714733491</v>
      </c>
    </row>
    <row r="36" spans="2:24">
      <c r="B36" s="189" t="s">
        <v>34</v>
      </c>
      <c r="C36" s="285">
        <v>157055</v>
      </c>
      <c r="D36" s="16">
        <v>162409.00336152985</v>
      </c>
      <c r="E36" s="16">
        <v>162409.00336152985</v>
      </c>
      <c r="F36" s="16">
        <v>170865</v>
      </c>
      <c r="G36" s="155">
        <f t="shared" si="0"/>
        <v>0.91917595762736659</v>
      </c>
      <c r="H36" s="286">
        <v>2532839.38466</v>
      </c>
      <c r="I36" s="22">
        <v>930721.80494046048</v>
      </c>
      <c r="J36" s="22">
        <v>1408388</v>
      </c>
      <c r="K36" s="22">
        <v>2167555</v>
      </c>
      <c r="L36" s="155">
        <f t="shared" si="1"/>
        <v>1.1685236982037364</v>
      </c>
      <c r="M36" s="31">
        <f t="shared" si="7"/>
        <v>37118335.449581288</v>
      </c>
      <c r="N36" s="26">
        <v>24105315.769999992</v>
      </c>
      <c r="O36" s="26">
        <v>13013019.679581296</v>
      </c>
      <c r="P36" s="26">
        <v>46196527.121114522</v>
      </c>
      <c r="Q36" s="26">
        <v>45006393.902197458</v>
      </c>
      <c r="R36" s="12">
        <f t="shared" si="2"/>
        <v>0.82473471503276707</v>
      </c>
      <c r="S36" s="31">
        <f t="shared" si="3"/>
        <v>3795370.2350974339</v>
      </c>
      <c r="T36" s="26">
        <v>2381161.3200000003</v>
      </c>
      <c r="U36" s="26">
        <v>1414208.9150974336</v>
      </c>
      <c r="V36" s="26">
        <v>3085142.0782404458</v>
      </c>
      <c r="W36" s="26">
        <v>3004677.229488234</v>
      </c>
      <c r="X36" s="12">
        <f t="shared" si="4"/>
        <v>1.2631540578965526</v>
      </c>
    </row>
    <row r="37" spans="2:24">
      <c r="B37" s="189" t="s">
        <v>35</v>
      </c>
      <c r="C37" s="285">
        <v>30274</v>
      </c>
      <c r="D37" s="16">
        <v>34474.443364046485</v>
      </c>
      <c r="E37" s="16">
        <v>34474.443364046485</v>
      </c>
      <c r="F37" s="16">
        <v>41033</v>
      </c>
      <c r="G37" s="155">
        <f t="shared" si="0"/>
        <v>0.7377964077693564</v>
      </c>
      <c r="H37" s="286">
        <v>196471</v>
      </c>
      <c r="I37" s="22">
        <v>319064</v>
      </c>
      <c r="J37" s="22">
        <v>487782</v>
      </c>
      <c r="K37" s="22">
        <v>414539</v>
      </c>
      <c r="L37" s="155">
        <f t="shared" si="1"/>
        <v>0.4739505812480852</v>
      </c>
      <c r="M37" s="31">
        <f t="shared" si="7"/>
        <v>7671882.9499999993</v>
      </c>
      <c r="N37" s="26">
        <v>5016188.34</v>
      </c>
      <c r="O37" s="26">
        <v>2655694.61</v>
      </c>
      <c r="P37" s="26">
        <v>7907414.7288538972</v>
      </c>
      <c r="Q37" s="26">
        <v>8949689.5578025524</v>
      </c>
      <c r="R37" s="12">
        <f t="shared" si="2"/>
        <v>0.85722335958697793</v>
      </c>
      <c r="S37" s="31">
        <f t="shared" si="3"/>
        <v>1843938.0499999998</v>
      </c>
      <c r="T37" s="26">
        <v>1122483.95</v>
      </c>
      <c r="U37" s="26">
        <v>721454.1</v>
      </c>
      <c r="V37" s="26">
        <v>1412893.2568542052</v>
      </c>
      <c r="W37" s="26">
        <v>2004786.1605117654</v>
      </c>
      <c r="X37" s="12">
        <f t="shared" si="4"/>
        <v>0.91976794648726745</v>
      </c>
    </row>
    <row r="38" spans="2:24" s="104" customFormat="1" ht="15.6" customHeight="1">
      <c r="B38" s="190" t="s">
        <v>36</v>
      </c>
      <c r="C38" s="137"/>
      <c r="D38" s="138"/>
      <c r="E38" s="138"/>
      <c r="F38" s="138"/>
      <c r="G38" s="156"/>
      <c r="H38" s="140"/>
      <c r="I38" s="141"/>
      <c r="J38" s="138"/>
      <c r="K38" s="138"/>
      <c r="L38" s="156"/>
      <c r="M38" s="142"/>
      <c r="N38" s="143"/>
      <c r="O38" s="143"/>
      <c r="P38" s="143"/>
      <c r="Q38" s="143"/>
      <c r="R38" s="139"/>
      <c r="S38" s="142"/>
      <c r="T38" s="143"/>
      <c r="U38" s="143"/>
      <c r="V38" s="143"/>
      <c r="W38" s="143"/>
      <c r="X38" s="139"/>
    </row>
    <row r="39" spans="2:24" s="111" customFormat="1">
      <c r="B39" s="187" t="s">
        <v>37</v>
      </c>
      <c r="C39" s="112">
        <v>130</v>
      </c>
      <c r="D39" s="114">
        <v>274.79886165948835</v>
      </c>
      <c r="E39" s="114">
        <v>274.79886165948835</v>
      </c>
      <c r="F39" s="114">
        <v>371</v>
      </c>
      <c r="G39" s="157">
        <f t="shared" si="0"/>
        <v>0.35040431266846361</v>
      </c>
      <c r="H39" s="113">
        <v>15660</v>
      </c>
      <c r="I39" s="114">
        <v>77121</v>
      </c>
      <c r="J39" s="114">
        <v>62872</v>
      </c>
      <c r="K39" s="114">
        <v>35371</v>
      </c>
      <c r="L39" s="157">
        <f t="shared" si="1"/>
        <v>0.44273557434056149</v>
      </c>
      <c r="M39" s="115">
        <f t="shared" si="7"/>
        <v>377182.89099266572</v>
      </c>
      <c r="N39" s="116">
        <v>58702.960000000006</v>
      </c>
      <c r="O39" s="116">
        <v>318479.9309926657</v>
      </c>
      <c r="P39" s="116">
        <v>574566.12719999999</v>
      </c>
      <c r="Q39" s="116">
        <v>790752.28</v>
      </c>
      <c r="R39" s="117">
        <f t="shared" si="2"/>
        <v>0.47699247986065335</v>
      </c>
      <c r="S39" s="115">
        <f t="shared" si="3"/>
        <v>169664.08913099766</v>
      </c>
      <c r="T39" s="116">
        <v>88003.3</v>
      </c>
      <c r="U39" s="116">
        <v>81660.789130997669</v>
      </c>
      <c r="V39" s="116">
        <v>374686.57</v>
      </c>
      <c r="W39" s="116">
        <v>336325.79</v>
      </c>
      <c r="X39" s="117">
        <f t="shared" si="4"/>
        <v>0.50446351179610005</v>
      </c>
    </row>
    <row r="40" spans="2:24" s="111" customFormat="1">
      <c r="B40" s="187" t="s">
        <v>38</v>
      </c>
      <c r="C40" s="112">
        <v>4701</v>
      </c>
      <c r="D40" s="114">
        <v>1301.5521461027975</v>
      </c>
      <c r="E40" s="114">
        <v>1301.5521461027975</v>
      </c>
      <c r="F40" s="114">
        <v>5521</v>
      </c>
      <c r="G40" s="157">
        <f t="shared" si="0"/>
        <v>0.85147618185111396</v>
      </c>
      <c r="H40" s="113">
        <v>43710</v>
      </c>
      <c r="I40" s="114">
        <v>0</v>
      </c>
      <c r="J40" s="114">
        <v>0</v>
      </c>
      <c r="K40" s="114">
        <v>38649</v>
      </c>
      <c r="L40" s="157">
        <f t="shared" si="1"/>
        <v>1.1309477606147635</v>
      </c>
      <c r="M40" s="115">
        <f t="shared" si="7"/>
        <v>2153236.0644571572</v>
      </c>
      <c r="N40" s="116">
        <v>1129004.03</v>
      </c>
      <c r="O40" s="116">
        <v>1024232.034457157</v>
      </c>
      <c r="P40" s="116">
        <v>833860.65551465843</v>
      </c>
      <c r="Q40" s="116">
        <v>2524512.88</v>
      </c>
      <c r="R40" s="117">
        <f t="shared" si="2"/>
        <v>0.8529313046947723</v>
      </c>
      <c r="S40" s="115">
        <f t="shared" si="3"/>
        <v>54468.217193083736</v>
      </c>
      <c r="T40" s="116">
        <v>37996.000000000007</v>
      </c>
      <c r="U40" s="116">
        <v>16472.217193083732</v>
      </c>
      <c r="V40" s="116">
        <v>0</v>
      </c>
      <c r="W40" s="116">
        <v>64574.34</v>
      </c>
      <c r="X40" s="117">
        <f t="shared" si="4"/>
        <v>0.843496305081612</v>
      </c>
    </row>
    <row r="41" spans="2:24" s="111" customFormat="1">
      <c r="B41" s="187" t="s">
        <v>39</v>
      </c>
      <c r="C41" s="112">
        <v>1162</v>
      </c>
      <c r="D41" s="114">
        <v>7809.6162879328567</v>
      </c>
      <c r="E41" s="114">
        <v>7809.6162879328567</v>
      </c>
      <c r="F41" s="114">
        <v>1454</v>
      </c>
      <c r="G41" s="157">
        <f t="shared" si="0"/>
        <v>0.79917469050894085</v>
      </c>
      <c r="H41" s="113">
        <v>3578</v>
      </c>
      <c r="I41" s="114">
        <v>54276</v>
      </c>
      <c r="J41" s="114">
        <v>50938</v>
      </c>
      <c r="K41" s="114">
        <v>17523</v>
      </c>
      <c r="L41" s="157">
        <f t="shared" si="1"/>
        <v>0.20418878045996691</v>
      </c>
      <c r="M41" s="115">
        <f t="shared" si="7"/>
        <v>821463.95690585661</v>
      </c>
      <c r="N41" s="116">
        <v>539215.13959999999</v>
      </c>
      <c r="O41" s="116">
        <v>282248.81730585662</v>
      </c>
      <c r="P41" s="116">
        <v>3019014.0100000002</v>
      </c>
      <c r="Q41" s="116">
        <v>841898.90143999981</v>
      </c>
      <c r="R41" s="117">
        <f t="shared" si="2"/>
        <v>0.97572755529293254</v>
      </c>
      <c r="S41" s="115">
        <f t="shared" si="3"/>
        <v>45697.90896258803</v>
      </c>
      <c r="T41" s="116">
        <v>19102.782800000001</v>
      </c>
      <c r="U41" s="116">
        <v>26595.126162588029</v>
      </c>
      <c r="V41" s="116">
        <v>409457.19</v>
      </c>
      <c r="W41" s="116">
        <v>40018.74656</v>
      </c>
      <c r="X41" s="117">
        <f t="shared" si="4"/>
        <v>1.1419125507610108</v>
      </c>
    </row>
    <row r="42" spans="2:24" s="111" customFormat="1">
      <c r="B42" s="187" t="s">
        <v>40</v>
      </c>
      <c r="C42" s="112">
        <v>3028</v>
      </c>
      <c r="D42" s="114">
        <v>2017.3933822927072</v>
      </c>
      <c r="E42" s="114">
        <v>2017.3933822927072</v>
      </c>
      <c r="F42" s="114">
        <v>3153</v>
      </c>
      <c r="G42" s="157">
        <f t="shared" si="0"/>
        <v>0.96035521725340944</v>
      </c>
      <c r="H42" s="113">
        <v>105449</v>
      </c>
      <c r="I42" s="114">
        <v>51962</v>
      </c>
      <c r="J42" s="114">
        <v>53665</v>
      </c>
      <c r="K42" s="114">
        <v>106374</v>
      </c>
      <c r="L42" s="157">
        <f t="shared" si="1"/>
        <v>0.99130426608005717</v>
      </c>
      <c r="M42" s="115">
        <f t="shared" si="7"/>
        <v>647230.14956410392</v>
      </c>
      <c r="N42" s="116">
        <v>426100.55880000006</v>
      </c>
      <c r="O42" s="116">
        <v>221129.59076410386</v>
      </c>
      <c r="P42" s="116">
        <v>870396.95</v>
      </c>
      <c r="Q42" s="116">
        <v>672443.12</v>
      </c>
      <c r="R42" s="117">
        <f t="shared" si="2"/>
        <v>0.96250542285881957</v>
      </c>
      <c r="S42" s="115">
        <f t="shared" si="3"/>
        <v>87788.151933523215</v>
      </c>
      <c r="T42" s="116">
        <v>58104.631200000003</v>
      </c>
      <c r="U42" s="116">
        <v>29683.520733523219</v>
      </c>
      <c r="V42" s="116">
        <v>117205.88</v>
      </c>
      <c r="W42" s="116">
        <v>110709.94</v>
      </c>
      <c r="X42" s="117">
        <f t="shared" si="4"/>
        <v>0.79295636808694159</v>
      </c>
    </row>
    <row r="43" spans="2:24" s="111" customFormat="1">
      <c r="B43" s="187" t="s">
        <v>41</v>
      </c>
      <c r="C43" s="112">
        <v>51819</v>
      </c>
      <c r="D43" s="114">
        <v>69337.223892573616</v>
      </c>
      <c r="E43" s="114">
        <v>69337.223892573616</v>
      </c>
      <c r="F43" s="114">
        <v>55305</v>
      </c>
      <c r="G43" s="157">
        <f t="shared" si="0"/>
        <v>0.93696772443721188</v>
      </c>
      <c r="H43" s="113">
        <v>1026156</v>
      </c>
      <c r="I43" s="114">
        <v>721271</v>
      </c>
      <c r="J43" s="114">
        <v>822872</v>
      </c>
      <c r="K43" s="114">
        <v>349512</v>
      </c>
      <c r="L43" s="157">
        <f t="shared" si="1"/>
        <v>2.9359678637643341</v>
      </c>
      <c r="M43" s="277">
        <f t="shared" si="7"/>
        <v>7505459.037232358</v>
      </c>
      <c r="N43" s="116">
        <v>5100063.5347994398</v>
      </c>
      <c r="O43" s="116">
        <v>2405395.5024329177</v>
      </c>
      <c r="P43" s="116">
        <v>8610877.75</v>
      </c>
      <c r="Q43" s="116">
        <v>7519595.8100000005</v>
      </c>
      <c r="R43" s="117">
        <f t="shared" si="2"/>
        <v>0.99812000895728425</v>
      </c>
      <c r="S43" s="115">
        <f t="shared" si="3"/>
        <v>1734164.1578644533</v>
      </c>
      <c r="T43" s="116">
        <v>1510317.2164999999</v>
      </c>
      <c r="U43" s="116">
        <v>223846.94136445352</v>
      </c>
      <c r="V43" s="116">
        <v>1102742.3199999998</v>
      </c>
      <c r="W43" s="116">
        <v>900886.9</v>
      </c>
      <c r="X43" s="117">
        <f t="shared" si="4"/>
        <v>1.9249521309106095</v>
      </c>
    </row>
    <row r="44" spans="2:24" s="111" customFormat="1">
      <c r="B44" s="187" t="s">
        <v>42</v>
      </c>
      <c r="C44" s="112">
        <v>1</v>
      </c>
      <c r="D44" s="114">
        <v>2740.8622912999999</v>
      </c>
      <c r="E44" s="114">
        <v>2740.8622912999999</v>
      </c>
      <c r="F44" s="114">
        <v>0</v>
      </c>
      <c r="G44" s="157" t="str">
        <f t="shared" si="0"/>
        <v>NA</v>
      </c>
      <c r="H44" s="113">
        <v>246</v>
      </c>
      <c r="I44" s="114">
        <v>64354</v>
      </c>
      <c r="J44" s="114">
        <v>64354</v>
      </c>
      <c r="K44" s="114">
        <v>0</v>
      </c>
      <c r="L44" s="157" t="str">
        <f t="shared" si="1"/>
        <v>NA</v>
      </c>
      <c r="M44" s="115">
        <f t="shared" si="7"/>
        <v>55495.144072589617</v>
      </c>
      <c r="N44" s="116"/>
      <c r="O44" s="116">
        <v>55495.144072589617</v>
      </c>
      <c r="P44" s="116">
        <v>450109.4</v>
      </c>
      <c r="Q44" s="116">
        <v>55433.3</v>
      </c>
      <c r="R44" s="117">
        <f t="shared" si="2"/>
        <v>1.0011156484024877</v>
      </c>
      <c r="S44" s="115">
        <f t="shared" si="3"/>
        <v>7470.0852663504957</v>
      </c>
      <c r="T44" s="116">
        <v>0</v>
      </c>
      <c r="U44" s="116">
        <v>7470.0852663504957</v>
      </c>
      <c r="V44" s="116">
        <v>61934.6</v>
      </c>
      <c r="W44" s="116">
        <v>7454.16</v>
      </c>
      <c r="X44" s="117">
        <f t="shared" si="4"/>
        <v>1.0021364266866415</v>
      </c>
    </row>
    <row r="45" spans="2:24" s="111" customFormat="1">
      <c r="B45" s="187" t="s">
        <v>43</v>
      </c>
      <c r="C45" s="112">
        <v>850</v>
      </c>
      <c r="D45" s="114">
        <v>3486.6051517357473</v>
      </c>
      <c r="E45" s="114">
        <v>3486.6051517357473</v>
      </c>
      <c r="F45" s="114">
        <v>1397</v>
      </c>
      <c r="G45" s="157">
        <f t="shared" si="0"/>
        <v>0.60844667143879738</v>
      </c>
      <c r="H45" s="113">
        <v>6117</v>
      </c>
      <c r="I45" s="114">
        <v>51591</v>
      </c>
      <c r="J45" s="114">
        <v>51828</v>
      </c>
      <c r="K45" s="114">
        <v>35247</v>
      </c>
      <c r="L45" s="157">
        <f t="shared" si="1"/>
        <v>0.17354668482424035</v>
      </c>
      <c r="M45" s="115">
        <f t="shared" si="7"/>
        <v>1464509.725480835</v>
      </c>
      <c r="N45" s="116">
        <v>906079.83</v>
      </c>
      <c r="O45" s="116">
        <v>558429.89548083488</v>
      </c>
      <c r="P45" s="116">
        <v>2829943.25</v>
      </c>
      <c r="Q45" s="116">
        <v>1628808.0757599997</v>
      </c>
      <c r="R45" s="117">
        <f t="shared" si="2"/>
        <v>0.89912970550412863</v>
      </c>
      <c r="S45" s="115">
        <f t="shared" si="3"/>
        <v>52684.659711823144</v>
      </c>
      <c r="T45" s="116">
        <v>7823.54</v>
      </c>
      <c r="U45" s="116">
        <v>44861.119711823143</v>
      </c>
      <c r="V45" s="116">
        <v>408181.52</v>
      </c>
      <c r="W45" s="116">
        <v>174515.52623999998</v>
      </c>
      <c r="X45" s="117">
        <f t="shared" si="4"/>
        <v>0.30189095977265268</v>
      </c>
    </row>
    <row r="46" spans="2:24" s="111" customFormat="1">
      <c r="B46" s="187" t="s">
        <v>44</v>
      </c>
      <c r="C46" s="112">
        <v>580</v>
      </c>
      <c r="D46" s="114">
        <v>4046.7376528451841</v>
      </c>
      <c r="E46" s="114">
        <v>4046.7376528451841</v>
      </c>
      <c r="F46" s="114">
        <v>611</v>
      </c>
      <c r="G46" s="157">
        <f t="shared" si="0"/>
        <v>0.9492635024549918</v>
      </c>
      <c r="H46" s="113">
        <v>20850</v>
      </c>
      <c r="I46" s="114">
        <v>0</v>
      </c>
      <c r="J46" s="114">
        <v>0</v>
      </c>
      <c r="K46" s="114">
        <v>20700</v>
      </c>
      <c r="L46" s="157">
        <f t="shared" si="1"/>
        <v>1.0072463768115942</v>
      </c>
      <c r="M46" s="115">
        <f t="shared" si="7"/>
        <v>131357.8811973109</v>
      </c>
      <c r="N46" s="116">
        <v>93324.001199999999</v>
      </c>
      <c r="O46" s="116">
        <v>38033.879997310891</v>
      </c>
      <c r="P46" s="116">
        <v>1214021.2958535552</v>
      </c>
      <c r="Q46" s="116">
        <v>190205.90000000002</v>
      </c>
      <c r="R46" s="117">
        <f t="shared" si="2"/>
        <v>0.69060886753413475</v>
      </c>
      <c r="S46" s="115">
        <f t="shared" si="3"/>
        <v>17695.738799999999</v>
      </c>
      <c r="T46" s="116">
        <v>12725.998800000001</v>
      </c>
      <c r="U46" s="116">
        <v>4969.74</v>
      </c>
      <c r="V46" s="116">
        <v>183569.27110104664</v>
      </c>
      <c r="W46" s="116">
        <v>28419.71</v>
      </c>
      <c r="X46" s="117"/>
    </row>
    <row r="47" spans="2:24" s="111" customFormat="1">
      <c r="B47" s="187"/>
      <c r="C47" s="112"/>
      <c r="D47" s="114"/>
      <c r="E47" s="114"/>
      <c r="F47" s="114"/>
      <c r="G47" s="157"/>
      <c r="H47" s="113"/>
      <c r="I47" s="114"/>
      <c r="J47" s="114"/>
      <c r="K47" s="114"/>
      <c r="L47" s="157"/>
      <c r="M47" s="115"/>
      <c r="N47" s="116"/>
      <c r="O47" s="116"/>
      <c r="P47" s="116"/>
      <c r="Q47" s="116"/>
      <c r="R47" s="117"/>
      <c r="S47" s="115"/>
      <c r="T47" s="116"/>
      <c r="U47" s="116"/>
      <c r="V47" s="116"/>
      <c r="W47" s="116"/>
      <c r="X47" s="117"/>
    </row>
    <row r="48" spans="2:24" s="104" customFormat="1">
      <c r="B48" s="188" t="s">
        <v>45</v>
      </c>
      <c r="C48" s="17">
        <f>SUM(C39:C47)</f>
        <v>62271</v>
      </c>
      <c r="D48" s="18">
        <f>SUM(D39:D47)</f>
        <v>91014.78966644239</v>
      </c>
      <c r="E48" s="18">
        <f>SUM(E39:E47)</f>
        <v>91014.78966644239</v>
      </c>
      <c r="F48" s="18">
        <f>SUM(F39:F47)</f>
        <v>67812</v>
      </c>
      <c r="G48" s="154">
        <f t="shared" si="0"/>
        <v>0.91828879844275346</v>
      </c>
      <c r="H48" s="17">
        <f>SUM(H39:H47)</f>
        <v>1221766</v>
      </c>
      <c r="I48" s="18">
        <f>SUM(I39:I47)</f>
        <v>1020575</v>
      </c>
      <c r="J48" s="18">
        <f>SUM(J39:J47)</f>
        <v>1106529</v>
      </c>
      <c r="K48" s="18">
        <f>SUM(K39:K47)</f>
        <v>603376</v>
      </c>
      <c r="L48" s="154">
        <f t="shared" ref="L48" si="8">IF(K48=0,"NA",H48/K48)</f>
        <v>2.0248833231683063</v>
      </c>
      <c r="M48" s="23">
        <f t="shared" si="7"/>
        <v>13155934.849902876</v>
      </c>
      <c r="N48" s="27">
        <f>SUM(N39:N47)</f>
        <v>8252490.0543994401</v>
      </c>
      <c r="O48" s="27">
        <f>SUM(O39:O47)</f>
        <v>4903444.7955034366</v>
      </c>
      <c r="P48" s="27">
        <f>SUM(P39:P47)</f>
        <v>18402789.438568212</v>
      </c>
      <c r="Q48" s="27">
        <f>SUM(Q39:Q47)</f>
        <v>14223650.267200001</v>
      </c>
      <c r="R48" s="13">
        <f t="shared" si="2"/>
        <v>0.9249337970746303</v>
      </c>
      <c r="S48" s="23">
        <f t="shared" si="3"/>
        <v>2169633.0088628195</v>
      </c>
      <c r="T48" s="27">
        <f>SUM(T39:T47)</f>
        <v>1734073.4692999998</v>
      </c>
      <c r="U48" s="27">
        <f>SUM(U39:U47)</f>
        <v>435559.53956281976</v>
      </c>
      <c r="V48" s="27">
        <f>SUM(V39:V47)</f>
        <v>2657777.3511010469</v>
      </c>
      <c r="W48" s="27">
        <f>SUM(W39:W47)</f>
        <v>1662905.1128</v>
      </c>
      <c r="X48" s="13">
        <f t="shared" si="4"/>
        <v>1.3047244801656728</v>
      </c>
    </row>
    <row r="49" spans="2:24" s="104" customFormat="1" ht="15.6" customHeight="1">
      <c r="B49" s="190" t="s">
        <v>46</v>
      </c>
      <c r="C49" s="137"/>
      <c r="D49" s="138"/>
      <c r="E49" s="138"/>
      <c r="F49" s="138"/>
      <c r="G49" s="156"/>
      <c r="H49" s="140"/>
      <c r="I49" s="141"/>
      <c r="J49" s="138"/>
      <c r="K49" s="138"/>
      <c r="L49" s="156"/>
      <c r="M49" s="142">
        <f t="shared" si="7"/>
        <v>0</v>
      </c>
      <c r="N49" s="143"/>
      <c r="O49" s="143"/>
      <c r="P49" s="143"/>
      <c r="Q49" s="143"/>
      <c r="R49" s="139"/>
      <c r="S49" s="142">
        <f t="shared" si="3"/>
        <v>0</v>
      </c>
      <c r="T49" s="143"/>
      <c r="U49" s="143"/>
      <c r="V49" s="143"/>
      <c r="W49" s="143"/>
      <c r="X49" s="139"/>
    </row>
    <row r="50" spans="2:24" s="111" customFormat="1">
      <c r="B50" s="187" t="s">
        <v>47</v>
      </c>
      <c r="C50" s="112">
        <v>892</v>
      </c>
      <c r="D50" s="114">
        <v>2399.5953055057912</v>
      </c>
      <c r="E50" s="114">
        <v>2399.5953055057912</v>
      </c>
      <c r="F50" s="114">
        <v>1007</v>
      </c>
      <c r="G50" s="157">
        <f t="shared" si="0"/>
        <v>0.88579940417080438</v>
      </c>
      <c r="H50" s="113">
        <v>92278</v>
      </c>
      <c r="I50" s="114">
        <v>256456</v>
      </c>
      <c r="J50" s="114">
        <v>213781</v>
      </c>
      <c r="K50" s="114">
        <v>142398</v>
      </c>
      <c r="L50" s="157">
        <f t="shared" si="1"/>
        <v>0.64802876444893887</v>
      </c>
      <c r="M50" s="115">
        <f t="shared" si="7"/>
        <v>2926634.8313442841</v>
      </c>
      <c r="N50" s="116">
        <v>1211036.8500000003</v>
      </c>
      <c r="O50" s="116">
        <v>1715597.9813442838</v>
      </c>
      <c r="P50" s="116">
        <v>3862461.5608505947</v>
      </c>
      <c r="Q50" s="116">
        <v>3323984.4299999997</v>
      </c>
      <c r="R50" s="117">
        <f t="shared" si="2"/>
        <v>0.88045984961015122</v>
      </c>
      <c r="S50" s="115">
        <f t="shared" si="3"/>
        <v>1171145.9725393795</v>
      </c>
      <c r="T50" s="116">
        <v>771297.21</v>
      </c>
      <c r="U50" s="116">
        <v>399848.76253937959</v>
      </c>
      <c r="V50" s="116">
        <v>1814092.3793653848</v>
      </c>
      <c r="W50" s="116">
        <v>1551916.9</v>
      </c>
      <c r="X50" s="117">
        <f t="shared" si="4"/>
        <v>0.75464477030914445</v>
      </c>
    </row>
    <row r="51" spans="2:24" s="111" customFormat="1">
      <c r="B51" s="187" t="s">
        <v>48</v>
      </c>
      <c r="C51" s="112">
        <v>10314</v>
      </c>
      <c r="D51" s="114">
        <v>4430.6762818856669</v>
      </c>
      <c r="E51" s="114">
        <v>4430.6762818856669</v>
      </c>
      <c r="F51" s="114">
        <v>6627</v>
      </c>
      <c r="G51" s="157">
        <f t="shared" si="0"/>
        <v>1.5563603440470801</v>
      </c>
      <c r="H51" s="113">
        <v>385049.53924914676</v>
      </c>
      <c r="I51" s="114">
        <v>749951</v>
      </c>
      <c r="J51" s="114">
        <v>606916</v>
      </c>
      <c r="K51" s="114">
        <v>400119</v>
      </c>
      <c r="L51" s="157">
        <f t="shared" si="1"/>
        <v>0.96233755270093835</v>
      </c>
      <c r="M51" s="115">
        <f t="shared" si="7"/>
        <v>15955860.098194329</v>
      </c>
      <c r="N51" s="116">
        <v>9005507.1900000051</v>
      </c>
      <c r="O51" s="116">
        <v>6950352.908194324</v>
      </c>
      <c r="P51" s="116">
        <v>13960242.087445453</v>
      </c>
      <c r="Q51" s="116">
        <v>15996556.209999999</v>
      </c>
      <c r="R51" s="117">
        <f t="shared" si="2"/>
        <v>0.99745594543779181</v>
      </c>
      <c r="S51" s="115">
        <f t="shared" si="3"/>
        <v>3335865.7387795099</v>
      </c>
      <c r="T51" s="116">
        <v>2271697.7099999995</v>
      </c>
      <c r="U51" s="116">
        <v>1064168.0287795104</v>
      </c>
      <c r="V51" s="116">
        <v>3675458.0525039998</v>
      </c>
      <c r="W51" s="116">
        <v>3760152.26</v>
      </c>
      <c r="X51" s="117">
        <f t="shared" si="4"/>
        <v>0.88716240942315194</v>
      </c>
    </row>
    <row r="52" spans="2:24" s="111" customFormat="1">
      <c r="B52" s="187" t="s">
        <v>49</v>
      </c>
      <c r="C52" s="112">
        <v>5045</v>
      </c>
      <c r="D52" s="114">
        <v>5812.6728501365742</v>
      </c>
      <c r="E52" s="114">
        <v>5812.6728501365742</v>
      </c>
      <c r="F52" s="114">
        <v>5318</v>
      </c>
      <c r="G52" s="157">
        <f t="shared" si="0"/>
        <v>0.94866491162091016</v>
      </c>
      <c r="H52" s="113">
        <v>65065</v>
      </c>
      <c r="I52" s="114">
        <v>40923</v>
      </c>
      <c r="J52" s="114">
        <v>32373</v>
      </c>
      <c r="K52" s="114">
        <v>35520</v>
      </c>
      <c r="L52" s="157">
        <f t="shared" si="1"/>
        <v>1.8317849099099099</v>
      </c>
      <c r="M52" s="115">
        <f t="shared" si="7"/>
        <v>5608865.0938774198</v>
      </c>
      <c r="N52" s="116">
        <v>3237655.4</v>
      </c>
      <c r="O52" s="116">
        <v>2371209.6938774195</v>
      </c>
      <c r="P52" s="116">
        <v>4401947.6631903062</v>
      </c>
      <c r="Q52" s="116">
        <v>6688561.3900000006</v>
      </c>
      <c r="R52" s="117">
        <f t="shared" si="2"/>
        <v>0.83857570661804437</v>
      </c>
      <c r="S52" s="115">
        <f t="shared" si="3"/>
        <v>236254.77455419535</v>
      </c>
      <c r="T52" s="116">
        <v>110790.58549999999</v>
      </c>
      <c r="U52" s="116">
        <v>125464.18905419536</v>
      </c>
      <c r="V52" s="116">
        <v>630989.74080000003</v>
      </c>
      <c r="W52" s="116">
        <v>299154.5428</v>
      </c>
      <c r="X52" s="117">
        <f t="shared" si="4"/>
        <v>0.78974155746698338</v>
      </c>
    </row>
    <row r="53" spans="2:24" s="111" customFormat="1">
      <c r="B53" s="187" t="s">
        <v>50</v>
      </c>
      <c r="C53" s="112">
        <v>69958</v>
      </c>
      <c r="D53" s="114">
        <v>43986.002902213855</v>
      </c>
      <c r="E53" s="114">
        <v>43986.002902213855</v>
      </c>
      <c r="F53" s="114">
        <v>48660</v>
      </c>
      <c r="G53" s="157">
        <f t="shared" si="0"/>
        <v>1.4376900945334978</v>
      </c>
      <c r="H53" s="113">
        <v>451429</v>
      </c>
      <c r="I53" s="114">
        <v>220885</v>
      </c>
      <c r="J53" s="114">
        <v>245439</v>
      </c>
      <c r="K53" s="114">
        <v>181975</v>
      </c>
      <c r="L53" s="157">
        <f t="shared" si="1"/>
        <v>2.4807198791042726</v>
      </c>
      <c r="M53" s="115">
        <f t="shared" si="7"/>
        <v>5548327.767954208</v>
      </c>
      <c r="N53" s="116">
        <v>4660459.3676005546</v>
      </c>
      <c r="O53" s="116">
        <v>887868.40035365312</v>
      </c>
      <c r="P53" s="116">
        <v>2650372.0320000001</v>
      </c>
      <c r="Q53" s="116">
        <v>3730225.08</v>
      </c>
      <c r="R53" s="117">
        <f t="shared" si="2"/>
        <v>1.4873975829775419</v>
      </c>
      <c r="S53" s="115">
        <f t="shared" si="3"/>
        <v>700212.7546602356</v>
      </c>
      <c r="T53" s="116">
        <v>634007.70349999983</v>
      </c>
      <c r="U53" s="116">
        <v>66205.051160235729</v>
      </c>
      <c r="V53" s="116">
        <v>638110.08000000007</v>
      </c>
      <c r="W53" s="116">
        <v>335889.10000000003</v>
      </c>
      <c r="X53" s="117">
        <f t="shared" si="4"/>
        <v>2.084654591828778</v>
      </c>
    </row>
    <row r="54" spans="2:24" s="111" customFormat="1">
      <c r="B54" s="187" t="s">
        <v>51</v>
      </c>
      <c r="C54" s="112">
        <v>2772</v>
      </c>
      <c r="D54" s="114">
        <v>1342.8267943060005</v>
      </c>
      <c r="E54" s="114">
        <v>1342.8267943060005</v>
      </c>
      <c r="F54" s="114">
        <v>2768</v>
      </c>
      <c r="G54" s="157">
        <f t="shared" si="0"/>
        <v>1.0014450867052023</v>
      </c>
      <c r="H54" s="113">
        <v>53778</v>
      </c>
      <c r="I54" s="114">
        <v>33719</v>
      </c>
      <c r="J54" s="114">
        <v>36355</v>
      </c>
      <c r="K54" s="114">
        <v>65605</v>
      </c>
      <c r="L54" s="157">
        <f t="shared" si="1"/>
        <v>0.81972410639432969</v>
      </c>
      <c r="M54" s="115">
        <f t="shared" si="7"/>
        <v>238148.98642272427</v>
      </c>
      <c r="N54" s="116"/>
      <c r="O54" s="116">
        <v>238148.98642272427</v>
      </c>
      <c r="P54" s="116">
        <v>711021.60000000009</v>
      </c>
      <c r="Q54" s="116">
        <v>503549.55</v>
      </c>
      <c r="R54" s="117">
        <f t="shared" si="2"/>
        <v>0.4729405207942779</v>
      </c>
      <c r="S54" s="115">
        <f t="shared" si="3"/>
        <v>32309.696833256763</v>
      </c>
      <c r="T54" s="116">
        <v>0</v>
      </c>
      <c r="U54" s="116">
        <v>32309.696833256763</v>
      </c>
      <c r="V54" s="116">
        <v>59927.175000000003</v>
      </c>
      <c r="W54" s="116">
        <v>111789.31000000001</v>
      </c>
      <c r="X54" s="117">
        <f t="shared" si="4"/>
        <v>0.28902313497826188</v>
      </c>
    </row>
    <row r="55" spans="2:24" s="111" customFormat="1">
      <c r="B55" s="187" t="s">
        <v>52</v>
      </c>
      <c r="C55" s="112">
        <v>1651</v>
      </c>
      <c r="D55" s="114">
        <v>6334.2891415300455</v>
      </c>
      <c r="E55" s="114">
        <v>6334.2891415300455</v>
      </c>
      <c r="F55" s="114">
        <v>6450</v>
      </c>
      <c r="G55" s="157">
        <f t="shared" si="0"/>
        <v>0.25596899224806202</v>
      </c>
      <c r="H55" s="113">
        <v>110459.66211604096</v>
      </c>
      <c r="I55" s="114">
        <v>657345</v>
      </c>
      <c r="J55" s="114">
        <v>510484</v>
      </c>
      <c r="K55" s="114">
        <v>277790</v>
      </c>
      <c r="L55" s="157">
        <f t="shared" si="1"/>
        <v>0.39763728757709405</v>
      </c>
      <c r="M55" s="115">
        <f t="shared" si="7"/>
        <v>412352.3300603262</v>
      </c>
      <c r="N55" s="116">
        <v>177237.94</v>
      </c>
      <c r="O55" s="116">
        <f>26642.5800603262+208471.81</f>
        <v>235114.3900603262</v>
      </c>
      <c r="P55" s="116">
        <v>2280123.108391556</v>
      </c>
      <c r="Q55" s="116">
        <v>2046785.04</v>
      </c>
      <c r="R55" s="117">
        <f t="shared" si="2"/>
        <v>0.2014634277668583</v>
      </c>
      <c r="S55" s="115">
        <f t="shared" si="3"/>
        <v>38917.839631069379</v>
      </c>
      <c r="T55" s="116">
        <v>9328.31</v>
      </c>
      <c r="U55" s="116">
        <f>1161.58963106938+28427.94</f>
        <v>29589.529631069378</v>
      </c>
      <c r="V55" s="116">
        <v>141429.66581366656</v>
      </c>
      <c r="W55" s="116">
        <v>100118.23</v>
      </c>
      <c r="X55" s="117">
        <f t="shared" si="4"/>
        <v>0.38871881405683439</v>
      </c>
    </row>
    <row r="56" spans="2:24" s="111" customFormat="1">
      <c r="B56" s="187" t="s">
        <v>53</v>
      </c>
      <c r="C56" s="112">
        <v>0</v>
      </c>
      <c r="D56" s="114">
        <v>630.87153874777857</v>
      </c>
      <c r="E56" s="114">
        <v>630.87153874777857</v>
      </c>
      <c r="F56" s="114">
        <v>622</v>
      </c>
      <c r="G56" s="157">
        <f t="shared" si="0"/>
        <v>0</v>
      </c>
      <c r="H56" s="113">
        <v>0</v>
      </c>
      <c r="I56" s="114">
        <v>0</v>
      </c>
      <c r="J56" s="114"/>
      <c r="K56" s="114">
        <v>0</v>
      </c>
      <c r="L56" s="157" t="str">
        <f t="shared" si="1"/>
        <v>NA</v>
      </c>
      <c r="M56" s="115">
        <f t="shared" si="7"/>
        <v>195162.06022386331</v>
      </c>
      <c r="N56" s="116"/>
      <c r="O56" s="116">
        <v>195162.06022386331</v>
      </c>
      <c r="P56" s="116">
        <v>872779.64788662689</v>
      </c>
      <c r="Q56" s="116">
        <v>676774.14</v>
      </c>
      <c r="R56" s="117">
        <f t="shared" si="2"/>
        <v>0.28837103649359785</v>
      </c>
      <c r="S56" s="115">
        <f t="shared" si="3"/>
        <v>55653.09</v>
      </c>
      <c r="T56" s="116">
        <v>0</v>
      </c>
      <c r="U56" s="116">
        <v>55653.09</v>
      </c>
      <c r="V56" s="116">
        <v>0</v>
      </c>
      <c r="W56" s="116">
        <v>0</v>
      </c>
      <c r="X56" s="117" t="str">
        <f t="shared" si="4"/>
        <v>NA</v>
      </c>
    </row>
    <row r="57" spans="2:24" s="111" customFormat="1">
      <c r="B57" s="187" t="s">
        <v>54</v>
      </c>
      <c r="C57" s="112">
        <v>104</v>
      </c>
      <c r="D57" s="114">
        <v>996.33701283875155</v>
      </c>
      <c r="E57" s="114">
        <v>996.33701283875155</v>
      </c>
      <c r="F57" s="114">
        <v>401</v>
      </c>
      <c r="G57" s="157">
        <f t="shared" si="0"/>
        <v>0.25935162094763092</v>
      </c>
      <c r="H57" s="113">
        <v>29259</v>
      </c>
      <c r="I57" s="114">
        <v>42392.367165071424</v>
      </c>
      <c r="J57" s="114">
        <v>42806</v>
      </c>
      <c r="K57" s="114">
        <v>48612</v>
      </c>
      <c r="L57" s="157">
        <f t="shared" si="1"/>
        <v>0.60188842261170084</v>
      </c>
      <c r="M57" s="115">
        <f t="shared" si="7"/>
        <v>883461.54837445309</v>
      </c>
      <c r="N57" s="116">
        <v>373704.71</v>
      </c>
      <c r="O57" s="116">
        <v>509756.83837445301</v>
      </c>
      <c r="P57" s="116">
        <v>1089672.9299999997</v>
      </c>
      <c r="Q57" s="116">
        <v>1064657.9600000002</v>
      </c>
      <c r="R57" s="117">
        <f t="shared" si="2"/>
        <v>0.82980786465397105</v>
      </c>
      <c r="S57" s="115">
        <f t="shared" si="3"/>
        <v>602339.93378618313</v>
      </c>
      <c r="T57" s="116">
        <v>443660.81000000006</v>
      </c>
      <c r="U57" s="116">
        <v>158679.1237861831</v>
      </c>
      <c r="V57" s="116">
        <v>266287.12300750928</v>
      </c>
      <c r="W57" s="116">
        <v>782674.24</v>
      </c>
      <c r="X57" s="117">
        <f t="shared" si="4"/>
        <v>0.76959212786431186</v>
      </c>
    </row>
    <row r="58" spans="2:24" s="111" customFormat="1">
      <c r="B58" s="187" t="s">
        <v>55</v>
      </c>
      <c r="C58" s="112">
        <v>0</v>
      </c>
      <c r="D58" s="114">
        <v>0</v>
      </c>
      <c r="E58" s="114">
        <v>0</v>
      </c>
      <c r="F58" s="114">
        <v>1237</v>
      </c>
      <c r="G58" s="157">
        <f t="shared" si="0"/>
        <v>0</v>
      </c>
      <c r="H58" s="113">
        <v>0</v>
      </c>
      <c r="I58" s="114">
        <v>0</v>
      </c>
      <c r="J58" s="114"/>
      <c r="K58" s="114">
        <v>17815</v>
      </c>
      <c r="L58" s="157">
        <f t="shared" si="1"/>
        <v>0</v>
      </c>
      <c r="M58" s="115">
        <f t="shared" si="7"/>
        <v>135486.39000000001</v>
      </c>
      <c r="N58" s="116">
        <f>564.96+605.7</f>
        <v>1170.6600000000001</v>
      </c>
      <c r="O58" s="116">
        <v>134315.73000000001</v>
      </c>
      <c r="P58" s="116">
        <v>0</v>
      </c>
      <c r="Q58" s="116">
        <v>698620</v>
      </c>
      <c r="R58" s="117">
        <f t="shared" si="2"/>
        <v>0.19393431336062525</v>
      </c>
      <c r="S58" s="115">
        <f t="shared" si="3"/>
        <v>18429.12</v>
      </c>
      <c r="T58" s="116">
        <f>36.3+77.04</f>
        <v>113.34</v>
      </c>
      <c r="U58" s="116">
        <v>18315.78</v>
      </c>
      <c r="V58" s="116"/>
      <c r="W58" s="116">
        <v>65093</v>
      </c>
      <c r="X58" s="117">
        <f t="shared" si="4"/>
        <v>0.28311984391562839</v>
      </c>
    </row>
    <row r="59" spans="2:24" s="111" customFormat="1">
      <c r="B59" s="187"/>
      <c r="C59" s="112"/>
      <c r="D59" s="114"/>
      <c r="E59" s="114"/>
      <c r="F59" s="114"/>
      <c r="G59" s="157"/>
      <c r="H59" s="113"/>
      <c r="I59" s="114"/>
      <c r="J59" s="114"/>
      <c r="K59" s="114"/>
      <c r="L59" s="157"/>
      <c r="M59" s="115"/>
      <c r="N59" s="116"/>
      <c r="O59" s="116"/>
      <c r="P59" s="116"/>
      <c r="Q59" s="116"/>
      <c r="R59" s="117"/>
      <c r="S59" s="115"/>
      <c r="T59" s="116"/>
      <c r="U59" s="116"/>
      <c r="V59" s="116"/>
      <c r="W59" s="116"/>
      <c r="X59" s="117"/>
    </row>
    <row r="60" spans="2:24" s="104" customFormat="1" ht="15.75" customHeight="1">
      <c r="B60" s="188" t="s">
        <v>56</v>
      </c>
      <c r="C60" s="17">
        <f>SUM(C50:C59)</f>
        <v>90736</v>
      </c>
      <c r="D60" s="18">
        <f>SUM(D50:D59)</f>
        <v>65933.27182716447</v>
      </c>
      <c r="E60" s="18">
        <f>SUM(E50:E59)</f>
        <v>65933.27182716447</v>
      </c>
      <c r="F60" s="18">
        <f>SUM(F50:F59)</f>
        <v>73090</v>
      </c>
      <c r="G60" s="154">
        <f t="shared" si="0"/>
        <v>1.2414283759748255</v>
      </c>
      <c r="H60" s="17">
        <f>SUM(H50:H59)</f>
        <v>1187318.2013651878</v>
      </c>
      <c r="I60" s="18">
        <f>SUM(I50:I59)</f>
        <v>2001671.3671650714</v>
      </c>
      <c r="J60" s="18">
        <f>SUM(J50:J59)</f>
        <v>1688154</v>
      </c>
      <c r="K60" s="18">
        <f>SUM(K50:K59)</f>
        <v>1169834</v>
      </c>
      <c r="L60" s="154">
        <f t="shared" ref="L60" si="9">IF(K60=0,"NA",H60/K60)</f>
        <v>1.0149458823774893</v>
      </c>
      <c r="M60" s="23">
        <f t="shared" si="7"/>
        <v>31904299.106451608</v>
      </c>
      <c r="N60" s="27">
        <f>SUM(N50:N59)</f>
        <v>18666772.11760056</v>
      </c>
      <c r="O60" s="27">
        <f t="shared" ref="O60:Q60" si="10">SUM(O50:O59)</f>
        <v>13237526.988851048</v>
      </c>
      <c r="P60" s="27">
        <f t="shared" si="10"/>
        <v>29828620.629764538</v>
      </c>
      <c r="Q60" s="27">
        <f t="shared" si="10"/>
        <v>34729713.799999997</v>
      </c>
      <c r="R60" s="13">
        <f t="shared" si="2"/>
        <v>0.91864560964080311</v>
      </c>
      <c r="S60" s="23">
        <f t="shared" si="3"/>
        <v>6191128.9207838299</v>
      </c>
      <c r="T60" s="27">
        <f>SUM(T50:T59)</f>
        <v>4240895.6689999998</v>
      </c>
      <c r="U60" s="27">
        <f t="shared" ref="U60" si="11">SUM(U50:U59)</f>
        <v>1950233.2517838303</v>
      </c>
      <c r="V60" s="27">
        <f t="shared" ref="V60" si="12">SUM(V50:V59)</f>
        <v>7226294.2164905602</v>
      </c>
      <c r="W60" s="27">
        <f t="shared" ref="W60" si="13">SUM(W50:W59)</f>
        <v>7006787.5828</v>
      </c>
      <c r="X60" s="13">
        <f t="shared" si="4"/>
        <v>0.883590211294771</v>
      </c>
    </row>
    <row r="61" spans="2:24" s="104" customFormat="1" ht="15.6" customHeight="1">
      <c r="B61" s="190" t="s">
        <v>57</v>
      </c>
      <c r="C61" s="137"/>
      <c r="D61" s="138"/>
      <c r="E61" s="138"/>
      <c r="F61" s="138"/>
      <c r="G61" s="156"/>
      <c r="H61" s="140"/>
      <c r="I61" s="141"/>
      <c r="J61" s="138"/>
      <c r="K61" s="138"/>
      <c r="L61" s="156"/>
      <c r="M61" s="142"/>
      <c r="N61" s="143"/>
      <c r="O61" s="143"/>
      <c r="P61" s="143"/>
      <c r="Q61" s="143"/>
      <c r="R61" s="139"/>
      <c r="S61" s="142"/>
      <c r="T61" s="143"/>
      <c r="U61" s="143"/>
      <c r="V61" s="143"/>
      <c r="W61" s="143"/>
      <c r="X61" s="139"/>
    </row>
    <row r="62" spans="2:24" s="122" customFormat="1">
      <c r="B62" s="191" t="str">
        <f>B27</f>
        <v>Midstream Lighting &amp; HVAC</v>
      </c>
      <c r="C62" s="118">
        <f>C27</f>
        <v>27786</v>
      </c>
      <c r="D62" s="119">
        <f>D27</f>
        <v>21072.030436437475</v>
      </c>
      <c r="E62" s="119">
        <f t="shared" ref="E62:F62" si="14">E27</f>
        <v>21072.030436437475</v>
      </c>
      <c r="F62" s="119">
        <f t="shared" si="14"/>
        <v>32617</v>
      </c>
      <c r="G62" s="120">
        <f t="shared" si="0"/>
        <v>0.85188705276389609</v>
      </c>
      <c r="H62" s="273">
        <f t="shared" ref="H62" si="15">H27</f>
        <v>32350.38466</v>
      </c>
      <c r="I62" s="119">
        <f t="shared" ref="I62:K62" si="16">I27</f>
        <v>12820</v>
      </c>
      <c r="J62" s="119">
        <f t="shared" si="16"/>
        <v>90290</v>
      </c>
      <c r="K62" s="119">
        <f t="shared" si="16"/>
        <v>25190</v>
      </c>
      <c r="L62" s="120">
        <f t="shared" ref="L62:L72" si="17">IF(K62=0,"NA",H62/K62)</f>
        <v>1.2842550480349344</v>
      </c>
      <c r="M62" s="275">
        <f>SUM(N62:O62)</f>
        <v>3704474.5165265799</v>
      </c>
      <c r="N62" s="121">
        <f t="shared" ref="N62" si="18">N27</f>
        <v>2381146.5</v>
      </c>
      <c r="O62" s="121">
        <f t="shared" ref="O62:Q62" si="19">O27</f>
        <v>1323328.0165265796</v>
      </c>
      <c r="P62" s="121">
        <f t="shared" si="19"/>
        <v>4013370.9401345178</v>
      </c>
      <c r="Q62" s="121">
        <f t="shared" si="19"/>
        <v>6425801.0900000008</v>
      </c>
      <c r="R62" s="120">
        <f>IF(Q62=0,"NA",M62/Q62)</f>
        <v>0.5765000292790855</v>
      </c>
      <c r="S62" s="275">
        <f t="shared" ref="S62:T62" si="20">S27</f>
        <v>86519.939999999988</v>
      </c>
      <c r="T62" s="121">
        <f t="shared" si="20"/>
        <v>13304</v>
      </c>
      <c r="U62" s="121">
        <f t="shared" ref="U62:W62" si="21">U27</f>
        <v>73215.939999999988</v>
      </c>
      <c r="V62" s="121">
        <f t="shared" si="21"/>
        <v>113154.31</v>
      </c>
      <c r="W62" s="121">
        <f t="shared" si="21"/>
        <v>124668.5</v>
      </c>
      <c r="X62" s="120">
        <f>IF(W62=0,"NA",S62/W62)</f>
        <v>0.69400000802127226</v>
      </c>
    </row>
    <row r="63" spans="2:24" s="122" customFormat="1">
      <c r="B63" s="191" t="str">
        <f>B40</f>
        <v>Market Rate Single Family Midstream HVAC</v>
      </c>
      <c r="C63" s="118">
        <f t="shared" ref="C63:F63" si="22">C40</f>
        <v>4701</v>
      </c>
      <c r="D63" s="119">
        <f t="shared" si="22"/>
        <v>1301.5521461027975</v>
      </c>
      <c r="E63" s="119">
        <f t="shared" si="22"/>
        <v>1301.5521461027975</v>
      </c>
      <c r="F63" s="119">
        <f t="shared" si="22"/>
        <v>5521</v>
      </c>
      <c r="G63" s="120">
        <f t="shared" si="0"/>
        <v>0.85147618185111396</v>
      </c>
      <c r="H63" s="273">
        <f t="shared" ref="H63" si="23">H40</f>
        <v>43710</v>
      </c>
      <c r="I63" s="119">
        <f t="shared" ref="I63:K63" si="24">I40</f>
        <v>0</v>
      </c>
      <c r="J63" s="119">
        <f t="shared" si="24"/>
        <v>0</v>
      </c>
      <c r="K63" s="119">
        <f t="shared" si="24"/>
        <v>38649</v>
      </c>
      <c r="L63" s="120">
        <f t="shared" si="17"/>
        <v>1.1309477606147635</v>
      </c>
      <c r="M63" s="275">
        <f t="shared" ref="M63:M72" si="25">SUM(N63:O63)</f>
        <v>2153236.0644571572</v>
      </c>
      <c r="N63" s="121">
        <f t="shared" ref="N63" si="26">N40</f>
        <v>1129004.03</v>
      </c>
      <c r="O63" s="121">
        <f t="shared" ref="O63:Q63" si="27">O40</f>
        <v>1024232.034457157</v>
      </c>
      <c r="P63" s="121">
        <f t="shared" si="27"/>
        <v>833860.65551465843</v>
      </c>
      <c r="Q63" s="121">
        <f t="shared" si="27"/>
        <v>2524512.88</v>
      </c>
      <c r="R63" s="120">
        <f t="shared" ref="R63:R72" si="28">IF(Q63=0,"NA",M63/Q63)</f>
        <v>0.8529313046947723</v>
      </c>
      <c r="S63" s="275">
        <f t="shared" ref="S63:T63" si="29">S40</f>
        <v>54468.217193083736</v>
      </c>
      <c r="T63" s="121">
        <f t="shared" si="29"/>
        <v>37996.000000000007</v>
      </c>
      <c r="U63" s="121">
        <f t="shared" ref="U63:W63" si="30">U40</f>
        <v>16472.217193083732</v>
      </c>
      <c r="V63" s="121">
        <f t="shared" si="30"/>
        <v>0</v>
      </c>
      <c r="W63" s="121">
        <f t="shared" si="30"/>
        <v>64574.34</v>
      </c>
      <c r="X63" s="120">
        <f t="shared" ref="X63:X72" si="31">IF(W63=0,"NA",S63/W63)</f>
        <v>0.843496305081612</v>
      </c>
    </row>
    <row r="64" spans="2:24" s="122" customFormat="1">
      <c r="B64" s="191" t="str">
        <f t="shared" ref="B64:F64" si="32">B42</f>
        <v>Direct Distribution Efficient Products Initiative - School Kits</v>
      </c>
      <c r="C64" s="118">
        <f t="shared" si="32"/>
        <v>3028</v>
      </c>
      <c r="D64" s="119">
        <f t="shared" si="32"/>
        <v>2017.3933822927072</v>
      </c>
      <c r="E64" s="119">
        <f t="shared" si="32"/>
        <v>2017.3933822927072</v>
      </c>
      <c r="F64" s="119">
        <f t="shared" si="32"/>
        <v>3153</v>
      </c>
      <c r="G64" s="120">
        <f t="shared" si="0"/>
        <v>0.96035521725340944</v>
      </c>
      <c r="H64" s="273">
        <f t="shared" ref="H64" si="33">H42</f>
        <v>105449</v>
      </c>
      <c r="I64" s="119">
        <f t="shared" ref="I64:K64" si="34">I42</f>
        <v>51962</v>
      </c>
      <c r="J64" s="119">
        <f t="shared" si="34"/>
        <v>53665</v>
      </c>
      <c r="K64" s="119">
        <f t="shared" si="34"/>
        <v>106374</v>
      </c>
      <c r="L64" s="120">
        <f t="shared" si="17"/>
        <v>0.99130426608005717</v>
      </c>
      <c r="M64" s="275">
        <f t="shared" si="25"/>
        <v>647230.14956410392</v>
      </c>
      <c r="N64" s="121">
        <f t="shared" ref="N64" si="35">N42</f>
        <v>426100.55880000006</v>
      </c>
      <c r="O64" s="121">
        <f t="shared" ref="O64:Q64" si="36">O42</f>
        <v>221129.59076410386</v>
      </c>
      <c r="P64" s="121">
        <f t="shared" si="36"/>
        <v>870396.95</v>
      </c>
      <c r="Q64" s="121">
        <f t="shared" si="36"/>
        <v>672443.12</v>
      </c>
      <c r="R64" s="120">
        <f t="shared" si="28"/>
        <v>0.96250542285881957</v>
      </c>
      <c r="S64" s="275">
        <f t="shared" ref="S64:T64" si="37">S42</f>
        <v>87788.151933523215</v>
      </c>
      <c r="T64" s="121">
        <f t="shared" si="37"/>
        <v>58104.631200000003</v>
      </c>
      <c r="U64" s="121">
        <f t="shared" ref="U64:W64" si="38">U42</f>
        <v>29683.520733523219</v>
      </c>
      <c r="V64" s="121">
        <f t="shared" si="38"/>
        <v>117205.88</v>
      </c>
      <c r="W64" s="121">
        <f t="shared" si="38"/>
        <v>110709.94</v>
      </c>
      <c r="X64" s="120">
        <f t="shared" si="31"/>
        <v>0.79295636808694159</v>
      </c>
    </row>
    <row r="65" spans="2:24" s="122" customFormat="1">
      <c r="B65" s="191" t="str">
        <f>B54</f>
        <v>IQ Community Kits</v>
      </c>
      <c r="C65" s="118">
        <f t="shared" ref="C65:F65" si="39">C54</f>
        <v>2772</v>
      </c>
      <c r="D65" s="119">
        <f t="shared" si="39"/>
        <v>1342.8267943060005</v>
      </c>
      <c r="E65" s="119">
        <f t="shared" si="39"/>
        <v>1342.8267943060005</v>
      </c>
      <c r="F65" s="119">
        <f t="shared" si="39"/>
        <v>2768</v>
      </c>
      <c r="G65" s="120">
        <f t="shared" si="0"/>
        <v>1.0014450867052023</v>
      </c>
      <c r="H65" s="273">
        <f t="shared" ref="H65" si="40">H54</f>
        <v>53778</v>
      </c>
      <c r="I65" s="119">
        <f t="shared" ref="I65:K65" si="41">I54</f>
        <v>33719</v>
      </c>
      <c r="J65" s="119">
        <f t="shared" si="41"/>
        <v>36355</v>
      </c>
      <c r="K65" s="119">
        <f t="shared" si="41"/>
        <v>65605</v>
      </c>
      <c r="L65" s="120">
        <f t="shared" si="17"/>
        <v>0.81972410639432969</v>
      </c>
      <c r="M65" s="275">
        <f t="shared" si="25"/>
        <v>238148.98642272427</v>
      </c>
      <c r="N65" s="121">
        <f t="shared" ref="N65" si="42">N54</f>
        <v>0</v>
      </c>
      <c r="O65" s="121">
        <f t="shared" ref="O65:Q65" si="43">O54</f>
        <v>238148.98642272427</v>
      </c>
      <c r="P65" s="121">
        <f t="shared" si="43"/>
        <v>711021.60000000009</v>
      </c>
      <c r="Q65" s="121">
        <f t="shared" si="43"/>
        <v>503549.55</v>
      </c>
      <c r="R65" s="120">
        <f t="shared" si="28"/>
        <v>0.4729405207942779</v>
      </c>
      <c r="S65" s="275">
        <f t="shared" ref="S65:T65" si="44">S54</f>
        <v>32309.696833256763</v>
      </c>
      <c r="T65" s="121">
        <f t="shared" si="44"/>
        <v>0</v>
      </c>
      <c r="U65" s="121">
        <f t="shared" ref="U65:W65" si="45">U54</f>
        <v>32309.696833256763</v>
      </c>
      <c r="V65" s="121">
        <f t="shared" si="45"/>
        <v>59927.175000000003</v>
      </c>
      <c r="W65" s="121">
        <f t="shared" si="45"/>
        <v>111789.31000000001</v>
      </c>
      <c r="X65" s="120">
        <f t="shared" si="31"/>
        <v>0.28902313497826188</v>
      </c>
    </row>
    <row r="66" spans="2:24" s="122" customFormat="1">
      <c r="B66" s="191" t="str">
        <f>B55</f>
        <v>IQ Smart Savers</v>
      </c>
      <c r="C66" s="118">
        <f t="shared" ref="C66:F66" si="46">C55</f>
        <v>1651</v>
      </c>
      <c r="D66" s="119">
        <f t="shared" si="46"/>
        <v>6334.2891415300455</v>
      </c>
      <c r="E66" s="119">
        <f t="shared" si="46"/>
        <v>6334.2891415300455</v>
      </c>
      <c r="F66" s="119">
        <f t="shared" si="46"/>
        <v>6450</v>
      </c>
      <c r="G66" s="120">
        <f t="shared" si="0"/>
        <v>0.25596899224806202</v>
      </c>
      <c r="H66" s="273">
        <f t="shared" ref="H66" si="47">H55</f>
        <v>110459.66211604096</v>
      </c>
      <c r="I66" s="119">
        <f t="shared" ref="I66:K66" si="48">I55</f>
        <v>657345</v>
      </c>
      <c r="J66" s="119">
        <f t="shared" si="48"/>
        <v>510484</v>
      </c>
      <c r="K66" s="119">
        <f t="shared" si="48"/>
        <v>277790</v>
      </c>
      <c r="L66" s="120">
        <f t="shared" si="17"/>
        <v>0.39763728757709405</v>
      </c>
      <c r="M66" s="275">
        <f t="shared" si="25"/>
        <v>412352.3300603262</v>
      </c>
      <c r="N66" s="121">
        <f t="shared" ref="N66" si="49">N55</f>
        <v>177237.94</v>
      </c>
      <c r="O66" s="121">
        <f t="shared" ref="O66:Q66" si="50">O55</f>
        <v>235114.3900603262</v>
      </c>
      <c r="P66" s="121">
        <f t="shared" si="50"/>
        <v>2280123.108391556</v>
      </c>
      <c r="Q66" s="121">
        <f t="shared" si="50"/>
        <v>2046785.04</v>
      </c>
      <c r="R66" s="120">
        <f t="shared" si="28"/>
        <v>0.2014634277668583</v>
      </c>
      <c r="S66" s="275">
        <f t="shared" ref="S66:T66" si="51">S55</f>
        <v>38917.839631069379</v>
      </c>
      <c r="T66" s="121">
        <f t="shared" si="51"/>
        <v>9328.31</v>
      </c>
      <c r="U66" s="121">
        <f t="shared" ref="U66:W66" si="52">U55</f>
        <v>29589.529631069378</v>
      </c>
      <c r="V66" s="121">
        <f t="shared" si="52"/>
        <v>141429.66581366656</v>
      </c>
      <c r="W66" s="121">
        <f t="shared" si="52"/>
        <v>100118.23</v>
      </c>
      <c r="X66" s="120">
        <f t="shared" si="31"/>
        <v>0.38871881405683439</v>
      </c>
    </row>
    <row r="67" spans="2:24" s="122" customFormat="1">
      <c r="B67" s="191" t="str">
        <f>B57</f>
        <v>IQ Manufactured Homes Weatherization and Air Sealing</v>
      </c>
      <c r="C67" s="118">
        <f t="shared" ref="C67:F67" si="53">C57</f>
        <v>104</v>
      </c>
      <c r="D67" s="119">
        <f t="shared" si="53"/>
        <v>996.33701283875155</v>
      </c>
      <c r="E67" s="119">
        <f t="shared" si="53"/>
        <v>996.33701283875155</v>
      </c>
      <c r="F67" s="119">
        <f t="shared" si="53"/>
        <v>401</v>
      </c>
      <c r="G67" s="120">
        <f t="shared" si="0"/>
        <v>0.25935162094763092</v>
      </c>
      <c r="H67" s="273">
        <f t="shared" ref="H67" si="54">H57</f>
        <v>29259</v>
      </c>
      <c r="I67" s="119">
        <f t="shared" ref="I67:K67" si="55">I57</f>
        <v>42392.367165071424</v>
      </c>
      <c r="J67" s="119">
        <f t="shared" si="55"/>
        <v>42806</v>
      </c>
      <c r="K67" s="119">
        <f t="shared" si="55"/>
        <v>48612</v>
      </c>
      <c r="L67" s="120">
        <f t="shared" si="17"/>
        <v>0.60188842261170084</v>
      </c>
      <c r="M67" s="275">
        <f t="shared" si="25"/>
        <v>883461.54837445309</v>
      </c>
      <c r="N67" s="121">
        <f t="shared" ref="N67" si="56">N57</f>
        <v>373704.71</v>
      </c>
      <c r="O67" s="121">
        <f t="shared" ref="O67:Q67" si="57">O57</f>
        <v>509756.83837445301</v>
      </c>
      <c r="P67" s="121">
        <f t="shared" si="57"/>
        <v>1089672.9299999997</v>
      </c>
      <c r="Q67" s="121">
        <f t="shared" si="57"/>
        <v>1064657.9600000002</v>
      </c>
      <c r="R67" s="120">
        <f t="shared" si="28"/>
        <v>0.82980786465397105</v>
      </c>
      <c r="S67" s="275">
        <f t="shared" ref="S67:T67" si="58">S57</f>
        <v>602339.93378618313</v>
      </c>
      <c r="T67" s="121">
        <f t="shared" si="58"/>
        <v>443660.81000000006</v>
      </c>
      <c r="U67" s="121">
        <f t="shared" ref="U67:W67" si="59">U57</f>
        <v>158679.1237861831</v>
      </c>
      <c r="V67" s="121">
        <f t="shared" si="59"/>
        <v>266287.12300750928</v>
      </c>
      <c r="W67" s="121">
        <f t="shared" si="59"/>
        <v>782674.24</v>
      </c>
      <c r="X67" s="120">
        <f t="shared" si="31"/>
        <v>0.76959212786431186</v>
      </c>
    </row>
    <row r="68" spans="2:24" s="122" customFormat="1">
      <c r="B68" s="191" t="str">
        <f>B58</f>
        <v>IQ Healthier Homes</v>
      </c>
      <c r="C68" s="118">
        <f>C58</f>
        <v>0</v>
      </c>
      <c r="D68" s="119">
        <f>D58</f>
        <v>0</v>
      </c>
      <c r="E68" s="119">
        <f t="shared" ref="E68:F68" si="60">E58</f>
        <v>0</v>
      </c>
      <c r="F68" s="119">
        <f t="shared" si="60"/>
        <v>1237</v>
      </c>
      <c r="G68" s="120">
        <f t="shared" si="0"/>
        <v>0</v>
      </c>
      <c r="H68" s="273">
        <f>H58</f>
        <v>0</v>
      </c>
      <c r="I68" s="119">
        <f>I58</f>
        <v>0</v>
      </c>
      <c r="J68" s="119">
        <f t="shared" ref="J68:K68" si="61">J58</f>
        <v>0</v>
      </c>
      <c r="K68" s="119">
        <f t="shared" si="61"/>
        <v>17815</v>
      </c>
      <c r="L68" s="120">
        <f t="shared" si="17"/>
        <v>0</v>
      </c>
      <c r="M68" s="275">
        <f>M58</f>
        <v>135486.39000000001</v>
      </c>
      <c r="N68" s="121">
        <f>N58</f>
        <v>1170.6600000000001</v>
      </c>
      <c r="O68" s="121">
        <f t="shared" ref="O68:Q68" si="62">O58</f>
        <v>134315.73000000001</v>
      </c>
      <c r="P68" s="121">
        <f t="shared" si="62"/>
        <v>0</v>
      </c>
      <c r="Q68" s="121">
        <f t="shared" si="62"/>
        <v>698620</v>
      </c>
      <c r="R68" s="120">
        <f t="shared" si="28"/>
        <v>0.19393431336062525</v>
      </c>
      <c r="S68" s="275">
        <f t="shared" ref="S68:T68" si="63">S58</f>
        <v>18429.12</v>
      </c>
      <c r="T68" s="121">
        <f t="shared" si="63"/>
        <v>113.34</v>
      </c>
      <c r="U68" s="121">
        <f t="shared" ref="U68:W68" si="64">U58</f>
        <v>18315.78</v>
      </c>
      <c r="V68" s="121">
        <f t="shared" si="64"/>
        <v>0</v>
      </c>
      <c r="W68" s="121">
        <f t="shared" si="64"/>
        <v>65093</v>
      </c>
      <c r="X68" s="120">
        <f t="shared" si="31"/>
        <v>0.28311984391562839</v>
      </c>
    </row>
    <row r="69" spans="2:24" s="122" customFormat="1">
      <c r="B69" s="191" t="str">
        <f>B26</f>
        <v>One Stop Shop for Homeless Facilities</v>
      </c>
      <c r="C69" s="118">
        <f t="shared" ref="C69:F69" si="65">C26</f>
        <v>0</v>
      </c>
      <c r="D69" s="119">
        <f t="shared" si="65"/>
        <v>341.7</v>
      </c>
      <c r="E69" s="119">
        <f t="shared" si="65"/>
        <v>341.7</v>
      </c>
      <c r="F69" s="119">
        <f t="shared" si="65"/>
        <v>0</v>
      </c>
      <c r="G69" s="120" t="str">
        <f t="shared" si="0"/>
        <v>NA</v>
      </c>
      <c r="H69" s="273">
        <f>H26</f>
        <v>0</v>
      </c>
      <c r="I69" s="119">
        <f t="shared" ref="I69:K69" si="66">I26</f>
        <v>960</v>
      </c>
      <c r="J69" s="119">
        <f t="shared" si="66"/>
        <v>960</v>
      </c>
      <c r="K69" s="119">
        <f t="shared" si="66"/>
        <v>0</v>
      </c>
      <c r="L69" s="120" t="str">
        <f t="shared" si="17"/>
        <v>NA</v>
      </c>
      <c r="M69" s="275">
        <f t="shared" si="25"/>
        <v>0</v>
      </c>
      <c r="N69" s="121">
        <f>N26</f>
        <v>0</v>
      </c>
      <c r="O69" s="121">
        <f t="shared" ref="O69:Q69" si="67">O26</f>
        <v>0</v>
      </c>
      <c r="P69" s="121">
        <f t="shared" si="67"/>
        <v>30000.000000000004</v>
      </c>
      <c r="Q69" s="121">
        <f t="shared" si="67"/>
        <v>0</v>
      </c>
      <c r="R69" s="120" t="str">
        <f t="shared" si="28"/>
        <v>NA</v>
      </c>
      <c r="S69" s="275">
        <f t="shared" ref="S69:T69" si="68">S26</f>
        <v>0</v>
      </c>
      <c r="T69" s="121">
        <f t="shared" si="68"/>
        <v>0</v>
      </c>
      <c r="U69" s="121">
        <f t="shared" ref="U69:W69" si="69">U26</f>
        <v>0</v>
      </c>
      <c r="V69" s="121">
        <f t="shared" si="69"/>
        <v>1848.9817641561558</v>
      </c>
      <c r="W69" s="121">
        <f t="shared" si="69"/>
        <v>0</v>
      </c>
      <c r="X69" s="120" t="str">
        <f t="shared" si="31"/>
        <v>NA</v>
      </c>
    </row>
    <row r="70" spans="2:24" s="122" customFormat="1">
      <c r="B70" s="191" t="str">
        <f>B46</f>
        <v>Residential Targeted / Direct Distribution High School Innovation</v>
      </c>
      <c r="C70" s="118">
        <f t="shared" ref="C70:F70" si="70">C46</f>
        <v>580</v>
      </c>
      <c r="D70" s="119">
        <f t="shared" si="70"/>
        <v>4046.7376528451841</v>
      </c>
      <c r="E70" s="119">
        <f t="shared" si="70"/>
        <v>4046.7376528451841</v>
      </c>
      <c r="F70" s="119">
        <f t="shared" si="70"/>
        <v>611</v>
      </c>
      <c r="G70" s="120">
        <f t="shared" si="0"/>
        <v>0.9492635024549918</v>
      </c>
      <c r="H70" s="273">
        <f>H46</f>
        <v>20850</v>
      </c>
      <c r="I70" s="119">
        <f t="shared" ref="I70:K70" si="71">I46</f>
        <v>0</v>
      </c>
      <c r="J70" s="119">
        <f t="shared" si="71"/>
        <v>0</v>
      </c>
      <c r="K70" s="119">
        <f t="shared" si="71"/>
        <v>20700</v>
      </c>
      <c r="L70" s="120">
        <f t="shared" si="17"/>
        <v>1.0072463768115942</v>
      </c>
      <c r="M70" s="275">
        <f t="shared" si="25"/>
        <v>131357.8811973109</v>
      </c>
      <c r="N70" s="121">
        <f>N46</f>
        <v>93324.001199999999</v>
      </c>
      <c r="O70" s="121">
        <f t="shared" ref="O70:Q70" si="72">O46</f>
        <v>38033.879997310891</v>
      </c>
      <c r="P70" s="121">
        <f t="shared" si="72"/>
        <v>1214021.2958535552</v>
      </c>
      <c r="Q70" s="121">
        <f t="shared" si="72"/>
        <v>190205.90000000002</v>
      </c>
      <c r="R70" s="120">
        <f t="shared" si="28"/>
        <v>0.69060886753413475</v>
      </c>
      <c r="S70" s="275">
        <f t="shared" ref="S70:T70" si="73">S46</f>
        <v>17695.738799999999</v>
      </c>
      <c r="T70" s="121">
        <f t="shared" si="73"/>
        <v>12725.998800000001</v>
      </c>
      <c r="U70" s="121">
        <f t="shared" ref="U70:W70" si="74">U46</f>
        <v>4969.74</v>
      </c>
      <c r="V70" s="121">
        <f t="shared" si="74"/>
        <v>183569.27110104664</v>
      </c>
      <c r="W70" s="121">
        <f t="shared" si="74"/>
        <v>28419.71</v>
      </c>
      <c r="X70" s="120">
        <f t="shared" si="31"/>
        <v>0.62265726145692546</v>
      </c>
    </row>
    <row r="71" spans="2:24" s="122" customFormat="1">
      <c r="B71" s="187" t="s">
        <v>58</v>
      </c>
      <c r="C71" s="123">
        <v>0</v>
      </c>
      <c r="D71" s="114">
        <v>201.19550231726905</v>
      </c>
      <c r="E71" s="114">
        <v>201.19550231726905</v>
      </c>
      <c r="F71" s="114">
        <v>0</v>
      </c>
      <c r="G71" s="117" t="str">
        <f t="shared" si="0"/>
        <v>NA</v>
      </c>
      <c r="H71" s="274">
        <v>0</v>
      </c>
      <c r="I71" s="114">
        <v>23875.15695880571</v>
      </c>
      <c r="J71" s="114">
        <v>27541</v>
      </c>
      <c r="K71" s="114">
        <v>0</v>
      </c>
      <c r="L71" s="117" t="str">
        <f t="shared" si="17"/>
        <v>NA</v>
      </c>
      <c r="M71" s="276">
        <f t="shared" si="25"/>
        <v>0</v>
      </c>
      <c r="N71" s="116">
        <v>0</v>
      </c>
      <c r="O71" s="116">
        <v>0</v>
      </c>
      <c r="P71" s="116">
        <v>199691.57959644435</v>
      </c>
      <c r="Q71" s="116">
        <v>0</v>
      </c>
      <c r="R71" s="117" t="str">
        <f t="shared" si="28"/>
        <v>NA</v>
      </c>
      <c r="S71" s="276">
        <f>SUM(T71:U71)</f>
        <v>0</v>
      </c>
      <c r="T71" s="116">
        <v>0</v>
      </c>
      <c r="U71" s="116">
        <v>0</v>
      </c>
      <c r="V71" s="116">
        <v>37199.554127287935</v>
      </c>
      <c r="W71" s="116">
        <v>0</v>
      </c>
      <c r="X71" s="117" t="str">
        <f t="shared" si="31"/>
        <v>NA</v>
      </c>
    </row>
    <row r="72" spans="2:24" s="122" customFormat="1">
      <c r="B72" s="187" t="s">
        <v>59</v>
      </c>
      <c r="C72" s="123">
        <v>0</v>
      </c>
      <c r="D72" s="114">
        <v>112.07855080607848</v>
      </c>
      <c r="E72" s="114">
        <v>112.07855080607848</v>
      </c>
      <c r="F72" s="114">
        <v>0</v>
      </c>
      <c r="G72" s="117" t="str">
        <f t="shared" si="0"/>
        <v>NA</v>
      </c>
      <c r="H72" s="274">
        <v>0</v>
      </c>
      <c r="I72" s="114">
        <v>34595.003924999997</v>
      </c>
      <c r="J72" s="114">
        <v>30751</v>
      </c>
      <c r="K72" s="114">
        <v>0</v>
      </c>
      <c r="L72" s="117" t="str">
        <f t="shared" si="17"/>
        <v>NA</v>
      </c>
      <c r="M72" s="276">
        <f t="shared" si="25"/>
        <v>0</v>
      </c>
      <c r="N72" s="116">
        <v>0</v>
      </c>
      <c r="O72" s="116">
        <v>0</v>
      </c>
      <c r="P72" s="116">
        <v>57500</v>
      </c>
      <c r="Q72" s="116">
        <v>0</v>
      </c>
      <c r="R72" s="117" t="str">
        <f t="shared" si="28"/>
        <v>NA</v>
      </c>
      <c r="S72" s="276">
        <f>SUM(T72:U72)</f>
        <v>0</v>
      </c>
      <c r="T72" s="116">
        <v>0</v>
      </c>
      <c r="U72" s="116">
        <v>0</v>
      </c>
      <c r="V72" s="116">
        <v>0</v>
      </c>
      <c r="W72" s="116">
        <v>0</v>
      </c>
      <c r="X72" s="117" t="str">
        <f t="shared" si="31"/>
        <v>NA</v>
      </c>
    </row>
    <row r="73" spans="2:24" s="111" customFormat="1">
      <c r="B73" s="187"/>
      <c r="C73" s="123"/>
      <c r="D73" s="114"/>
      <c r="E73" s="114"/>
      <c r="F73" s="114"/>
      <c r="G73" s="117"/>
      <c r="H73" s="274"/>
      <c r="I73" s="114"/>
      <c r="J73" s="114"/>
      <c r="K73" s="114"/>
      <c r="L73" s="157"/>
      <c r="M73" s="115"/>
      <c r="N73" s="116"/>
      <c r="O73" s="116"/>
      <c r="P73" s="116"/>
      <c r="Q73" s="116"/>
      <c r="R73" s="117"/>
      <c r="S73" s="115"/>
      <c r="T73" s="116"/>
      <c r="U73" s="116"/>
      <c r="V73" s="116"/>
      <c r="W73" s="116"/>
      <c r="X73" s="117"/>
    </row>
    <row r="74" spans="2:24" s="104" customFormat="1">
      <c r="B74" s="188" t="s">
        <v>60</v>
      </c>
      <c r="C74" s="147">
        <f>SUM(C62:C73)</f>
        <v>40622</v>
      </c>
      <c r="D74" s="148">
        <f>SUM(D62:D73)</f>
        <v>37766.140619476311</v>
      </c>
      <c r="E74" s="148">
        <f>SUM(E62:E73)</f>
        <v>37766.140619476311</v>
      </c>
      <c r="F74" s="148">
        <f>SUM(F62:F73)</f>
        <v>52758</v>
      </c>
      <c r="G74" s="158">
        <f t="shared" si="0"/>
        <v>0.76996853557754275</v>
      </c>
      <c r="H74" s="147">
        <f>SUM(H62:H73)</f>
        <v>395856.04677604092</v>
      </c>
      <c r="I74" s="148">
        <f>SUM(I62:I73)</f>
        <v>857668.52804887714</v>
      </c>
      <c r="J74" s="148">
        <f>SUM(J62:J73)</f>
        <v>792852</v>
      </c>
      <c r="K74" s="148">
        <f>SUM(K62:K73)</f>
        <v>600735</v>
      </c>
      <c r="L74" s="158">
        <f t="shared" ref="L74" si="75">IF(K74=0,"NA",H74/K74)</f>
        <v>0.65895286070570369</v>
      </c>
      <c r="M74" s="150">
        <f t="shared" si="7"/>
        <v>8305747.8666026555</v>
      </c>
      <c r="N74" s="151">
        <f>SUM(N62:N73)</f>
        <v>4581688.4000000004</v>
      </c>
      <c r="O74" s="151">
        <f>SUM(O62:O73)</f>
        <v>3724059.4666026547</v>
      </c>
      <c r="P74" s="151">
        <f>SUM(P62:P73)</f>
        <v>11299659.059490733</v>
      </c>
      <c r="Q74" s="151">
        <f>SUM(Q62:Q73)</f>
        <v>14126575.540000001</v>
      </c>
      <c r="R74" s="149">
        <f t="shared" si="2"/>
        <v>0.5879519663548024</v>
      </c>
      <c r="S74" s="150">
        <f t="shared" si="3"/>
        <v>938468.63817711629</v>
      </c>
      <c r="T74" s="151">
        <f>SUM(T62:T73)</f>
        <v>575233.09000000008</v>
      </c>
      <c r="U74" s="151">
        <f>SUM(U62:U73)</f>
        <v>363235.5481771162</v>
      </c>
      <c r="V74" s="151">
        <f>SUM(V62:V73)</f>
        <v>920621.96081366658</v>
      </c>
      <c r="W74" s="151">
        <f>SUM(W62:W73)</f>
        <v>1388047.27</v>
      </c>
      <c r="X74" s="149">
        <f t="shared" si="4"/>
        <v>0.67610711714242722</v>
      </c>
    </row>
    <row r="75" spans="2:24" s="104" customFormat="1">
      <c r="B75" s="190" t="s">
        <v>61</v>
      </c>
      <c r="C75" s="137"/>
      <c r="D75" s="138"/>
      <c r="E75" s="138"/>
      <c r="F75" s="138"/>
      <c r="G75" s="156"/>
      <c r="H75" s="140"/>
      <c r="I75" s="141"/>
      <c r="J75" s="138"/>
      <c r="K75" s="138"/>
      <c r="L75" s="156"/>
      <c r="M75" s="142"/>
      <c r="N75" s="143"/>
      <c r="O75" s="143"/>
      <c r="P75" s="143"/>
      <c r="Q75" s="143"/>
      <c r="R75" s="139"/>
      <c r="S75" s="142"/>
      <c r="T75" s="143"/>
      <c r="U75" s="143"/>
      <c r="V75" s="143"/>
      <c r="W75" s="143"/>
      <c r="X75" s="139"/>
    </row>
    <row r="76" spans="2:24" s="111" customFormat="1" ht="15.95" customHeight="1">
      <c r="B76" s="192"/>
      <c r="C76" s="124"/>
      <c r="D76" s="125"/>
      <c r="E76" s="125"/>
      <c r="F76" s="125"/>
      <c r="G76" s="152"/>
      <c r="H76" s="113"/>
      <c r="I76" s="114"/>
      <c r="J76" s="125"/>
      <c r="K76" s="125"/>
      <c r="L76" s="152"/>
      <c r="M76" s="115"/>
      <c r="N76" s="127"/>
      <c r="O76" s="127"/>
      <c r="P76" s="127"/>
      <c r="Q76" s="127"/>
      <c r="R76" s="126"/>
      <c r="S76" s="115"/>
      <c r="T76" s="127"/>
      <c r="U76" s="127"/>
      <c r="V76" s="127"/>
      <c r="W76" s="127"/>
      <c r="X76" s="126"/>
    </row>
    <row r="77" spans="2:24" s="111" customFormat="1" ht="15.95" customHeight="1">
      <c r="B77" s="193"/>
      <c r="C77" s="123"/>
      <c r="D77" s="114"/>
      <c r="E77" s="114"/>
      <c r="F77" s="114"/>
      <c r="G77" s="157"/>
      <c r="H77" s="113"/>
      <c r="I77" s="114"/>
      <c r="J77" s="114"/>
      <c r="K77" s="114"/>
      <c r="L77" s="157"/>
      <c r="M77" s="115"/>
      <c r="N77" s="116"/>
      <c r="O77" s="116"/>
      <c r="P77" s="116"/>
      <c r="Q77" s="116"/>
      <c r="R77" s="117"/>
      <c r="S77" s="115"/>
      <c r="T77" s="116"/>
      <c r="U77" s="116"/>
      <c r="V77" s="116"/>
      <c r="W77" s="116"/>
      <c r="X77" s="117"/>
    </row>
    <row r="78" spans="2:24" s="104" customFormat="1">
      <c r="B78" s="194" t="s">
        <v>62</v>
      </c>
      <c r="C78" s="17">
        <f>SUM(C76:C77)</f>
        <v>0</v>
      </c>
      <c r="D78" s="18">
        <f>SUM(D76:D77)</f>
        <v>0</v>
      </c>
      <c r="E78" s="18">
        <f>SUM(E76:E77)</f>
        <v>0</v>
      </c>
      <c r="F78" s="18">
        <f>SUM(F76:F77)</f>
        <v>0</v>
      </c>
      <c r="G78" s="154" t="str">
        <f t="shared" si="0"/>
        <v>NA</v>
      </c>
      <c r="H78" s="17">
        <f>SUM(H76:H77)</f>
        <v>0</v>
      </c>
      <c r="I78" s="18">
        <f>SUM(I76:I77)</f>
        <v>0</v>
      </c>
      <c r="J78" s="18">
        <f>SUM(J76:J77)</f>
        <v>0</v>
      </c>
      <c r="K78" s="18">
        <f>SUM(K76:K77)</f>
        <v>0</v>
      </c>
      <c r="L78" s="154" t="str">
        <f t="shared" ref="L78" si="76">IF(K78=0,"NA",H78/K78)</f>
        <v>NA</v>
      </c>
      <c r="M78" s="23">
        <f t="shared" si="7"/>
        <v>0</v>
      </c>
      <c r="N78" s="27">
        <f>SUM(N76:N77)</f>
        <v>0</v>
      </c>
      <c r="O78" s="27">
        <f t="shared" ref="O78:Q78" si="77">SUM(O76:O77)</f>
        <v>0</v>
      </c>
      <c r="P78" s="27">
        <f t="shared" si="77"/>
        <v>0</v>
      </c>
      <c r="Q78" s="27">
        <f t="shared" si="77"/>
        <v>0</v>
      </c>
      <c r="R78" s="13" t="str">
        <f t="shared" si="2"/>
        <v>NA</v>
      </c>
      <c r="S78" s="23">
        <f t="shared" si="3"/>
        <v>0</v>
      </c>
      <c r="T78" s="27">
        <f>SUM(T76:T77)</f>
        <v>0</v>
      </c>
      <c r="U78" s="27">
        <f t="shared" ref="U78" si="78">SUM(U76:U77)</f>
        <v>0</v>
      </c>
      <c r="V78" s="27">
        <f t="shared" ref="V78" si="79">SUM(V76:V77)</f>
        <v>0</v>
      </c>
      <c r="W78" s="27">
        <f t="shared" ref="W78" si="80">SUM(W76:W77)</f>
        <v>0</v>
      </c>
      <c r="X78" s="13" t="str">
        <f t="shared" si="4"/>
        <v>NA</v>
      </c>
    </row>
    <row r="79" spans="2:24" s="104" customFormat="1">
      <c r="B79" s="194" t="s">
        <v>63</v>
      </c>
      <c r="C79" s="284">
        <v>34244</v>
      </c>
      <c r="D79" s="19">
        <v>28164.459982155488</v>
      </c>
      <c r="E79" s="19">
        <v>28164.459982155488</v>
      </c>
      <c r="F79" s="19">
        <v>25045</v>
      </c>
      <c r="G79" s="159">
        <f t="shared" si="0"/>
        <v>1.3672988620483131</v>
      </c>
      <c r="H79" s="284">
        <v>-1168721.2013651878</v>
      </c>
      <c r="I79" s="19">
        <v>-961244.36799165478</v>
      </c>
      <c r="J79" s="19">
        <v>-617635</v>
      </c>
      <c r="K79" s="19">
        <v>-854776</v>
      </c>
      <c r="L79" s="159">
        <f t="shared" si="1"/>
        <v>1.3672835940236832</v>
      </c>
      <c r="M79" s="24">
        <f t="shared" si="7"/>
        <v>0</v>
      </c>
      <c r="N79" s="28"/>
      <c r="O79" s="28"/>
      <c r="P79" s="28"/>
      <c r="Q79" s="28"/>
      <c r="R79" s="15" t="str">
        <f t="shared" si="2"/>
        <v>NA</v>
      </c>
      <c r="S79" s="24">
        <f t="shared" si="3"/>
        <v>0</v>
      </c>
      <c r="T79" s="28"/>
      <c r="U79" s="28"/>
      <c r="V79" s="28"/>
      <c r="W79" s="28"/>
      <c r="X79" s="15" t="str">
        <f t="shared" si="4"/>
        <v>NA</v>
      </c>
    </row>
    <row r="80" spans="2:24" s="104" customFormat="1">
      <c r="B80" s="194" t="s">
        <v>64</v>
      </c>
      <c r="C80" s="17">
        <v>81456</v>
      </c>
      <c r="D80" s="18">
        <v>73292</v>
      </c>
      <c r="E80" s="18">
        <v>73292</v>
      </c>
      <c r="F80" s="18">
        <v>78500</v>
      </c>
      <c r="G80" s="154">
        <f t="shared" si="0"/>
        <v>1.037656050955414</v>
      </c>
      <c r="H80" s="17">
        <v>0</v>
      </c>
      <c r="I80" s="18">
        <v>0</v>
      </c>
      <c r="J80" s="18">
        <v>0</v>
      </c>
      <c r="K80" s="18">
        <v>0</v>
      </c>
      <c r="L80" s="154" t="str">
        <f t="shared" si="1"/>
        <v>NA</v>
      </c>
      <c r="M80" s="23">
        <f t="shared" si="7"/>
        <v>0</v>
      </c>
      <c r="N80" s="27"/>
      <c r="O80" s="27"/>
      <c r="P80" s="27"/>
      <c r="Q80" s="27"/>
      <c r="R80" s="13" t="str">
        <f t="shared" si="2"/>
        <v>NA</v>
      </c>
      <c r="S80" s="23">
        <f t="shared" si="3"/>
        <v>0</v>
      </c>
      <c r="T80" s="27"/>
      <c r="U80" s="27"/>
      <c r="V80" s="27"/>
      <c r="W80" s="27"/>
      <c r="X80" s="13" t="str">
        <f t="shared" si="4"/>
        <v>NA</v>
      </c>
    </row>
    <row r="81" spans="2:24" s="104" customFormat="1" ht="38.450000000000003" customHeight="1" thickBot="1">
      <c r="B81" s="195" t="s">
        <v>65</v>
      </c>
      <c r="C81" s="20">
        <f>SUM(C35,C48,C60,C71:C72,C78:C80)</f>
        <v>456036</v>
      </c>
      <c r="D81" s="21">
        <f>SUM(D35,D48,D60,D71:D72,D78:D80)</f>
        <v>455601.24225446203</v>
      </c>
      <c r="E81" s="21">
        <f t="shared" ref="E81:F81" si="81">SUM(E35,E48,E60,E71:E72,E78:E80)</f>
        <v>455601.24225446203</v>
      </c>
      <c r="F81" s="21">
        <f t="shared" si="81"/>
        <v>456345</v>
      </c>
      <c r="G81" s="14">
        <f t="shared" si="0"/>
        <v>0.99932288071524833</v>
      </c>
      <c r="H81" s="20">
        <f>SUM(H35,H48,H60,H71:H72,H78:H80)</f>
        <v>3969673.38466</v>
      </c>
      <c r="I81" s="21">
        <f t="shared" ref="I81:K81" si="82">SUM(I35,I48,I60,I71:I72,I78:I80)</f>
        <v>3369257.9649976832</v>
      </c>
      <c r="J81" s="21">
        <f t="shared" si="82"/>
        <v>3358430</v>
      </c>
      <c r="K81" s="21">
        <f t="shared" si="82"/>
        <v>3500528</v>
      </c>
      <c r="L81" s="14">
        <f t="shared" si="1"/>
        <v>1.1340213204008081</v>
      </c>
      <c r="M81" s="25">
        <f>SUM(N81:O81)</f>
        <v>89850452.355935767</v>
      </c>
      <c r="N81" s="29">
        <f>SUM(N35,N48,N60,N71:N72)</f>
        <v>56040766.28199999</v>
      </c>
      <c r="O81" s="29">
        <f>SUM(O35,O48,O60,O71:O72)</f>
        <v>33809686.073935777</v>
      </c>
      <c r="P81" s="29">
        <f t="shared" ref="P81:Q81" si="83">SUM(P35,P48,P60,P71:P72)</f>
        <v>102592543.49789762</v>
      </c>
      <c r="Q81" s="29">
        <f t="shared" si="83"/>
        <v>102909447.5272</v>
      </c>
      <c r="R81" s="14">
        <f t="shared" si="2"/>
        <v>0.87310207677664764</v>
      </c>
      <c r="S81" s="25">
        <f>SUM(T81:U81)</f>
        <v>14000070.214744084</v>
      </c>
      <c r="T81" s="29">
        <f t="shared" ref="T81:U81" si="84">SUM(T35,T48,T60,T71:T72)</f>
        <v>9478614.4082999993</v>
      </c>
      <c r="U81" s="29">
        <f t="shared" si="84"/>
        <v>4521455.8064440833</v>
      </c>
      <c r="V81" s="29">
        <f>SUM(V35,V48,V60,V71:V72)</f>
        <v>14421155.438069608</v>
      </c>
      <c r="W81" s="29">
        <f>SUM(W35,W48,W60,W71:W72)</f>
        <v>14518682.1556</v>
      </c>
      <c r="X81" s="14">
        <f t="shared" si="4"/>
        <v>0.9642796821847992</v>
      </c>
    </row>
    <row r="82" spans="2:24" ht="18" customHeight="1">
      <c r="B82" s="128"/>
      <c r="C82" s="129"/>
      <c r="D82" s="130"/>
      <c r="E82" s="131"/>
      <c r="F82" s="131"/>
      <c r="G82" s="132"/>
      <c r="H82" s="132"/>
      <c r="I82" s="132"/>
      <c r="J82" s="132"/>
      <c r="K82" s="132"/>
      <c r="L82" s="132"/>
      <c r="M82" s="132"/>
      <c r="N82" s="132"/>
      <c r="O82" s="270"/>
      <c r="P82" s="132"/>
      <c r="Q82" s="132"/>
      <c r="R82" s="132"/>
      <c r="S82" s="133"/>
      <c r="T82" s="133"/>
      <c r="U82" s="133"/>
      <c r="V82" s="133"/>
      <c r="W82" s="133"/>
      <c r="X82" s="132"/>
    </row>
    <row r="83" spans="2:24">
      <c r="B83" s="129"/>
      <c r="C83" s="129"/>
      <c r="D83" s="134"/>
      <c r="E83" s="134"/>
      <c r="F83" s="134"/>
      <c r="G83" s="132"/>
      <c r="H83" s="132"/>
      <c r="I83" s="132"/>
      <c r="J83" s="132"/>
      <c r="K83" s="132"/>
      <c r="L83" s="132"/>
      <c r="M83" s="132"/>
      <c r="N83" s="132"/>
      <c r="O83" s="132"/>
      <c r="P83" s="132"/>
      <c r="Q83" s="132"/>
      <c r="R83" s="132"/>
      <c r="S83" s="133"/>
      <c r="T83" s="133"/>
      <c r="U83" s="133"/>
      <c r="V83" s="133"/>
      <c r="W83" s="133"/>
      <c r="X83" s="132"/>
    </row>
    <row r="84" spans="2:24">
      <c r="B84" s="135" t="s">
        <v>66</v>
      </c>
      <c r="C84" s="135"/>
      <c r="W84" s="136"/>
    </row>
    <row r="85" spans="2:24">
      <c r="B85" s="303" t="s">
        <v>67</v>
      </c>
      <c r="C85" s="304"/>
      <c r="D85" s="304"/>
      <c r="E85" s="304"/>
      <c r="F85" s="304"/>
      <c r="G85" s="304"/>
      <c r="H85" s="304"/>
      <c r="I85" s="304"/>
      <c r="J85" s="304"/>
      <c r="K85" s="304"/>
      <c r="L85" s="304"/>
      <c r="M85" s="304"/>
      <c r="N85" s="304"/>
      <c r="O85" s="304"/>
      <c r="P85" s="304"/>
      <c r="Q85" s="304"/>
      <c r="R85" s="304"/>
      <c r="S85" s="304"/>
      <c r="T85" s="304"/>
      <c r="U85" s="304"/>
      <c r="V85" s="304"/>
      <c r="W85" s="304"/>
      <c r="X85" s="305"/>
    </row>
    <row r="86" spans="2:24" ht="17.45" customHeight="1">
      <c r="B86" s="306" t="s">
        <v>68</v>
      </c>
      <c r="C86" s="307"/>
      <c r="D86" s="307"/>
      <c r="E86" s="307"/>
      <c r="F86" s="307"/>
      <c r="G86" s="307"/>
      <c r="H86" s="307"/>
      <c r="I86" s="307"/>
      <c r="J86" s="307"/>
      <c r="K86" s="307"/>
      <c r="L86" s="307"/>
      <c r="M86" s="307"/>
      <c r="N86" s="307"/>
      <c r="O86" s="307"/>
      <c r="P86" s="307"/>
      <c r="Q86" s="307"/>
      <c r="R86" s="307"/>
      <c r="S86" s="307"/>
      <c r="T86" s="307"/>
      <c r="U86" s="307"/>
      <c r="V86" s="307"/>
      <c r="W86" s="307"/>
      <c r="X86" s="308"/>
    </row>
    <row r="87" spans="2:24">
      <c r="B87" s="297" t="s">
        <v>69</v>
      </c>
      <c r="C87" s="298"/>
      <c r="D87" s="298"/>
      <c r="E87" s="298"/>
      <c r="F87" s="298"/>
      <c r="G87" s="298"/>
      <c r="H87" s="298"/>
      <c r="I87" s="298"/>
      <c r="J87" s="298"/>
      <c r="K87" s="298"/>
      <c r="L87" s="298"/>
      <c r="M87" s="298"/>
      <c r="N87" s="298"/>
      <c r="O87" s="298"/>
      <c r="P87" s="298"/>
      <c r="Q87" s="298"/>
      <c r="R87" s="298"/>
      <c r="S87" s="298"/>
      <c r="T87" s="298"/>
      <c r="U87" s="298"/>
      <c r="V87" s="298"/>
      <c r="W87" s="298"/>
      <c r="X87" s="299"/>
    </row>
    <row r="88" spans="2:24">
      <c r="B88" s="300"/>
      <c r="C88" s="301"/>
      <c r="D88" s="301"/>
      <c r="E88" s="301"/>
      <c r="F88" s="301"/>
      <c r="G88" s="301"/>
      <c r="H88" s="301"/>
      <c r="I88" s="301"/>
      <c r="J88" s="301"/>
      <c r="K88" s="301"/>
      <c r="L88" s="301"/>
      <c r="M88" s="301"/>
      <c r="N88" s="301"/>
      <c r="O88" s="301"/>
      <c r="P88" s="301"/>
      <c r="Q88" s="301"/>
      <c r="R88" s="301"/>
      <c r="S88" s="301"/>
      <c r="T88" s="301"/>
      <c r="U88" s="301"/>
      <c r="V88" s="301"/>
      <c r="W88" s="301"/>
      <c r="X88" s="302"/>
    </row>
    <row r="89" spans="2:24" ht="30.6" customHeight="1">
      <c r="B89" s="289" t="s">
        <v>70</v>
      </c>
      <c r="C89" s="289"/>
      <c r="D89" s="289"/>
      <c r="E89" s="289"/>
      <c r="F89" s="289"/>
      <c r="G89" s="289"/>
      <c r="H89" s="289"/>
      <c r="I89" s="289"/>
      <c r="J89" s="289"/>
      <c r="K89" s="289"/>
      <c r="L89" s="289"/>
      <c r="M89" s="289"/>
      <c r="N89" s="289"/>
      <c r="O89" s="289"/>
      <c r="P89" s="289"/>
      <c r="Q89" s="289"/>
      <c r="R89" s="289"/>
      <c r="S89" s="289"/>
      <c r="T89" s="289"/>
      <c r="U89" s="289"/>
      <c r="V89" s="289"/>
      <c r="W89" s="289"/>
      <c r="X89" s="289"/>
    </row>
    <row r="95" spans="2:24">
      <c r="K95" s="287"/>
    </row>
    <row r="96" spans="2:24">
      <c r="K96" s="288"/>
    </row>
    <row r="97" spans="11:11">
      <c r="K97" s="287"/>
    </row>
    <row r="98" spans="11:11">
      <c r="K98" s="288"/>
    </row>
  </sheetData>
  <mergeCells count="10">
    <mergeCell ref="B89:X89"/>
    <mergeCell ref="B5:X6"/>
    <mergeCell ref="B8:X16"/>
    <mergeCell ref="B87:X88"/>
    <mergeCell ref="B85:X85"/>
    <mergeCell ref="B86:X86"/>
    <mergeCell ref="C20:G20"/>
    <mergeCell ref="H20:L20"/>
    <mergeCell ref="M20:R20"/>
    <mergeCell ref="S20:X20"/>
  </mergeCells>
  <printOptions headings="1"/>
  <pageMargins left="0.7" right="0.7" top="0.75" bottom="0.75" header="0.3" footer="0.3"/>
  <pageSetup scale="44" orientation="portrait" r:id="rId1"/>
  <ignoredErrors>
    <ignoredError sqref="G60 G48 G35 G78 G81 G73:G74 G68:G70 L68:L70 L62:L67 G62:G67 M68" formula="1"/>
    <ignoredError sqref="S23:S29 S36:S46 S50:S56 M36:M55 S71:S72 S30:S32 S57 M71:M72 M56:M58 M24:M3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zoomScale="85" zoomScaleNormal="85" workbookViewId="0">
      <selection activeCell="D20" sqref="D20"/>
    </sheetView>
  </sheetViews>
  <sheetFormatPr defaultColWidth="9.140625" defaultRowHeight="16.5"/>
  <cols>
    <col min="1" max="1" width="3.42578125" style="61" customWidth="1"/>
    <col min="2" max="2" width="87" style="160" bestFit="1" customWidth="1"/>
    <col min="3" max="3" width="19.28515625" style="160" customWidth="1"/>
    <col min="4" max="7" width="19.28515625" style="61" customWidth="1"/>
    <col min="8" max="8" width="9.140625" style="61"/>
    <col min="9" max="9" width="10.28515625" style="61" bestFit="1" customWidth="1"/>
    <col min="10" max="16384" width="9.140625" style="61"/>
  </cols>
  <sheetData>
    <row r="1" spans="2:5">
      <c r="B1" s="62" t="s">
        <v>0</v>
      </c>
    </row>
    <row r="2" spans="2:5">
      <c r="B2" s="62" t="s">
        <v>71</v>
      </c>
    </row>
    <row r="3" spans="2:5">
      <c r="B3" s="62" t="s">
        <v>72</v>
      </c>
    </row>
    <row r="4" spans="2:5">
      <c r="B4" s="62"/>
    </row>
    <row r="5" spans="2:5" ht="37.5" customHeight="1">
      <c r="B5" s="312" t="s">
        <v>73</v>
      </c>
      <c r="C5" s="313"/>
      <c r="D5" s="313"/>
      <c r="E5" s="314"/>
    </row>
    <row r="6" spans="2:5" ht="37.5" customHeight="1">
      <c r="B6" s="315"/>
      <c r="C6" s="316"/>
      <c r="D6" s="316"/>
      <c r="E6" s="317"/>
    </row>
    <row r="7" spans="2:5" ht="18.75" customHeight="1">
      <c r="B7" s="318"/>
      <c r="C7" s="319"/>
      <c r="D7" s="319"/>
      <c r="E7" s="320"/>
    </row>
    <row r="9" spans="2:5">
      <c r="B9" s="279" t="s">
        <v>74</v>
      </c>
    </row>
    <row r="10" spans="2:5">
      <c r="B10" s="62"/>
    </row>
    <row r="11" spans="2:5" ht="38.25">
      <c r="B11" s="32" t="s">
        <v>75</v>
      </c>
      <c r="C11" s="33" t="s">
        <v>76</v>
      </c>
      <c r="D11" s="33" t="s">
        <v>77</v>
      </c>
      <c r="E11" s="33" t="s">
        <v>78</v>
      </c>
    </row>
    <row r="12" spans="2:5" s="64" customFormat="1" ht="21" customHeight="1">
      <c r="B12" s="176" t="s">
        <v>79</v>
      </c>
      <c r="C12" s="177"/>
      <c r="D12" s="177"/>
      <c r="E12" s="178"/>
    </row>
    <row r="13" spans="2:5" ht="15">
      <c r="B13" s="161" t="s">
        <v>80</v>
      </c>
      <c r="C13" s="162">
        <f>'1- Ex Ante Results'!M36</f>
        <v>37118335.449581288</v>
      </c>
      <c r="D13" s="162">
        <f>'1- Ex Ante Results'!S36</f>
        <v>3795370.2350974339</v>
      </c>
      <c r="E13" s="162">
        <f>SUM(C13:D13)</f>
        <v>40913705.684678718</v>
      </c>
    </row>
    <row r="14" spans="2:5" ht="15">
      <c r="B14" s="163" t="s">
        <v>81</v>
      </c>
      <c r="C14" s="164">
        <f>'1- Ex Ante Results'!M37</f>
        <v>7671882.9499999993</v>
      </c>
      <c r="D14" s="164">
        <f>'1- Ex Ante Results'!S37</f>
        <v>1843938.0499999998</v>
      </c>
      <c r="E14" s="162">
        <f t="shared" ref="E14:E17" si="0">SUM(C14:D14)</f>
        <v>9515821</v>
      </c>
    </row>
    <row r="15" spans="2:5" ht="15">
      <c r="B15" s="163" t="s">
        <v>36</v>
      </c>
      <c r="C15" s="164">
        <f>'1- Ex Ante Results'!M48</f>
        <v>13155934.849902876</v>
      </c>
      <c r="D15" s="164">
        <f>'1- Ex Ante Results'!S48</f>
        <v>2169633.0088628195</v>
      </c>
      <c r="E15" s="162">
        <f t="shared" si="0"/>
        <v>15325567.858765695</v>
      </c>
    </row>
    <row r="16" spans="2:5" ht="15">
      <c r="B16" s="163" t="s">
        <v>46</v>
      </c>
      <c r="C16" s="164">
        <f>'1- Ex Ante Results'!M60</f>
        <v>31904299.106451608</v>
      </c>
      <c r="D16" s="164">
        <f>'1- Ex Ante Results'!S60</f>
        <v>6191128.9207838299</v>
      </c>
      <c r="E16" s="162">
        <f t="shared" si="0"/>
        <v>38095428.027235441</v>
      </c>
    </row>
    <row r="17" spans="2:7" ht="15">
      <c r="B17" s="165" t="s">
        <v>82</v>
      </c>
      <c r="C17" s="166">
        <f>'1- Ex Ante Results'!M74</f>
        <v>8305747.8666026555</v>
      </c>
      <c r="D17" s="166">
        <f>'1- Ex Ante Results'!S74</f>
        <v>938468.63817711629</v>
      </c>
      <c r="E17" s="167">
        <f t="shared" si="0"/>
        <v>9244216.504779771</v>
      </c>
    </row>
    <row r="18" spans="2:7" s="64" customFormat="1" ht="21.6" customHeight="1">
      <c r="B18" s="34" t="s">
        <v>83</v>
      </c>
      <c r="C18" s="35">
        <f>SUM(C13:C16)</f>
        <v>89850452.355935767</v>
      </c>
      <c r="D18" s="35">
        <f t="shared" ref="D18:E18" si="1">SUM(D13:D16)</f>
        <v>14000070.214744084</v>
      </c>
      <c r="E18" s="35">
        <f t="shared" si="1"/>
        <v>103850522.57067984</v>
      </c>
    </row>
    <row r="19" spans="2:7" s="64" customFormat="1" ht="29.45" customHeight="1">
      <c r="B19" s="179" t="s">
        <v>84</v>
      </c>
      <c r="C19" s="180"/>
      <c r="D19" s="180"/>
      <c r="E19" s="181"/>
    </row>
    <row r="20" spans="2:7" ht="15">
      <c r="B20" s="168" t="s">
        <v>85</v>
      </c>
      <c r="C20" s="169">
        <v>3337353.8100000005</v>
      </c>
      <c r="D20" s="169">
        <v>2058.5700000000002</v>
      </c>
      <c r="E20" s="170">
        <f>SUM(C20:D20)</f>
        <v>3339412.3800000004</v>
      </c>
    </row>
    <row r="21" spans="2:7" ht="15">
      <c r="B21" s="163" t="s">
        <v>86</v>
      </c>
      <c r="C21" s="164">
        <v>1816197.7100000002</v>
      </c>
      <c r="D21" s="164">
        <v>280286.64</v>
      </c>
      <c r="E21" s="170">
        <f t="shared" ref="E21:E23" si="2">SUM(C21:D21)</f>
        <v>2096484.35</v>
      </c>
    </row>
    <row r="22" spans="2:7" ht="15">
      <c r="B22" s="171" t="s">
        <v>87</v>
      </c>
      <c r="C22" s="164">
        <v>2424626.6022399995</v>
      </c>
      <c r="D22" s="164">
        <v>331157.33</v>
      </c>
      <c r="E22" s="170">
        <f t="shared" si="2"/>
        <v>2755783.9322399995</v>
      </c>
    </row>
    <row r="23" spans="2:7" ht="15">
      <c r="B23" s="163" t="s">
        <v>88</v>
      </c>
      <c r="C23" s="164">
        <v>5267082.2699999958</v>
      </c>
      <c r="D23" s="164">
        <v>729897.44000000099</v>
      </c>
      <c r="E23" s="170">
        <f t="shared" si="2"/>
        <v>5996979.7099999972</v>
      </c>
    </row>
    <row r="24" spans="2:7" s="64" customFormat="1" ht="23.45" customHeight="1">
      <c r="B24" s="6" t="s">
        <v>89</v>
      </c>
      <c r="C24" s="36">
        <f>SUM(C20:C23)</f>
        <v>12845260.392239995</v>
      </c>
      <c r="D24" s="36">
        <f t="shared" ref="D24:E24" si="3">SUM(D20:D23)</f>
        <v>1343399.9800000009</v>
      </c>
      <c r="E24" s="36">
        <f t="shared" si="3"/>
        <v>14188660.372239998</v>
      </c>
    </row>
    <row r="25" spans="2:7" s="64" customFormat="1" ht="32.450000000000003" customHeight="1">
      <c r="B25" s="182" t="s">
        <v>90</v>
      </c>
      <c r="C25" s="183">
        <f>SUM(C18,C24)</f>
        <v>102695712.74817577</v>
      </c>
      <c r="D25" s="183">
        <f t="shared" ref="D25:E25" si="4">SUM(D18,D24)</f>
        <v>15343470.194744084</v>
      </c>
      <c r="E25" s="183">
        <f t="shared" si="4"/>
        <v>118039182.94291984</v>
      </c>
    </row>
    <row r="26" spans="2:7" ht="15">
      <c r="B26" s="173"/>
      <c r="C26" s="173"/>
    </row>
    <row r="27" spans="2:7" s="64" customFormat="1" ht="17.45" customHeight="1">
      <c r="B27" s="174"/>
      <c r="C27" s="174"/>
    </row>
    <row r="28" spans="2:7" s="64" customFormat="1" ht="20.100000000000001" customHeight="1">
      <c r="B28" s="280" t="s">
        <v>91</v>
      </c>
      <c r="C28" s="174"/>
    </row>
    <row r="29" spans="2:7" ht="42" customHeight="1">
      <c r="B29" s="5" t="s">
        <v>92</v>
      </c>
      <c r="C29" s="33" t="s">
        <v>76</v>
      </c>
      <c r="D29" s="33" t="s">
        <v>77</v>
      </c>
      <c r="E29" s="33" t="s">
        <v>78</v>
      </c>
      <c r="F29" s="5" t="s">
        <v>93</v>
      </c>
      <c r="G29" s="4" t="s">
        <v>21</v>
      </c>
    </row>
    <row r="30" spans="2:7" s="64" customFormat="1" ht="35.450000000000003" customHeight="1">
      <c r="B30" s="172" t="s">
        <v>90</v>
      </c>
      <c r="C30" s="175">
        <f>C25</f>
        <v>102695712.74817577</v>
      </c>
      <c r="D30" s="175">
        <f t="shared" ref="D30:E30" si="5">D25</f>
        <v>15343470.194744084</v>
      </c>
      <c r="E30" s="175">
        <f t="shared" si="5"/>
        <v>118039182.94291984</v>
      </c>
      <c r="F30" s="175">
        <v>135784471</v>
      </c>
      <c r="G30" s="266">
        <f>E30/F30</f>
        <v>0.86931283138349325</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topLeftCell="A19" zoomScale="70" zoomScaleNormal="70" workbookViewId="0">
      <selection activeCell="I33" sqref="I33"/>
    </sheetView>
  </sheetViews>
  <sheetFormatPr defaultColWidth="9.140625" defaultRowHeight="15"/>
  <cols>
    <col min="1" max="1" width="3.5703125" style="61" customWidth="1"/>
    <col min="2" max="2" width="18.85546875" style="64" customWidth="1"/>
    <col min="3" max="3" width="22.28515625" style="61" customWidth="1"/>
    <col min="4" max="4" width="24.140625" style="61" customWidth="1"/>
    <col min="5" max="5" width="18.85546875" style="61" customWidth="1"/>
    <col min="6" max="6" width="18.5703125" style="61" customWidth="1"/>
    <col min="7" max="7" width="19.42578125" style="61" customWidth="1"/>
    <col min="8" max="8" width="22" style="61" bestFit="1" customWidth="1"/>
    <col min="9" max="12" width="19.42578125" style="61" customWidth="1"/>
    <col min="13" max="13" width="3.42578125" style="61" customWidth="1"/>
    <col min="14" max="14" width="31.85546875" style="61" customWidth="1"/>
    <col min="15" max="17" width="16.7109375" style="61" customWidth="1"/>
    <col min="18" max="20" width="19.140625" style="61" bestFit="1" customWidth="1"/>
    <col min="21" max="23" width="16.7109375" style="61" customWidth="1"/>
    <col min="24" max="24" width="21.140625" style="61" bestFit="1" customWidth="1"/>
    <col min="25" max="16384" width="9.140625" style="61"/>
  </cols>
  <sheetData>
    <row r="1" spans="2:24">
      <c r="B1" s="60" t="s">
        <v>0</v>
      </c>
    </row>
    <row r="2" spans="2:24">
      <c r="B2" s="60" t="s">
        <v>94</v>
      </c>
    </row>
    <row r="3" spans="2:24">
      <c r="B3" s="62" t="s">
        <v>72</v>
      </c>
    </row>
    <row r="4" spans="2:24">
      <c r="B4" s="60"/>
    </row>
    <row r="5" spans="2:24" ht="14.45" customHeight="1">
      <c r="B5" s="324" t="s">
        <v>95</v>
      </c>
      <c r="C5" s="324"/>
      <c r="D5" s="324"/>
      <c r="E5" s="324"/>
      <c r="F5" s="324"/>
      <c r="G5" s="324"/>
      <c r="H5" s="63"/>
      <c r="I5" s="63"/>
      <c r="J5" s="63"/>
      <c r="K5" s="63"/>
      <c r="L5" s="63"/>
    </row>
    <row r="6" spans="2:24">
      <c r="B6" s="324"/>
      <c r="C6" s="324"/>
      <c r="D6" s="324"/>
      <c r="E6" s="324"/>
      <c r="F6" s="324"/>
      <c r="G6" s="324"/>
      <c r="H6" s="63"/>
      <c r="I6" s="63"/>
      <c r="J6" s="63"/>
      <c r="K6" s="63"/>
      <c r="L6" s="63"/>
    </row>
    <row r="7" spans="2:24">
      <c r="B7" s="324"/>
      <c r="C7" s="324"/>
      <c r="D7" s="324"/>
      <c r="E7" s="324"/>
      <c r="F7" s="324"/>
      <c r="G7" s="324"/>
      <c r="H7" s="63"/>
      <c r="I7" s="63"/>
      <c r="J7" s="63"/>
      <c r="K7" s="63"/>
      <c r="L7" s="63"/>
    </row>
    <row r="8" spans="2:24">
      <c r="B8" s="324"/>
      <c r="C8" s="324"/>
      <c r="D8" s="324"/>
      <c r="E8" s="324"/>
      <c r="F8" s="324"/>
      <c r="G8" s="324"/>
      <c r="H8" s="63"/>
      <c r="I8" s="63"/>
      <c r="J8" s="63"/>
      <c r="K8" s="63"/>
      <c r="L8" s="63"/>
    </row>
    <row r="9" spans="2:24">
      <c r="B9" s="324"/>
      <c r="C9" s="324"/>
      <c r="D9" s="324"/>
      <c r="E9" s="324"/>
      <c r="F9" s="324"/>
      <c r="G9" s="324"/>
      <c r="H9" s="63"/>
      <c r="I9" s="63"/>
      <c r="J9" s="63"/>
      <c r="K9" s="63"/>
      <c r="L9" s="63"/>
    </row>
    <row r="11" spans="2:24" ht="18">
      <c r="B11" s="281" t="s">
        <v>96</v>
      </c>
      <c r="C11" s="65"/>
      <c r="D11" s="66"/>
      <c r="E11" s="66"/>
      <c r="F11" s="66"/>
      <c r="G11" s="66"/>
      <c r="H11" s="66"/>
      <c r="I11" s="66"/>
      <c r="J11" s="66"/>
      <c r="K11" s="66"/>
      <c r="L11" s="66"/>
      <c r="N11" s="67" t="s">
        <v>97</v>
      </c>
    </row>
    <row r="12" spans="2:24" ht="18.75" thickBot="1">
      <c r="B12" s="65"/>
      <c r="C12" s="65"/>
      <c r="D12" s="66"/>
      <c r="E12" s="66"/>
      <c r="F12" s="66"/>
      <c r="G12" s="66"/>
      <c r="H12" s="66"/>
      <c r="I12" s="66"/>
      <c r="J12" s="66"/>
      <c r="K12" s="66"/>
      <c r="L12" s="66"/>
      <c r="N12" s="67"/>
    </row>
    <row r="13" spans="2:24" ht="33" customHeight="1" thickBot="1">
      <c r="C13" s="329" t="s">
        <v>98</v>
      </c>
      <c r="D13" s="330"/>
      <c r="E13" s="330"/>
      <c r="F13" s="330"/>
      <c r="G13" s="331"/>
      <c r="H13" s="329" t="s">
        <v>99</v>
      </c>
      <c r="I13" s="330"/>
      <c r="J13" s="330"/>
      <c r="K13" s="330"/>
      <c r="L13" s="331"/>
      <c r="N13" s="321" t="s">
        <v>98</v>
      </c>
      <c r="O13" s="322"/>
      <c r="P13" s="322"/>
      <c r="Q13" s="322"/>
      <c r="R13" s="322"/>
      <c r="S13" s="322"/>
      <c r="T13" s="322"/>
      <c r="U13" s="322"/>
      <c r="V13" s="322"/>
      <c r="W13" s="322"/>
      <c r="X13" s="323"/>
    </row>
    <row r="14" spans="2:24" s="64" customFormat="1" ht="57.75" thickBot="1">
      <c r="B14" s="85" t="s">
        <v>100</v>
      </c>
      <c r="C14" s="86" t="s">
        <v>101</v>
      </c>
      <c r="D14" s="87" t="s">
        <v>102</v>
      </c>
      <c r="E14" s="87" t="s">
        <v>103</v>
      </c>
      <c r="F14" s="87" t="s">
        <v>104</v>
      </c>
      <c r="G14" s="88" t="s">
        <v>105</v>
      </c>
      <c r="H14" s="86" t="s">
        <v>101</v>
      </c>
      <c r="I14" s="87" t="s">
        <v>106</v>
      </c>
      <c r="J14" s="87" t="s">
        <v>107</v>
      </c>
      <c r="K14" s="87" t="s">
        <v>108</v>
      </c>
      <c r="L14" s="88" t="s">
        <v>105</v>
      </c>
      <c r="N14" s="98" t="s">
        <v>109</v>
      </c>
      <c r="O14" s="99" t="s">
        <v>110</v>
      </c>
      <c r="P14" s="99" t="s">
        <v>111</v>
      </c>
      <c r="Q14" s="99" t="s">
        <v>112</v>
      </c>
      <c r="R14" s="99" t="s">
        <v>113</v>
      </c>
      <c r="S14" s="99" t="s">
        <v>114</v>
      </c>
      <c r="T14" s="99" t="s">
        <v>115</v>
      </c>
      <c r="U14" s="99" t="s">
        <v>116</v>
      </c>
      <c r="V14" s="99" t="s">
        <v>117</v>
      </c>
      <c r="W14" s="99" t="s">
        <v>118</v>
      </c>
      <c r="X14" s="100" t="s">
        <v>119</v>
      </c>
    </row>
    <row r="15" spans="2:24" ht="33" customHeight="1">
      <c r="B15" s="39" t="s">
        <v>120</v>
      </c>
      <c r="C15" s="44" t="s">
        <v>121</v>
      </c>
      <c r="D15" s="45">
        <v>89955</v>
      </c>
      <c r="E15" s="45">
        <v>55709</v>
      </c>
      <c r="F15" s="45">
        <v>55709</v>
      </c>
      <c r="G15" s="46">
        <f>D15/F15</f>
        <v>1.6147301154212066</v>
      </c>
      <c r="H15" s="57" t="s">
        <v>121</v>
      </c>
      <c r="I15" s="45">
        <v>35193</v>
      </c>
      <c r="J15" s="45"/>
      <c r="K15" s="45">
        <v>0</v>
      </c>
      <c r="L15" s="46" t="s">
        <v>122</v>
      </c>
      <c r="N15" s="95" t="s">
        <v>123</v>
      </c>
      <c r="O15" s="96">
        <v>10283</v>
      </c>
      <c r="P15" s="96">
        <v>20978</v>
      </c>
      <c r="Q15" s="96">
        <v>26536</v>
      </c>
      <c r="R15" s="96">
        <v>37396</v>
      </c>
      <c r="S15" s="96">
        <v>34724</v>
      </c>
      <c r="T15" s="96">
        <v>28336</v>
      </c>
      <c r="U15" s="96">
        <v>33496.606</v>
      </c>
      <c r="V15" s="96">
        <v>18944.617999999999</v>
      </c>
      <c r="W15" s="96">
        <v>40705.535000000003</v>
      </c>
      <c r="X15" s="97">
        <v>15109</v>
      </c>
    </row>
    <row r="16" spans="2:24" s="64" customFormat="1" ht="33" customHeight="1">
      <c r="B16" s="40" t="s">
        <v>124</v>
      </c>
      <c r="C16" s="47" t="s">
        <v>121</v>
      </c>
      <c r="D16" s="48">
        <v>129748</v>
      </c>
      <c r="E16" s="48">
        <v>113186</v>
      </c>
      <c r="F16" s="48">
        <v>113186</v>
      </c>
      <c r="G16" s="49">
        <f t="shared" ref="G16:G31" si="0">D16/F16</f>
        <v>1.1463255172901243</v>
      </c>
      <c r="H16" s="58" t="s">
        <v>121</v>
      </c>
      <c r="I16" s="48">
        <v>1903686</v>
      </c>
      <c r="J16" s="48"/>
      <c r="K16" s="48">
        <v>0</v>
      </c>
      <c r="L16" s="49" t="s">
        <v>122</v>
      </c>
      <c r="N16" s="76" t="s">
        <v>125</v>
      </c>
      <c r="O16" s="78" t="s">
        <v>126</v>
      </c>
      <c r="P16" s="78" t="s">
        <v>126</v>
      </c>
      <c r="Q16" s="78" t="s">
        <v>121</v>
      </c>
      <c r="R16" s="78" t="s">
        <v>121</v>
      </c>
      <c r="S16" s="78" t="s">
        <v>121</v>
      </c>
      <c r="T16" s="78" t="s">
        <v>121</v>
      </c>
      <c r="U16" s="78" t="s">
        <v>121</v>
      </c>
      <c r="V16" s="78" t="s">
        <v>121</v>
      </c>
      <c r="W16" s="78" t="s">
        <v>121</v>
      </c>
      <c r="X16" s="79" t="s">
        <v>121</v>
      </c>
    </row>
    <row r="17" spans="2:24" ht="33" customHeight="1" thickBot="1">
      <c r="B17" s="40" t="s">
        <v>127</v>
      </c>
      <c r="C17" s="47" t="s">
        <v>121</v>
      </c>
      <c r="D17" s="48">
        <v>263374</v>
      </c>
      <c r="E17" s="48">
        <v>181765</v>
      </c>
      <c r="F17" s="48">
        <v>181765</v>
      </c>
      <c r="G17" s="49">
        <f t="shared" si="0"/>
        <v>1.4489808268918658</v>
      </c>
      <c r="H17" s="58" t="s">
        <v>121</v>
      </c>
      <c r="I17" s="48">
        <v>2053110</v>
      </c>
      <c r="J17" s="48"/>
      <c r="K17" s="48">
        <v>0</v>
      </c>
      <c r="L17" s="49" t="s">
        <v>122</v>
      </c>
      <c r="N17" s="80" t="s">
        <v>128</v>
      </c>
      <c r="O17" s="81" t="s">
        <v>129</v>
      </c>
      <c r="P17" s="81" t="s">
        <v>130</v>
      </c>
      <c r="Q17" s="82" t="s">
        <v>131</v>
      </c>
      <c r="R17" s="82" t="s">
        <v>132</v>
      </c>
      <c r="S17" s="82" t="s">
        <v>133</v>
      </c>
      <c r="T17" s="82" t="s">
        <v>134</v>
      </c>
      <c r="U17" s="81" t="s">
        <v>135</v>
      </c>
      <c r="V17" s="83" t="s">
        <v>136</v>
      </c>
      <c r="W17" s="83" t="s">
        <v>136</v>
      </c>
      <c r="X17" s="84"/>
    </row>
    <row r="18" spans="2:24" ht="33" customHeight="1" thickBot="1">
      <c r="B18" s="41" t="s">
        <v>137</v>
      </c>
      <c r="C18" s="50" t="s">
        <v>121</v>
      </c>
      <c r="D18" s="51">
        <f>SUM(D15:D17)</f>
        <v>483077</v>
      </c>
      <c r="E18" s="51">
        <f t="shared" ref="E18:F18" si="1">SUM(E15:E17)</f>
        <v>350660</v>
      </c>
      <c r="F18" s="51">
        <f t="shared" si="1"/>
        <v>350660</v>
      </c>
      <c r="G18" s="52">
        <f t="shared" si="0"/>
        <v>1.3776221981406491</v>
      </c>
      <c r="H18" s="59" t="s">
        <v>121</v>
      </c>
      <c r="I18" s="51">
        <f>SUM(I15:I17)</f>
        <v>3991989</v>
      </c>
      <c r="J18" s="51">
        <f t="shared" ref="J18:K18" si="2">SUM(J15:J17)</f>
        <v>0</v>
      </c>
      <c r="K18" s="51">
        <f t="shared" si="2"/>
        <v>0</v>
      </c>
      <c r="L18" s="52" t="s">
        <v>122</v>
      </c>
      <c r="N18" s="68"/>
    </row>
    <row r="19" spans="2:24" ht="33" customHeight="1" thickBot="1">
      <c r="B19" s="40" t="s">
        <v>138</v>
      </c>
      <c r="C19" s="47" t="s">
        <v>121</v>
      </c>
      <c r="D19" s="48">
        <v>353664</v>
      </c>
      <c r="E19" s="48">
        <v>273534</v>
      </c>
      <c r="F19" s="48">
        <v>273534</v>
      </c>
      <c r="G19" s="49">
        <f t="shared" si="0"/>
        <v>1.2929434732062559</v>
      </c>
      <c r="H19" s="58" t="s">
        <v>121</v>
      </c>
      <c r="I19" s="48">
        <v>5771819</v>
      </c>
      <c r="J19" s="48">
        <v>1881446</v>
      </c>
      <c r="K19" s="48">
        <v>1881446</v>
      </c>
      <c r="L19" s="49">
        <f t="shared" ref="L19:L31" si="3">I19/K19</f>
        <v>3.0677569273845755</v>
      </c>
      <c r="N19" s="321" t="s">
        <v>99</v>
      </c>
      <c r="O19" s="322"/>
      <c r="P19" s="322"/>
      <c r="Q19" s="322"/>
      <c r="R19" s="322"/>
      <c r="S19" s="322"/>
      <c r="T19" s="322"/>
      <c r="U19" s="322"/>
      <c r="V19" s="322"/>
      <c r="W19" s="322"/>
      <c r="X19" s="323"/>
    </row>
    <row r="20" spans="2:24" ht="33" customHeight="1" thickBot="1">
      <c r="B20" s="40" t="s">
        <v>139</v>
      </c>
      <c r="C20" s="47" t="s">
        <v>121</v>
      </c>
      <c r="D20" s="48">
        <v>366726</v>
      </c>
      <c r="E20" s="48">
        <v>245871</v>
      </c>
      <c r="F20" s="48">
        <v>245871</v>
      </c>
      <c r="G20" s="49">
        <f t="shared" si="0"/>
        <v>1.4915382456654098</v>
      </c>
      <c r="H20" s="58" t="s">
        <v>121</v>
      </c>
      <c r="I20" s="48">
        <v>6914780</v>
      </c>
      <c r="J20" s="48">
        <v>3762892</v>
      </c>
      <c r="K20" s="48">
        <v>3762892</v>
      </c>
      <c r="L20" s="49">
        <f t="shared" si="3"/>
        <v>1.8376238276304502</v>
      </c>
      <c r="N20" s="98" t="s">
        <v>109</v>
      </c>
      <c r="O20" s="99" t="s">
        <v>110</v>
      </c>
      <c r="P20" s="99" t="s">
        <v>111</v>
      </c>
      <c r="Q20" s="99" t="s">
        <v>112</v>
      </c>
      <c r="R20" s="99" t="s">
        <v>113</v>
      </c>
      <c r="S20" s="99" t="s">
        <v>114</v>
      </c>
      <c r="T20" s="99" t="s">
        <v>115</v>
      </c>
      <c r="U20" s="99" t="s">
        <v>116</v>
      </c>
      <c r="V20" s="99" t="s">
        <v>117</v>
      </c>
      <c r="W20" s="99" t="s">
        <v>118</v>
      </c>
      <c r="X20" s="100" t="s">
        <v>119</v>
      </c>
    </row>
    <row r="21" spans="2:24" ht="33" customHeight="1">
      <c r="B21" s="40" t="s">
        <v>140</v>
      </c>
      <c r="C21" s="47" t="s">
        <v>121</v>
      </c>
      <c r="D21" s="48">
        <v>304624</v>
      </c>
      <c r="E21" s="48">
        <v>216495</v>
      </c>
      <c r="F21" s="48">
        <v>216495</v>
      </c>
      <c r="G21" s="49">
        <f t="shared" si="0"/>
        <v>1.4070717568535069</v>
      </c>
      <c r="H21" s="58" t="s">
        <v>121</v>
      </c>
      <c r="I21" s="48">
        <v>6296042</v>
      </c>
      <c r="J21" s="48">
        <v>5644338</v>
      </c>
      <c r="K21" s="48">
        <v>5644338</v>
      </c>
      <c r="L21" s="49">
        <f t="shared" si="3"/>
        <v>1.1154615474835137</v>
      </c>
      <c r="N21" s="95" t="s">
        <v>141</v>
      </c>
      <c r="O21" s="96"/>
      <c r="P21" s="96"/>
      <c r="Q21" s="96"/>
      <c r="R21" s="96">
        <v>1157810</v>
      </c>
      <c r="S21" s="96">
        <v>1836138</v>
      </c>
      <c r="T21" s="96">
        <v>2220590</v>
      </c>
      <c r="U21" s="96">
        <v>824815</v>
      </c>
      <c r="V21" s="96">
        <v>651005</v>
      </c>
      <c r="W21" s="96">
        <v>1667500</v>
      </c>
      <c r="X21" s="97">
        <v>316324</v>
      </c>
    </row>
    <row r="22" spans="2:24" ht="33" customHeight="1">
      <c r="B22" s="41" t="s">
        <v>142</v>
      </c>
      <c r="C22" s="50" t="s">
        <v>121</v>
      </c>
      <c r="D22" s="51">
        <f>SUM(D19:D21)</f>
        <v>1025014</v>
      </c>
      <c r="E22" s="51">
        <f t="shared" ref="E22" si="4">SUM(E19:E21)</f>
        <v>735900</v>
      </c>
      <c r="F22" s="51">
        <f t="shared" ref="F22" si="5">SUM(F19:F21)</f>
        <v>735900</v>
      </c>
      <c r="G22" s="52">
        <f t="shared" si="0"/>
        <v>1.3928713140372333</v>
      </c>
      <c r="H22" s="59" t="s">
        <v>121</v>
      </c>
      <c r="I22" s="51">
        <f>SUM(I19:I21)</f>
        <v>18982641</v>
      </c>
      <c r="J22" s="51">
        <f t="shared" ref="J22:K22" si="6">SUM(J19:J21)</f>
        <v>11288676</v>
      </c>
      <c r="K22" s="51">
        <f t="shared" si="6"/>
        <v>11288676</v>
      </c>
      <c r="L22" s="52">
        <f t="shared" si="3"/>
        <v>1.681564870849336</v>
      </c>
      <c r="N22" s="76" t="s">
        <v>125</v>
      </c>
      <c r="O22" s="78"/>
      <c r="P22" s="78"/>
      <c r="Q22" s="78"/>
      <c r="R22" s="78" t="s">
        <v>121</v>
      </c>
      <c r="S22" s="78" t="s">
        <v>121</v>
      </c>
      <c r="T22" s="78" t="s">
        <v>121</v>
      </c>
      <c r="U22" s="78" t="s">
        <v>121</v>
      </c>
      <c r="V22" s="78" t="s">
        <v>121</v>
      </c>
      <c r="W22" s="78" t="s">
        <v>121</v>
      </c>
      <c r="X22" s="79" t="s">
        <v>121</v>
      </c>
    </row>
    <row r="23" spans="2:24" ht="33" customHeight="1" thickBot="1">
      <c r="B23" s="40" t="s">
        <v>143</v>
      </c>
      <c r="C23" s="53" t="s">
        <v>126</v>
      </c>
      <c r="D23" s="48">
        <v>275564</v>
      </c>
      <c r="E23" s="48">
        <v>223445.99405183073</v>
      </c>
      <c r="F23" s="48">
        <v>223408</v>
      </c>
      <c r="G23" s="49">
        <f t="shared" si="0"/>
        <v>1.2334562773043043</v>
      </c>
      <c r="H23" s="89" t="s">
        <v>126</v>
      </c>
      <c r="I23" s="48">
        <v>6515201</v>
      </c>
      <c r="J23" s="48">
        <v>5194921.4161395058</v>
      </c>
      <c r="K23" s="48">
        <v>5066568</v>
      </c>
      <c r="L23" s="49">
        <f t="shared" si="3"/>
        <v>1.2859199758100552</v>
      </c>
      <c r="N23" s="80" t="s">
        <v>128</v>
      </c>
      <c r="O23" s="81"/>
      <c r="P23" s="81"/>
      <c r="Q23" s="82"/>
      <c r="R23" s="82" t="s">
        <v>132</v>
      </c>
      <c r="S23" s="82" t="s">
        <v>133</v>
      </c>
      <c r="T23" s="82" t="s">
        <v>134</v>
      </c>
      <c r="U23" s="81" t="s">
        <v>135</v>
      </c>
      <c r="V23" s="83"/>
      <c r="W23" s="83"/>
      <c r="X23" s="84"/>
    </row>
    <row r="24" spans="2:24" ht="33" customHeight="1">
      <c r="B24" s="40" t="s">
        <v>144</v>
      </c>
      <c r="C24" s="53" t="s">
        <v>126</v>
      </c>
      <c r="D24" s="48">
        <v>211414</v>
      </c>
      <c r="E24" s="48">
        <v>185278</v>
      </c>
      <c r="F24" s="48">
        <v>180913</v>
      </c>
      <c r="G24" s="49">
        <f t="shared" si="0"/>
        <v>1.1685948494580267</v>
      </c>
      <c r="H24" s="89" t="s">
        <v>126</v>
      </c>
      <c r="I24" s="48">
        <v>6836449</v>
      </c>
      <c r="J24" s="48">
        <v>5433379.4147227583</v>
      </c>
      <c r="K24" s="48">
        <v>5369967</v>
      </c>
      <c r="L24" s="49">
        <f t="shared" si="3"/>
        <v>1.2730895739210315</v>
      </c>
    </row>
    <row r="25" spans="2:24" ht="33" customHeight="1">
      <c r="B25" s="40" t="s">
        <v>145</v>
      </c>
      <c r="C25" s="53" t="s">
        <v>126</v>
      </c>
      <c r="D25" s="48">
        <v>197694</v>
      </c>
      <c r="E25" s="48">
        <v>191603</v>
      </c>
      <c r="F25" s="48">
        <v>174349</v>
      </c>
      <c r="G25" s="49">
        <f t="shared" si="0"/>
        <v>1.13389810093548</v>
      </c>
      <c r="H25" s="89" t="s">
        <v>126</v>
      </c>
      <c r="I25" s="48">
        <v>5868915</v>
      </c>
      <c r="J25" s="48">
        <v>5429061.1936935615</v>
      </c>
      <c r="K25" s="48">
        <v>5369967</v>
      </c>
      <c r="L25" s="49">
        <f t="shared" si="3"/>
        <v>1.092914537463638</v>
      </c>
      <c r="N25" s="68" t="s">
        <v>66</v>
      </c>
    </row>
    <row r="26" spans="2:24" ht="33" customHeight="1">
      <c r="B26" s="40" t="s">
        <v>146</v>
      </c>
      <c r="C26" s="53" t="s">
        <v>126</v>
      </c>
      <c r="D26" s="48">
        <v>91233</v>
      </c>
      <c r="E26" s="48">
        <v>77329</v>
      </c>
      <c r="F26" s="48">
        <v>77329</v>
      </c>
      <c r="G26" s="49">
        <f t="shared" si="0"/>
        <v>1.1798031786263885</v>
      </c>
      <c r="H26" s="89" t="s">
        <v>126</v>
      </c>
      <c r="I26" s="48">
        <v>2947129</v>
      </c>
      <c r="J26" s="48">
        <v>2634576</v>
      </c>
      <c r="K26" s="48">
        <v>2634576</v>
      </c>
      <c r="L26" s="49">
        <f t="shared" si="3"/>
        <v>1.1186350289382427</v>
      </c>
      <c r="N26" s="326" t="s">
        <v>147</v>
      </c>
      <c r="O26" s="327"/>
      <c r="P26" s="327"/>
      <c r="Q26" s="327"/>
      <c r="R26" s="327"/>
      <c r="S26" s="327"/>
      <c r="T26" s="327"/>
      <c r="U26" s="327"/>
      <c r="V26" s="327"/>
      <c r="W26" s="328"/>
    </row>
    <row r="27" spans="2:24" ht="33" customHeight="1">
      <c r="B27" s="41" t="s">
        <v>148</v>
      </c>
      <c r="C27" s="50" t="s">
        <v>126</v>
      </c>
      <c r="D27" s="51">
        <f>SUM(D23:D26)</f>
        <v>775905</v>
      </c>
      <c r="E27" s="51">
        <f t="shared" ref="E27:F27" si="7">SUM(E23:E26)</f>
        <v>677655.99405183073</v>
      </c>
      <c r="F27" s="51">
        <f t="shared" si="7"/>
        <v>655999</v>
      </c>
      <c r="G27" s="52">
        <f t="shared" si="0"/>
        <v>1.1827838152192305</v>
      </c>
      <c r="H27" s="90" t="s">
        <v>126</v>
      </c>
      <c r="I27" s="51">
        <f>SUM(I23:I26)</f>
        <v>22167694</v>
      </c>
      <c r="J27" s="51">
        <f t="shared" ref="J27:K27" si="8">SUM(J23:J26)</f>
        <v>18691938.024555825</v>
      </c>
      <c r="K27" s="51">
        <f t="shared" si="8"/>
        <v>18441078</v>
      </c>
      <c r="L27" s="52">
        <f t="shared" si="3"/>
        <v>1.2020823294603493</v>
      </c>
      <c r="N27" s="332" t="s">
        <v>149</v>
      </c>
      <c r="O27" s="333"/>
      <c r="P27" s="333"/>
      <c r="Q27" s="333"/>
      <c r="R27" s="333"/>
      <c r="S27" s="333"/>
      <c r="T27" s="333"/>
      <c r="U27" s="333"/>
      <c r="V27" s="333"/>
      <c r="W27" s="334"/>
    </row>
    <row r="28" spans="2:24" ht="33" customHeight="1">
      <c r="B28" s="42">
        <v>2018</v>
      </c>
      <c r="C28" s="53" t="s">
        <v>126</v>
      </c>
      <c r="D28" s="48">
        <v>377775</v>
      </c>
      <c r="E28" s="48">
        <v>358145</v>
      </c>
      <c r="F28" s="48">
        <v>358145</v>
      </c>
      <c r="G28" s="49">
        <f t="shared" si="0"/>
        <v>1.0548102025715842</v>
      </c>
      <c r="H28" s="89" t="s">
        <v>126</v>
      </c>
      <c r="I28" s="48">
        <v>7353769</v>
      </c>
      <c r="J28" s="48">
        <v>3716492</v>
      </c>
      <c r="K28" s="48">
        <v>3716492</v>
      </c>
      <c r="L28" s="49">
        <f t="shared" si="3"/>
        <v>1.9786855454014163</v>
      </c>
      <c r="N28" s="69"/>
      <c r="O28" s="69"/>
      <c r="P28" s="69"/>
      <c r="Q28" s="69"/>
      <c r="R28" s="69"/>
      <c r="S28" s="69"/>
      <c r="T28" s="69"/>
      <c r="U28" s="69"/>
      <c r="V28" s="69"/>
      <c r="W28" s="69"/>
    </row>
    <row r="29" spans="2:24" ht="33" customHeight="1">
      <c r="B29" s="42">
        <v>2019</v>
      </c>
      <c r="C29" s="53" t="s">
        <v>126</v>
      </c>
      <c r="D29" s="48">
        <v>344447</v>
      </c>
      <c r="E29" s="48">
        <v>356784</v>
      </c>
      <c r="F29" s="48">
        <v>356663</v>
      </c>
      <c r="G29" s="49">
        <f t="shared" si="0"/>
        <v>0.9657491805990529</v>
      </c>
      <c r="H29" s="89" t="s">
        <v>126</v>
      </c>
      <c r="I29" s="48">
        <v>4188155</v>
      </c>
      <c r="J29" s="48">
        <v>3524551</v>
      </c>
      <c r="K29" s="48">
        <v>3502780</v>
      </c>
      <c r="L29" s="49">
        <f t="shared" si="3"/>
        <v>1.1956660138518549</v>
      </c>
      <c r="N29" s="69"/>
      <c r="O29" s="69"/>
      <c r="P29" s="69"/>
      <c r="Q29" s="69"/>
      <c r="R29" s="69"/>
      <c r="S29" s="69"/>
      <c r="T29" s="69"/>
      <c r="U29" s="69"/>
      <c r="V29" s="69"/>
      <c r="W29" s="69"/>
    </row>
    <row r="30" spans="2:24" ht="33" customHeight="1">
      <c r="B30" s="42">
        <v>2020</v>
      </c>
      <c r="C30" s="53" t="s">
        <v>126</v>
      </c>
      <c r="D30" s="48">
        <v>442517</v>
      </c>
      <c r="E30" s="48">
        <v>378765</v>
      </c>
      <c r="F30" s="48">
        <v>370720</v>
      </c>
      <c r="G30" s="49">
        <f t="shared" si="0"/>
        <v>1.193669076391886</v>
      </c>
      <c r="H30" s="89" t="s">
        <v>126</v>
      </c>
      <c r="I30" s="48">
        <v>4296545</v>
      </c>
      <c r="J30" s="48">
        <v>3074613</v>
      </c>
      <c r="K30" s="91">
        <v>3134293</v>
      </c>
      <c r="L30" s="49">
        <f t="shared" si="3"/>
        <v>1.3708179165125915</v>
      </c>
    </row>
    <row r="31" spans="2:24" ht="33" customHeight="1">
      <c r="B31" s="42">
        <v>2021</v>
      </c>
      <c r="C31" s="53" t="s">
        <v>126</v>
      </c>
      <c r="D31" s="271">
        <v>451995</v>
      </c>
      <c r="E31" s="48">
        <v>418850</v>
      </c>
      <c r="F31" s="48">
        <v>404010.85587800015</v>
      </c>
      <c r="G31" s="49">
        <f t="shared" si="0"/>
        <v>1.1187694425134203</v>
      </c>
      <c r="H31" s="89" t="s">
        <v>126</v>
      </c>
      <c r="I31" s="48">
        <v>3407124</v>
      </c>
      <c r="J31" s="48">
        <v>3129204</v>
      </c>
      <c r="K31" s="91">
        <v>3209155</v>
      </c>
      <c r="L31" s="49">
        <f t="shared" si="3"/>
        <v>1.0616888246282901</v>
      </c>
    </row>
    <row r="32" spans="2:24" ht="33" customHeight="1">
      <c r="B32" s="41" t="s">
        <v>150</v>
      </c>
      <c r="C32" s="50" t="s">
        <v>126</v>
      </c>
      <c r="D32" s="51">
        <f>SUM(D28:D31)</f>
        <v>1616734</v>
      </c>
      <c r="E32" s="51">
        <f t="shared" ref="E32" si="9">SUM(E28:E31)</f>
        <v>1512544</v>
      </c>
      <c r="F32" s="51">
        <f t="shared" ref="F32" si="10">SUM(F28:F31)</f>
        <v>1489538.8558780001</v>
      </c>
      <c r="G32" s="52">
        <f>D32/F32</f>
        <v>1.085392296830703</v>
      </c>
      <c r="H32" s="90" t="s">
        <v>126</v>
      </c>
      <c r="I32" s="92">
        <f>SUM(I28:I31)</f>
        <v>19245593</v>
      </c>
      <c r="J32" s="51">
        <f t="shared" ref="J32:K32" si="11">SUM(J28:J31)</f>
        <v>13444860</v>
      </c>
      <c r="K32" s="51">
        <f t="shared" si="11"/>
        <v>13562720</v>
      </c>
      <c r="L32" s="52">
        <f>I32/K32</f>
        <v>1.4190068806257152</v>
      </c>
    </row>
    <row r="33" spans="2:12" ht="33" customHeight="1">
      <c r="B33" s="42">
        <v>2022</v>
      </c>
      <c r="C33" s="53" t="s">
        <v>151</v>
      </c>
      <c r="D33" s="48">
        <f>'1- Ex Ante Results'!C81</f>
        <v>456036</v>
      </c>
      <c r="E33" s="48">
        <f>'1- Ex Ante Results'!E81</f>
        <v>455601.24225446203</v>
      </c>
      <c r="F33" s="48">
        <v>455601</v>
      </c>
      <c r="G33" s="49">
        <f>D33/F33</f>
        <v>1.000954782803374</v>
      </c>
      <c r="H33" s="89" t="s">
        <v>151</v>
      </c>
      <c r="I33" s="48">
        <f>'1- Ex Ante Results'!H81</f>
        <v>3969673.38466</v>
      </c>
      <c r="J33" s="48">
        <v>3369258</v>
      </c>
      <c r="K33" s="48">
        <v>3358430</v>
      </c>
      <c r="L33" s="49">
        <f>I33/K33</f>
        <v>1.1820027169421425</v>
      </c>
    </row>
    <row r="34" spans="2:12" ht="33" customHeight="1">
      <c r="B34" s="42">
        <v>2023</v>
      </c>
      <c r="C34" s="53"/>
      <c r="D34" s="48"/>
      <c r="E34" s="48">
        <v>438166</v>
      </c>
      <c r="F34" s="48">
        <v>438166</v>
      </c>
      <c r="G34" s="49">
        <f t="shared" ref="G34:G36" si="12">D34/F34</f>
        <v>0</v>
      </c>
      <c r="H34" s="89"/>
      <c r="I34" s="48"/>
      <c r="J34" s="48">
        <v>3465035</v>
      </c>
      <c r="K34" s="48">
        <v>3440630</v>
      </c>
      <c r="L34" s="49">
        <f t="shared" ref="L34:L36" si="13">I34/K34</f>
        <v>0</v>
      </c>
    </row>
    <row r="35" spans="2:12" ht="33" customHeight="1">
      <c r="B35" s="42">
        <v>2024</v>
      </c>
      <c r="C35" s="53"/>
      <c r="D35" s="48"/>
      <c r="E35" s="48">
        <v>431422</v>
      </c>
      <c r="F35" s="48">
        <v>431422</v>
      </c>
      <c r="G35" s="49">
        <f t="shared" si="12"/>
        <v>0</v>
      </c>
      <c r="H35" s="89"/>
      <c r="I35" s="48"/>
      <c r="J35" s="48">
        <v>3536925</v>
      </c>
      <c r="K35" s="91">
        <v>3504664</v>
      </c>
      <c r="L35" s="49">
        <f t="shared" si="13"/>
        <v>0</v>
      </c>
    </row>
    <row r="36" spans="2:12" ht="33" customHeight="1">
      <c r="B36" s="42">
        <v>2025</v>
      </c>
      <c r="C36" s="53"/>
      <c r="D36" s="48"/>
      <c r="E36" s="48">
        <v>417175</v>
      </c>
      <c r="F36" s="48">
        <v>417175</v>
      </c>
      <c r="G36" s="49">
        <f t="shared" si="12"/>
        <v>0</v>
      </c>
      <c r="H36" s="89"/>
      <c r="I36" s="48"/>
      <c r="J36" s="48">
        <v>3601435</v>
      </c>
      <c r="K36" s="91">
        <v>3562191</v>
      </c>
      <c r="L36" s="49">
        <f t="shared" si="13"/>
        <v>0</v>
      </c>
    </row>
    <row r="37" spans="2:12" ht="33" customHeight="1" thickBot="1">
      <c r="B37" s="43" t="s">
        <v>152</v>
      </c>
      <c r="C37" s="54" t="s">
        <v>151</v>
      </c>
      <c r="D37" s="55">
        <f>SUM(D33:D36)</f>
        <v>456036</v>
      </c>
      <c r="E37" s="55">
        <f t="shared" ref="E37" si="14">SUM(E33:E36)</f>
        <v>1742364.2422544621</v>
      </c>
      <c r="F37" s="55">
        <f t="shared" ref="F37" si="15">SUM(F33:F36)</f>
        <v>1742364</v>
      </c>
      <c r="G37" s="56">
        <f>D37/F37</f>
        <v>0.26173405786620935</v>
      </c>
      <c r="H37" s="93" t="s">
        <v>151</v>
      </c>
      <c r="I37" s="94">
        <f>SUM(I33:I36)</f>
        <v>3969673.38466</v>
      </c>
      <c r="J37" s="55">
        <f t="shared" ref="J37:K37" si="16">SUM(J33:J36)</f>
        <v>13972653</v>
      </c>
      <c r="K37" s="55">
        <f t="shared" si="16"/>
        <v>13865915</v>
      </c>
      <c r="L37" s="56">
        <f>I37/K37</f>
        <v>0.28629004177942818</v>
      </c>
    </row>
    <row r="38" spans="2:12" ht="14.45" customHeight="1">
      <c r="B38" s="70"/>
      <c r="C38" s="71"/>
      <c r="D38" s="72"/>
      <c r="E38" s="72"/>
      <c r="F38" s="72"/>
      <c r="G38" s="73"/>
      <c r="H38" s="73"/>
      <c r="I38" s="73"/>
      <c r="J38" s="73"/>
      <c r="K38" s="73"/>
      <c r="L38" s="73"/>
    </row>
    <row r="39" spans="2:12">
      <c r="B39" s="68" t="s">
        <v>66</v>
      </c>
    </row>
    <row r="40" spans="2:12" ht="46.35" customHeight="1">
      <c r="B40" s="325" t="s">
        <v>153</v>
      </c>
      <c r="C40" s="325"/>
      <c r="D40" s="325"/>
      <c r="E40" s="325"/>
      <c r="F40" s="325"/>
      <c r="G40" s="325"/>
      <c r="H40" s="74"/>
      <c r="I40" s="74"/>
      <c r="J40" s="74"/>
      <c r="K40" s="74"/>
      <c r="L40" s="74"/>
    </row>
    <row r="41" spans="2:12" ht="42.75" customHeight="1">
      <c r="B41" s="325" t="s">
        <v>154</v>
      </c>
      <c r="C41" s="325"/>
      <c r="D41" s="325"/>
      <c r="E41" s="325"/>
      <c r="F41" s="325"/>
      <c r="G41" s="325"/>
      <c r="H41" s="74"/>
      <c r="I41" s="74"/>
      <c r="J41" s="74"/>
      <c r="K41" s="74"/>
      <c r="L41" s="74"/>
    </row>
    <row r="42" spans="2:12" ht="42" customHeight="1">
      <c r="B42" s="289" t="s">
        <v>155</v>
      </c>
      <c r="C42" s="289"/>
      <c r="D42" s="289"/>
      <c r="E42" s="289"/>
      <c r="F42" s="289"/>
      <c r="G42" s="289"/>
      <c r="H42" s="75"/>
      <c r="I42" s="75"/>
      <c r="J42" s="75"/>
      <c r="K42" s="75"/>
      <c r="L42" s="75"/>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8"/>
  <sheetViews>
    <sheetView topLeftCell="A19" zoomScale="85" zoomScaleNormal="85" workbookViewId="0">
      <selection activeCell="S31" sqref="S31"/>
    </sheetView>
  </sheetViews>
  <sheetFormatPr defaultColWidth="9.140625" defaultRowHeight="15"/>
  <cols>
    <col min="1" max="1" width="4.42578125" style="61" customWidth="1"/>
    <col min="2" max="2" width="49.85546875" style="61" customWidth="1"/>
    <col min="3" max="17" width="12.7109375" style="61" customWidth="1"/>
    <col min="18" max="16384" width="9.140625" style="61"/>
  </cols>
  <sheetData>
    <row r="1" spans="2:17">
      <c r="B1" s="62" t="s">
        <v>0</v>
      </c>
    </row>
    <row r="2" spans="2:17">
      <c r="B2" s="62" t="s">
        <v>156</v>
      </c>
    </row>
    <row r="3" spans="2:17">
      <c r="B3" s="62" t="s">
        <v>2</v>
      </c>
    </row>
    <row r="4" spans="2:17">
      <c r="B4" s="62"/>
    </row>
    <row r="5" spans="2:17" ht="22.35" customHeight="1">
      <c r="B5" s="296" t="s">
        <v>157</v>
      </c>
      <c r="C5" s="296"/>
      <c r="D5" s="296"/>
      <c r="E5" s="296"/>
      <c r="F5" s="296"/>
      <c r="G5" s="296"/>
      <c r="H5" s="296"/>
      <c r="I5" s="296"/>
      <c r="J5" s="296"/>
      <c r="K5" s="296"/>
    </row>
    <row r="6" spans="2:17" ht="21" customHeight="1">
      <c r="B6" s="296"/>
      <c r="C6" s="296"/>
      <c r="D6" s="296"/>
      <c r="E6" s="296"/>
      <c r="F6" s="296"/>
      <c r="G6" s="296"/>
      <c r="H6" s="296"/>
      <c r="I6" s="296"/>
      <c r="J6" s="296"/>
      <c r="K6" s="296"/>
    </row>
    <row r="7" spans="2:17" ht="21" customHeight="1">
      <c r="B7" s="296"/>
      <c r="C7" s="296"/>
      <c r="D7" s="296"/>
      <c r="E7" s="296"/>
      <c r="F7" s="296"/>
      <c r="G7" s="296"/>
      <c r="H7" s="296"/>
      <c r="I7" s="296"/>
      <c r="J7" s="296"/>
      <c r="K7" s="296"/>
    </row>
    <row r="8" spans="2:17" ht="16.5">
      <c r="B8" s="160"/>
      <c r="C8" s="160"/>
      <c r="D8" s="160"/>
      <c r="E8" s="160"/>
      <c r="F8" s="160"/>
      <c r="G8" s="160"/>
      <c r="H8" s="160"/>
      <c r="I8" s="160"/>
      <c r="J8" s="160"/>
      <c r="K8" s="160"/>
      <c r="L8" s="160"/>
    </row>
    <row r="9" spans="2:17" ht="16.5">
      <c r="B9" s="282" t="s">
        <v>158</v>
      </c>
      <c r="C9" s="67"/>
      <c r="D9" s="196"/>
      <c r="E9" s="196"/>
      <c r="F9" s="197"/>
      <c r="G9" s="197"/>
      <c r="H9" s="197"/>
      <c r="I9" s="197"/>
      <c r="J9" s="197"/>
      <c r="K9" s="197"/>
      <c r="L9" s="197"/>
    </row>
    <row r="10" spans="2:17" ht="16.5">
      <c r="B10" s="196"/>
      <c r="C10" s="196"/>
      <c r="D10" s="196"/>
      <c r="E10" s="196"/>
      <c r="F10" s="197"/>
      <c r="G10" s="197"/>
      <c r="H10" s="197"/>
      <c r="I10" s="197"/>
      <c r="J10" s="197"/>
      <c r="K10" s="197"/>
      <c r="L10" s="197"/>
    </row>
    <row r="11" spans="2:17" ht="28.5">
      <c r="B11" s="3" t="s">
        <v>159</v>
      </c>
      <c r="C11" s="2" t="s">
        <v>110</v>
      </c>
      <c r="D11" s="2" t="s">
        <v>111</v>
      </c>
      <c r="E11" s="2" t="s">
        <v>112</v>
      </c>
      <c r="F11" s="2" t="s">
        <v>113</v>
      </c>
      <c r="G11" s="2" t="s">
        <v>114</v>
      </c>
      <c r="H11" s="2" t="s">
        <v>115</v>
      </c>
      <c r="I11" s="2" t="s">
        <v>116</v>
      </c>
      <c r="J11" s="2" t="s">
        <v>117</v>
      </c>
      <c r="K11" s="2" t="s">
        <v>118</v>
      </c>
      <c r="L11" s="1" t="s">
        <v>119</v>
      </c>
      <c r="M11" s="1">
        <v>2018</v>
      </c>
      <c r="N11" s="1">
        <v>2019</v>
      </c>
      <c r="O11" s="1">
        <v>2020</v>
      </c>
      <c r="P11" s="1">
        <v>2021</v>
      </c>
      <c r="Q11" s="1">
        <v>2022</v>
      </c>
    </row>
    <row r="12" spans="2:17">
      <c r="B12" s="198" t="s">
        <v>160</v>
      </c>
      <c r="C12" s="212">
        <v>100238</v>
      </c>
      <c r="D12" s="212">
        <v>150726</v>
      </c>
      <c r="E12" s="212">
        <v>289910</v>
      </c>
      <c r="F12" s="212">
        <v>391060</v>
      </c>
      <c r="G12" s="212">
        <v>401450</v>
      </c>
      <c r="H12" s="212">
        <v>404319</v>
      </c>
      <c r="I12" s="212">
        <v>379998.60600000003</v>
      </c>
      <c r="J12" s="212">
        <v>452177.61800000002</v>
      </c>
      <c r="K12" s="212">
        <v>440264.53500000003</v>
      </c>
      <c r="L12" s="212">
        <v>106342</v>
      </c>
      <c r="M12" s="213">
        <v>377775</v>
      </c>
      <c r="N12" s="213">
        <v>344447</v>
      </c>
      <c r="O12" s="213">
        <v>442517</v>
      </c>
      <c r="P12" s="213">
        <f>'3- Energy'!D31</f>
        <v>451995</v>
      </c>
      <c r="Q12" s="213">
        <v>448879</v>
      </c>
    </row>
    <row r="13" spans="2:17">
      <c r="B13" s="198" t="s">
        <v>161</v>
      </c>
      <c r="C13" s="212">
        <v>70883</v>
      </c>
      <c r="D13" s="212">
        <v>106586</v>
      </c>
      <c r="E13" s="212">
        <v>205010</v>
      </c>
      <c r="F13" s="212">
        <v>276538</v>
      </c>
      <c r="G13" s="212">
        <v>283886</v>
      </c>
      <c r="H13" s="212">
        <v>285915</v>
      </c>
      <c r="I13" s="212">
        <v>268717</v>
      </c>
      <c r="J13" s="212">
        <v>306361</v>
      </c>
      <c r="K13" s="212">
        <v>282549</v>
      </c>
      <c r="L13" s="212">
        <v>75200</v>
      </c>
      <c r="M13" s="213">
        <v>267144</v>
      </c>
      <c r="N13" s="213">
        <v>243538</v>
      </c>
      <c r="O13" s="213">
        <v>313509</v>
      </c>
      <c r="P13" s="213">
        <v>312893</v>
      </c>
      <c r="Q13" s="213">
        <v>318113</v>
      </c>
    </row>
    <row r="14" spans="2:17">
      <c r="B14" s="198" t="s">
        <v>162</v>
      </c>
      <c r="C14" s="212">
        <v>15050</v>
      </c>
      <c r="D14" s="212">
        <v>22630</v>
      </c>
      <c r="E14" s="212">
        <v>43527</v>
      </c>
      <c r="F14" s="212">
        <v>58713</v>
      </c>
      <c r="G14" s="212">
        <v>60273</v>
      </c>
      <c r="H14" s="212">
        <v>60704</v>
      </c>
      <c r="I14" s="212">
        <v>57052</v>
      </c>
      <c r="J14" s="212">
        <v>65045</v>
      </c>
      <c r="K14" s="212">
        <v>59989</v>
      </c>
      <c r="L14" s="212">
        <v>15966</v>
      </c>
      <c r="M14" s="213">
        <v>56718</v>
      </c>
      <c r="N14" s="213">
        <v>52615</v>
      </c>
      <c r="O14" s="213">
        <v>68182</v>
      </c>
      <c r="P14" s="213">
        <v>68048</v>
      </c>
      <c r="Q14" s="213">
        <v>68543</v>
      </c>
    </row>
    <row r="15" spans="2:17">
      <c r="B15" s="198" t="s">
        <v>163</v>
      </c>
      <c r="C15" s="212">
        <v>83424</v>
      </c>
      <c r="D15" s="212">
        <v>125443</v>
      </c>
      <c r="E15" s="212">
        <v>241281</v>
      </c>
      <c r="F15" s="212">
        <v>325464</v>
      </c>
      <c r="G15" s="212">
        <v>334111</v>
      </c>
      <c r="H15" s="212">
        <v>336499</v>
      </c>
      <c r="I15" s="212">
        <v>316259</v>
      </c>
      <c r="J15" s="212">
        <v>360563</v>
      </c>
      <c r="K15" s="212">
        <v>332538</v>
      </c>
      <c r="L15" s="212">
        <v>88504</v>
      </c>
      <c r="M15" s="213">
        <v>314408</v>
      </c>
      <c r="N15" s="213">
        <v>318049</v>
      </c>
      <c r="O15" s="213">
        <v>384104</v>
      </c>
      <c r="P15" s="213">
        <v>383350</v>
      </c>
      <c r="Q15" s="213">
        <v>376466</v>
      </c>
    </row>
    <row r="16" spans="2:17">
      <c r="B16" s="198" t="s">
        <v>164</v>
      </c>
      <c r="C16" s="212">
        <v>8488</v>
      </c>
      <c r="D16" s="212">
        <v>12763</v>
      </c>
      <c r="E16" s="212">
        <v>24549</v>
      </c>
      <c r="F16" s="212">
        <v>33114</v>
      </c>
      <c r="G16" s="212">
        <v>33994</v>
      </c>
      <c r="H16" s="212">
        <v>34237</v>
      </c>
      <c r="I16" s="212">
        <v>32178</v>
      </c>
      <c r="J16" s="212">
        <v>36686</v>
      </c>
      <c r="K16" s="212">
        <v>33834</v>
      </c>
      <c r="L16" s="212">
        <v>9005</v>
      </c>
      <c r="M16" s="213">
        <v>31989</v>
      </c>
      <c r="N16" s="213">
        <v>28103</v>
      </c>
      <c r="O16" s="213">
        <v>37754</v>
      </c>
      <c r="P16" s="213">
        <v>37680</v>
      </c>
      <c r="Q16" s="213">
        <v>40070</v>
      </c>
    </row>
    <row r="17" spans="2:17">
      <c r="B17" s="199" t="s">
        <v>165</v>
      </c>
      <c r="C17" s="212" t="s">
        <v>166</v>
      </c>
      <c r="D17" s="212" t="s">
        <v>166</v>
      </c>
      <c r="E17" s="212" t="s">
        <v>166</v>
      </c>
      <c r="F17" s="212" t="s">
        <v>166</v>
      </c>
      <c r="G17" s="212" t="s">
        <v>166</v>
      </c>
      <c r="H17" s="212" t="s">
        <v>166</v>
      </c>
      <c r="I17" s="212" t="s">
        <v>166</v>
      </c>
      <c r="J17" s="212" t="s">
        <v>166</v>
      </c>
      <c r="K17" s="212" t="s">
        <v>166</v>
      </c>
      <c r="L17" s="212" t="s">
        <v>166</v>
      </c>
      <c r="M17" s="214" t="s">
        <v>166</v>
      </c>
      <c r="N17" s="214" t="s">
        <v>167</v>
      </c>
      <c r="O17" s="214" t="s">
        <v>167</v>
      </c>
      <c r="P17" s="214" t="s">
        <v>167</v>
      </c>
      <c r="Q17" s="214" t="s">
        <v>167</v>
      </c>
    </row>
    <row r="18" spans="2:17" s="64" customFormat="1">
      <c r="B18" s="163" t="s">
        <v>168</v>
      </c>
      <c r="C18" s="215" t="s">
        <v>166</v>
      </c>
      <c r="D18" s="215" t="s">
        <v>166</v>
      </c>
      <c r="E18" s="215" t="s">
        <v>166</v>
      </c>
      <c r="F18" s="215" t="s">
        <v>166</v>
      </c>
      <c r="G18" s="215" t="s">
        <v>166</v>
      </c>
      <c r="H18" s="215" t="s">
        <v>166</v>
      </c>
      <c r="I18" s="215" t="s">
        <v>166</v>
      </c>
      <c r="J18" s="215" t="s">
        <v>166</v>
      </c>
      <c r="K18" s="215" t="s">
        <v>166</v>
      </c>
      <c r="L18" s="212" t="s">
        <v>166</v>
      </c>
      <c r="M18" s="214" t="s">
        <v>166</v>
      </c>
      <c r="N18" s="214" t="s">
        <v>167</v>
      </c>
      <c r="O18" s="214" t="s">
        <v>167</v>
      </c>
      <c r="P18" s="214" t="s">
        <v>167</v>
      </c>
      <c r="Q18" s="214" t="s">
        <v>167</v>
      </c>
    </row>
    <row r="19" spans="2:17" s="64" customFormat="1">
      <c r="B19" s="209"/>
      <c r="C19" s="210"/>
      <c r="D19" s="210"/>
      <c r="E19" s="210"/>
      <c r="F19" s="210"/>
      <c r="G19" s="210"/>
      <c r="H19" s="210"/>
      <c r="I19" s="210"/>
      <c r="J19" s="210"/>
      <c r="K19" s="210"/>
      <c r="L19" s="211"/>
    </row>
    <row r="20" spans="2:17" s="64" customFormat="1" ht="28.5">
      <c r="B20" s="3" t="s">
        <v>169</v>
      </c>
      <c r="C20" s="2" t="s">
        <v>110</v>
      </c>
      <c r="D20" s="2" t="s">
        <v>111</v>
      </c>
      <c r="E20" s="2" t="s">
        <v>112</v>
      </c>
      <c r="F20" s="2" t="s">
        <v>113</v>
      </c>
      <c r="G20" s="2" t="s">
        <v>114</v>
      </c>
      <c r="H20" s="2" t="s">
        <v>115</v>
      </c>
      <c r="I20" s="2" t="s">
        <v>116</v>
      </c>
      <c r="J20" s="2" t="s">
        <v>117</v>
      </c>
      <c r="K20" s="2" t="s">
        <v>118</v>
      </c>
      <c r="L20" s="1" t="s">
        <v>119</v>
      </c>
      <c r="M20" s="1">
        <v>2018</v>
      </c>
      <c r="N20" s="1">
        <v>2019</v>
      </c>
      <c r="O20" s="1">
        <v>2020</v>
      </c>
      <c r="P20" s="1">
        <v>2021</v>
      </c>
      <c r="Q20" s="1">
        <v>2022</v>
      </c>
    </row>
    <row r="21" spans="2:17" s="64" customFormat="1">
      <c r="B21" s="198" t="s">
        <v>160</v>
      </c>
      <c r="C21" s="212">
        <v>35193</v>
      </c>
      <c r="D21" s="212">
        <v>1903686</v>
      </c>
      <c r="E21" s="212">
        <v>2053110</v>
      </c>
      <c r="F21" s="212">
        <v>6929629</v>
      </c>
      <c r="G21" s="212">
        <v>8750918</v>
      </c>
      <c r="H21" s="212">
        <v>8516632</v>
      </c>
      <c r="I21" s="212">
        <v>7340016</v>
      </c>
      <c r="J21" s="212">
        <v>7487454</v>
      </c>
      <c r="K21" s="212">
        <v>7536415</v>
      </c>
      <c r="L21" s="212">
        <v>3263453</v>
      </c>
      <c r="M21" s="213">
        <v>7353769</v>
      </c>
      <c r="N21" s="213">
        <v>4188155</v>
      </c>
      <c r="O21" s="213">
        <v>4296545</v>
      </c>
      <c r="P21" s="213">
        <v>3407122</v>
      </c>
      <c r="Q21" s="213">
        <v>4137643.38466</v>
      </c>
    </row>
    <row r="22" spans="2:17" s="64" customFormat="1">
      <c r="B22" s="198" t="s">
        <v>161</v>
      </c>
      <c r="C22" s="212">
        <v>187</v>
      </c>
      <c r="D22" s="212">
        <v>10093</v>
      </c>
      <c r="E22" s="212">
        <v>10886</v>
      </c>
      <c r="F22" s="212">
        <v>36741</v>
      </c>
      <c r="G22" s="212">
        <v>46397</v>
      </c>
      <c r="H22" s="212">
        <v>45155</v>
      </c>
      <c r="I22" s="212">
        <v>38917</v>
      </c>
      <c r="J22" s="212">
        <v>39616</v>
      </c>
      <c r="K22" s="212">
        <v>39875</v>
      </c>
      <c r="L22" s="212">
        <v>17303</v>
      </c>
      <c r="M22" s="213">
        <v>38990</v>
      </c>
      <c r="N22" s="213">
        <v>22160</v>
      </c>
      <c r="O22" s="213">
        <v>22735</v>
      </c>
      <c r="P22" s="213">
        <v>18229</v>
      </c>
      <c r="Q22" s="213">
        <v>21892</v>
      </c>
    </row>
    <row r="23" spans="2:17" s="64" customFormat="1">
      <c r="B23" s="198" t="s">
        <v>162</v>
      </c>
      <c r="C23" s="212">
        <v>39.6</v>
      </c>
      <c r="D23" s="212">
        <v>2143</v>
      </c>
      <c r="E23" s="212">
        <v>2331</v>
      </c>
      <c r="F23" s="212">
        <v>7801</v>
      </c>
      <c r="G23" s="212">
        <v>9851</v>
      </c>
      <c r="H23" s="212">
        <v>9587</v>
      </c>
      <c r="I23" s="212">
        <v>8263</v>
      </c>
      <c r="J23" s="212">
        <v>8411</v>
      </c>
      <c r="K23" s="212">
        <v>8466</v>
      </c>
      <c r="L23" s="212">
        <v>3674</v>
      </c>
      <c r="M23" s="213">
        <v>8278</v>
      </c>
      <c r="N23" s="213">
        <v>4787</v>
      </c>
      <c r="O23" s="213">
        <v>4944</v>
      </c>
      <c r="P23" s="213">
        <v>3964</v>
      </c>
      <c r="Q23" s="213">
        <v>4717</v>
      </c>
    </row>
    <row r="24" spans="2:17" s="64" customFormat="1">
      <c r="B24" s="198" t="s">
        <v>163</v>
      </c>
      <c r="C24" s="212">
        <v>220</v>
      </c>
      <c r="D24" s="212">
        <v>11879</v>
      </c>
      <c r="E24" s="212">
        <v>12811</v>
      </c>
      <c r="F24" s="212">
        <v>43241</v>
      </c>
      <c r="G24" s="212">
        <v>54606</v>
      </c>
      <c r="H24" s="212">
        <v>53144</v>
      </c>
      <c r="I24" s="212">
        <v>45802</v>
      </c>
      <c r="J24" s="212">
        <v>51737</v>
      </c>
      <c r="K24" s="212">
        <v>52075</v>
      </c>
      <c r="L24" s="212">
        <v>20364</v>
      </c>
      <c r="M24" s="213">
        <v>45888</v>
      </c>
      <c r="N24" s="213">
        <v>28939</v>
      </c>
      <c r="O24" s="213">
        <v>27855</v>
      </c>
      <c r="P24" s="213">
        <v>22334</v>
      </c>
      <c r="Q24" s="213">
        <v>25908</v>
      </c>
    </row>
    <row r="25" spans="2:17" s="64" customFormat="1">
      <c r="B25" s="198" t="s">
        <v>164</v>
      </c>
      <c r="C25" s="212">
        <v>22.3</v>
      </c>
      <c r="D25" s="212">
        <v>1209</v>
      </c>
      <c r="E25" s="212">
        <v>1304</v>
      </c>
      <c r="F25" s="212">
        <v>4400</v>
      </c>
      <c r="G25" s="212">
        <v>5556</v>
      </c>
      <c r="H25" s="212">
        <v>5407</v>
      </c>
      <c r="I25" s="212">
        <v>4660</v>
      </c>
      <c r="J25" s="212">
        <v>4571</v>
      </c>
      <c r="K25" s="212">
        <v>4601</v>
      </c>
      <c r="L25" s="212">
        <v>2072</v>
      </c>
      <c r="M25" s="213">
        <v>4669</v>
      </c>
      <c r="N25" s="213">
        <v>2557</v>
      </c>
      <c r="O25" s="213">
        <v>2738</v>
      </c>
      <c r="P25" s="213">
        <v>2195</v>
      </c>
      <c r="Q25" s="213">
        <v>2758</v>
      </c>
    </row>
    <row r="26" spans="2:17" s="64" customFormat="1">
      <c r="B26" s="199" t="s">
        <v>165</v>
      </c>
      <c r="C26" s="212" t="s">
        <v>166</v>
      </c>
      <c r="D26" s="212" t="s">
        <v>166</v>
      </c>
      <c r="E26" s="212" t="s">
        <v>166</v>
      </c>
      <c r="F26" s="212" t="s">
        <v>166</v>
      </c>
      <c r="G26" s="212" t="s">
        <v>166</v>
      </c>
      <c r="H26" s="212" t="s">
        <v>166</v>
      </c>
      <c r="I26" s="212" t="s">
        <v>166</v>
      </c>
      <c r="J26" s="212" t="s">
        <v>166</v>
      </c>
      <c r="K26" s="212" t="s">
        <v>166</v>
      </c>
      <c r="L26" s="212" t="s">
        <v>166</v>
      </c>
      <c r="M26" s="214" t="s">
        <v>166</v>
      </c>
      <c r="N26" s="214" t="s">
        <v>167</v>
      </c>
      <c r="O26" s="214" t="s">
        <v>167</v>
      </c>
      <c r="P26" s="214" t="s">
        <v>167</v>
      </c>
      <c r="Q26" s="214" t="s">
        <v>167</v>
      </c>
    </row>
    <row r="27" spans="2:17" s="64" customFormat="1">
      <c r="B27" s="163" t="s">
        <v>168</v>
      </c>
      <c r="C27" s="215" t="s">
        <v>166</v>
      </c>
      <c r="D27" s="215" t="s">
        <v>166</v>
      </c>
      <c r="E27" s="215" t="s">
        <v>166</v>
      </c>
      <c r="F27" s="215" t="s">
        <v>166</v>
      </c>
      <c r="G27" s="215" t="s">
        <v>166</v>
      </c>
      <c r="H27" s="215" t="s">
        <v>166</v>
      </c>
      <c r="I27" s="215" t="s">
        <v>166</v>
      </c>
      <c r="J27" s="215" t="s">
        <v>166</v>
      </c>
      <c r="K27" s="215" t="s">
        <v>166</v>
      </c>
      <c r="L27" s="212" t="s">
        <v>166</v>
      </c>
      <c r="M27" s="214" t="s">
        <v>166</v>
      </c>
      <c r="N27" s="214" t="s">
        <v>167</v>
      </c>
      <c r="O27" s="214" t="s">
        <v>167</v>
      </c>
      <c r="P27" s="214" t="s">
        <v>167</v>
      </c>
      <c r="Q27" s="214" t="s">
        <v>167</v>
      </c>
    </row>
    <row r="28" spans="2:17" s="64" customFormat="1">
      <c r="B28" s="209"/>
      <c r="C28" s="210"/>
      <c r="D28" s="210"/>
      <c r="E28" s="210"/>
      <c r="F28" s="210"/>
      <c r="G28" s="210"/>
      <c r="H28" s="210"/>
      <c r="I28" s="210"/>
      <c r="J28" s="210"/>
      <c r="K28" s="210"/>
      <c r="L28" s="211"/>
    </row>
    <row r="29" spans="2:17" s="64" customFormat="1" ht="28.5">
      <c r="B29" s="3" t="s">
        <v>170</v>
      </c>
      <c r="C29" s="2" t="s">
        <v>110</v>
      </c>
      <c r="D29" s="2" t="s">
        <v>111</v>
      </c>
      <c r="E29" s="2" t="s">
        <v>112</v>
      </c>
      <c r="F29" s="2" t="s">
        <v>113</v>
      </c>
      <c r="G29" s="2" t="s">
        <v>114</v>
      </c>
      <c r="H29" s="2" t="s">
        <v>115</v>
      </c>
      <c r="I29" s="2" t="s">
        <v>116</v>
      </c>
      <c r="J29" s="2" t="s">
        <v>117</v>
      </c>
      <c r="K29" s="2" t="s">
        <v>118</v>
      </c>
      <c r="L29" s="1" t="s">
        <v>119</v>
      </c>
      <c r="M29" s="1">
        <v>2018</v>
      </c>
      <c r="N29" s="1">
        <v>2019</v>
      </c>
      <c r="O29" s="1">
        <v>2020</v>
      </c>
      <c r="P29" s="1">
        <v>2021</v>
      </c>
      <c r="Q29" s="1">
        <v>2022</v>
      </c>
    </row>
    <row r="30" spans="2:17" s="64" customFormat="1">
      <c r="B30" s="198" t="s">
        <v>161</v>
      </c>
      <c r="C30" s="212">
        <f>SUM(C13,C22)</f>
        <v>71070</v>
      </c>
      <c r="D30" s="212">
        <f t="shared" ref="D30:Q30" si="0">SUM(D13,D22)</f>
        <v>116679</v>
      </c>
      <c r="E30" s="212">
        <f t="shared" si="0"/>
        <v>215896</v>
      </c>
      <c r="F30" s="212">
        <f t="shared" si="0"/>
        <v>313279</v>
      </c>
      <c r="G30" s="212">
        <f t="shared" si="0"/>
        <v>330283</v>
      </c>
      <c r="H30" s="212">
        <f t="shared" si="0"/>
        <v>331070</v>
      </c>
      <c r="I30" s="212">
        <f t="shared" si="0"/>
        <v>307634</v>
      </c>
      <c r="J30" s="212">
        <f t="shared" si="0"/>
        <v>345977</v>
      </c>
      <c r="K30" s="212">
        <f t="shared" si="0"/>
        <v>322424</v>
      </c>
      <c r="L30" s="212">
        <f t="shared" si="0"/>
        <v>92503</v>
      </c>
      <c r="M30" s="212">
        <f t="shared" si="0"/>
        <v>306134</v>
      </c>
      <c r="N30" s="212">
        <f t="shared" si="0"/>
        <v>265698</v>
      </c>
      <c r="O30" s="212">
        <f t="shared" si="0"/>
        <v>336244</v>
      </c>
      <c r="P30" s="212">
        <f t="shared" si="0"/>
        <v>331122</v>
      </c>
      <c r="Q30" s="212">
        <f t="shared" si="0"/>
        <v>340005</v>
      </c>
    </row>
    <row r="31" spans="2:17" s="64" customFormat="1">
      <c r="B31" s="198" t="s">
        <v>162</v>
      </c>
      <c r="C31" s="212">
        <f t="shared" ref="C31:Q33" si="1">SUM(C14,C23)</f>
        <v>15089.6</v>
      </c>
      <c r="D31" s="212">
        <f t="shared" si="1"/>
        <v>24773</v>
      </c>
      <c r="E31" s="212">
        <f t="shared" si="1"/>
        <v>45858</v>
      </c>
      <c r="F31" s="212">
        <f t="shared" si="1"/>
        <v>66514</v>
      </c>
      <c r="G31" s="212">
        <f t="shared" si="1"/>
        <v>70124</v>
      </c>
      <c r="H31" s="212">
        <f t="shared" si="1"/>
        <v>70291</v>
      </c>
      <c r="I31" s="212">
        <f t="shared" si="1"/>
        <v>65315</v>
      </c>
      <c r="J31" s="212">
        <f t="shared" si="1"/>
        <v>73456</v>
      </c>
      <c r="K31" s="212">
        <f t="shared" si="1"/>
        <v>68455</v>
      </c>
      <c r="L31" s="212">
        <f t="shared" si="1"/>
        <v>19640</v>
      </c>
      <c r="M31" s="212">
        <f t="shared" si="1"/>
        <v>64996</v>
      </c>
      <c r="N31" s="212">
        <f t="shared" si="1"/>
        <v>57402</v>
      </c>
      <c r="O31" s="212">
        <f t="shared" si="1"/>
        <v>73126</v>
      </c>
      <c r="P31" s="212">
        <f t="shared" si="1"/>
        <v>72012</v>
      </c>
      <c r="Q31" s="212">
        <f t="shared" si="1"/>
        <v>73260</v>
      </c>
    </row>
    <row r="32" spans="2:17" s="64" customFormat="1">
      <c r="B32" s="198" t="s">
        <v>163</v>
      </c>
      <c r="C32" s="212">
        <f t="shared" si="1"/>
        <v>83644</v>
      </c>
      <c r="D32" s="212">
        <f t="shared" si="1"/>
        <v>137322</v>
      </c>
      <c r="E32" s="212">
        <f t="shared" si="1"/>
        <v>254092</v>
      </c>
      <c r="F32" s="212">
        <f t="shared" si="1"/>
        <v>368705</v>
      </c>
      <c r="G32" s="212">
        <f t="shared" si="1"/>
        <v>388717</v>
      </c>
      <c r="H32" s="212">
        <f t="shared" si="1"/>
        <v>389643</v>
      </c>
      <c r="I32" s="212">
        <f t="shared" si="1"/>
        <v>362061</v>
      </c>
      <c r="J32" s="212">
        <f t="shared" si="1"/>
        <v>412300</v>
      </c>
      <c r="K32" s="212">
        <f t="shared" si="1"/>
        <v>384613</v>
      </c>
      <c r="L32" s="212">
        <f t="shared" si="1"/>
        <v>108868</v>
      </c>
      <c r="M32" s="212">
        <f t="shared" si="1"/>
        <v>360296</v>
      </c>
      <c r="N32" s="212">
        <f t="shared" si="1"/>
        <v>346988</v>
      </c>
      <c r="O32" s="212">
        <f t="shared" si="1"/>
        <v>411959</v>
      </c>
      <c r="P32" s="212">
        <f t="shared" si="1"/>
        <v>405684</v>
      </c>
      <c r="Q32" s="212">
        <f t="shared" si="1"/>
        <v>402374</v>
      </c>
    </row>
    <row r="33" spans="2:17" s="64" customFormat="1">
      <c r="B33" s="198" t="s">
        <v>164</v>
      </c>
      <c r="C33" s="212">
        <f t="shared" si="1"/>
        <v>8510.2999999999993</v>
      </c>
      <c r="D33" s="212">
        <f t="shared" si="1"/>
        <v>13972</v>
      </c>
      <c r="E33" s="212">
        <f t="shared" si="1"/>
        <v>25853</v>
      </c>
      <c r="F33" s="212">
        <f t="shared" si="1"/>
        <v>37514</v>
      </c>
      <c r="G33" s="212">
        <f t="shared" si="1"/>
        <v>39550</v>
      </c>
      <c r="H33" s="212">
        <f t="shared" si="1"/>
        <v>39644</v>
      </c>
      <c r="I33" s="212">
        <f t="shared" si="1"/>
        <v>36838</v>
      </c>
      <c r="J33" s="212">
        <f t="shared" si="1"/>
        <v>41257</v>
      </c>
      <c r="K33" s="212">
        <f t="shared" si="1"/>
        <v>38435</v>
      </c>
      <c r="L33" s="212">
        <f t="shared" si="1"/>
        <v>11077</v>
      </c>
      <c r="M33" s="212">
        <f t="shared" si="1"/>
        <v>36658</v>
      </c>
      <c r="N33" s="212">
        <f t="shared" si="1"/>
        <v>30660</v>
      </c>
      <c r="O33" s="212">
        <f t="shared" si="1"/>
        <v>40492</v>
      </c>
      <c r="P33" s="212">
        <f t="shared" si="1"/>
        <v>39875</v>
      </c>
      <c r="Q33" s="212">
        <f t="shared" si="1"/>
        <v>42828</v>
      </c>
    </row>
    <row r="34" spans="2:17" s="64" customFormat="1">
      <c r="B34" s="199" t="s">
        <v>165</v>
      </c>
      <c r="C34" s="212" t="s">
        <v>166</v>
      </c>
      <c r="D34" s="212" t="s">
        <v>166</v>
      </c>
      <c r="E34" s="212" t="s">
        <v>166</v>
      </c>
      <c r="F34" s="212" t="s">
        <v>166</v>
      </c>
      <c r="G34" s="212" t="s">
        <v>166</v>
      </c>
      <c r="H34" s="212" t="s">
        <v>166</v>
      </c>
      <c r="I34" s="212" t="s">
        <v>166</v>
      </c>
      <c r="J34" s="212" t="s">
        <v>166</v>
      </c>
      <c r="K34" s="212" t="s">
        <v>166</v>
      </c>
      <c r="L34" s="212" t="s">
        <v>166</v>
      </c>
      <c r="M34" s="212">
        <v>1481</v>
      </c>
      <c r="N34" s="212">
        <v>2955</v>
      </c>
      <c r="O34" s="212">
        <v>4275</v>
      </c>
      <c r="P34" s="212">
        <v>4106</v>
      </c>
      <c r="Q34" s="212" t="s">
        <v>166</v>
      </c>
    </row>
    <row r="35" spans="2:17" s="64" customFormat="1">
      <c r="B35" s="163" t="s">
        <v>168</v>
      </c>
      <c r="C35" s="212" t="s">
        <v>166</v>
      </c>
      <c r="D35" s="212" t="s">
        <v>166</v>
      </c>
      <c r="E35" s="212" t="s">
        <v>166</v>
      </c>
      <c r="F35" s="212" t="s">
        <v>166</v>
      </c>
      <c r="G35" s="212" t="s">
        <v>166</v>
      </c>
      <c r="H35" s="212" t="s">
        <v>166</v>
      </c>
      <c r="I35" s="212" t="s">
        <v>166</v>
      </c>
      <c r="J35" s="212" t="s">
        <v>166</v>
      </c>
      <c r="K35" s="212" t="s">
        <v>166</v>
      </c>
      <c r="L35" s="212" t="s">
        <v>166</v>
      </c>
      <c r="M35" s="212" t="s">
        <v>166</v>
      </c>
      <c r="N35" s="212" t="s">
        <v>166</v>
      </c>
      <c r="O35" s="212">
        <v>40330</v>
      </c>
      <c r="P35" s="212">
        <v>45844</v>
      </c>
      <c r="Q35" s="283">
        <v>9574</v>
      </c>
    </row>
    <row r="36" spans="2:17">
      <c r="B36" s="200"/>
      <c r="C36" s="201"/>
      <c r="D36" s="201"/>
      <c r="E36" s="201"/>
      <c r="F36" s="201"/>
      <c r="G36" s="202"/>
      <c r="H36" s="202"/>
      <c r="I36" s="202"/>
      <c r="J36" s="201"/>
      <c r="K36" s="201"/>
      <c r="L36" s="203"/>
    </row>
    <row r="37" spans="2:17">
      <c r="B37" s="173" t="s">
        <v>66</v>
      </c>
      <c r="C37" s="200"/>
      <c r="D37" s="173"/>
      <c r="E37" s="173"/>
      <c r="F37" s="204"/>
      <c r="G37" s="205"/>
      <c r="H37" s="205"/>
      <c r="I37" s="205"/>
      <c r="J37" s="204"/>
      <c r="K37" s="204"/>
      <c r="L37" s="206"/>
    </row>
    <row r="38" spans="2:17" ht="29.45" customHeight="1">
      <c r="B38" s="306" t="s">
        <v>171</v>
      </c>
      <c r="C38" s="307"/>
      <c r="D38" s="307"/>
      <c r="E38" s="307"/>
      <c r="F38" s="307"/>
      <c r="G38" s="307"/>
      <c r="H38" s="307"/>
      <c r="I38" s="307"/>
      <c r="J38" s="307"/>
      <c r="K38" s="307"/>
      <c r="L38" s="308"/>
    </row>
    <row r="39" spans="2:17" ht="27.75" customHeight="1">
      <c r="B39" s="306" t="s">
        <v>172</v>
      </c>
      <c r="C39" s="307"/>
      <c r="D39" s="307"/>
      <c r="E39" s="307"/>
      <c r="F39" s="307"/>
      <c r="G39" s="307"/>
      <c r="H39" s="307"/>
      <c r="I39" s="307"/>
      <c r="J39" s="307"/>
      <c r="K39" s="307"/>
      <c r="L39" s="308"/>
    </row>
    <row r="40" spans="2:17" ht="33" customHeight="1">
      <c r="B40" s="306" t="s">
        <v>173</v>
      </c>
      <c r="C40" s="307"/>
      <c r="D40" s="307"/>
      <c r="E40" s="307"/>
      <c r="F40" s="307"/>
      <c r="G40" s="307"/>
      <c r="H40" s="307"/>
      <c r="I40" s="307"/>
      <c r="J40" s="307"/>
      <c r="K40" s="307"/>
      <c r="L40" s="308"/>
    </row>
    <row r="41" spans="2:17" ht="44.25" customHeight="1">
      <c r="B41" s="338" t="s">
        <v>174</v>
      </c>
      <c r="C41" s="338"/>
      <c r="D41" s="338"/>
      <c r="E41" s="338"/>
      <c r="F41" s="338"/>
      <c r="G41" s="338"/>
      <c r="H41" s="338"/>
      <c r="I41" s="338"/>
      <c r="J41" s="338"/>
      <c r="K41" s="338"/>
      <c r="L41" s="338"/>
    </row>
    <row r="42" spans="2:17">
      <c r="B42" s="335" t="s">
        <v>175</v>
      </c>
      <c r="C42" s="336"/>
      <c r="D42" s="336"/>
      <c r="E42" s="336"/>
      <c r="F42" s="336"/>
      <c r="G42" s="336"/>
      <c r="H42" s="336"/>
      <c r="I42" s="336"/>
      <c r="J42" s="336"/>
      <c r="K42" s="336"/>
      <c r="L42" s="337"/>
    </row>
    <row r="43" spans="2:17" ht="16.5">
      <c r="B43" s="207"/>
      <c r="C43" s="207"/>
      <c r="D43" s="208"/>
      <c r="E43" s="208"/>
      <c r="F43" s="208"/>
      <c r="G43" s="208"/>
      <c r="H43" s="160"/>
      <c r="I43" s="160"/>
      <c r="J43" s="160"/>
      <c r="K43" s="160"/>
      <c r="L43" s="160"/>
    </row>
    <row r="44" spans="2:17" ht="16.5">
      <c r="B44" s="160"/>
      <c r="C44" s="160"/>
      <c r="D44" s="160"/>
      <c r="E44" s="160"/>
      <c r="F44" s="160"/>
      <c r="G44" s="160"/>
      <c r="H44" s="160"/>
      <c r="I44" s="160"/>
      <c r="J44" s="160"/>
      <c r="K44" s="160"/>
      <c r="L44" s="160"/>
    </row>
    <row r="45" spans="2:17" ht="16.5">
      <c r="B45" s="160"/>
      <c r="C45" s="160"/>
      <c r="D45" s="160"/>
      <c r="E45" s="160"/>
      <c r="F45" s="160"/>
      <c r="G45" s="160"/>
      <c r="H45" s="160"/>
      <c r="I45" s="160"/>
      <c r="J45" s="160"/>
      <c r="K45" s="160"/>
      <c r="L45" s="160"/>
    </row>
    <row r="46" spans="2:17" ht="16.5">
      <c r="B46" s="160"/>
      <c r="C46" s="160"/>
      <c r="D46" s="160"/>
      <c r="E46" s="160"/>
      <c r="F46" s="160"/>
      <c r="G46" s="160"/>
      <c r="H46" s="160"/>
      <c r="I46" s="160"/>
      <c r="J46" s="160"/>
      <c r="K46" s="160"/>
      <c r="L46" s="160"/>
    </row>
    <row r="47" spans="2:17" ht="16.5">
      <c r="B47" s="160"/>
      <c r="C47" s="160"/>
      <c r="D47" s="160"/>
      <c r="E47" s="160"/>
      <c r="F47" s="160"/>
      <c r="G47" s="160"/>
      <c r="H47" s="160"/>
      <c r="I47" s="160"/>
      <c r="J47" s="160"/>
      <c r="K47" s="160"/>
      <c r="L47" s="160"/>
    </row>
    <row r="48" spans="2:17" ht="16.5">
      <c r="B48" s="160"/>
      <c r="C48" s="160"/>
      <c r="D48" s="160"/>
      <c r="E48" s="160"/>
      <c r="F48" s="160"/>
      <c r="G48" s="160"/>
      <c r="H48" s="160"/>
      <c r="I48" s="160"/>
      <c r="J48" s="160"/>
      <c r="K48" s="160"/>
      <c r="L48" s="160"/>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topLeftCell="A20" zoomScaleNormal="100" workbookViewId="0">
      <selection activeCell="I8" sqref="I8"/>
    </sheetView>
  </sheetViews>
  <sheetFormatPr defaultColWidth="9.140625" defaultRowHeight="15"/>
  <cols>
    <col min="1" max="1" width="4.42578125" style="61" customWidth="1"/>
    <col min="2" max="2" width="4.85546875" style="136" customWidth="1"/>
    <col min="3" max="3" width="4.5703125" style="61" customWidth="1"/>
    <col min="4" max="4" width="76.5703125" style="61" customWidth="1"/>
    <col min="5" max="5" width="14" style="61" customWidth="1"/>
    <col min="6" max="6" width="44.140625" style="61" customWidth="1"/>
    <col min="7" max="7" width="10.42578125" style="61" customWidth="1"/>
    <col min="8" max="8" width="9.140625" style="61"/>
    <col min="9" max="9" width="11" style="61" bestFit="1" customWidth="1"/>
    <col min="10" max="16384" width="9.140625" style="61"/>
  </cols>
  <sheetData>
    <row r="1" spans="2:11" ht="16.5" customHeight="1">
      <c r="B1" s="62" t="s">
        <v>0</v>
      </c>
      <c r="E1" s="224"/>
      <c r="F1" s="224"/>
    </row>
    <row r="2" spans="2:11" ht="14.25" customHeight="1">
      <c r="B2" s="62" t="s">
        <v>176</v>
      </c>
      <c r="E2" s="225"/>
      <c r="F2" s="225"/>
    </row>
    <row r="3" spans="2:11" ht="15.75">
      <c r="B3" s="62" t="s">
        <v>72</v>
      </c>
      <c r="E3" s="226"/>
      <c r="F3" s="226"/>
    </row>
    <row r="4" spans="2:11" ht="18.75">
      <c r="B4" s="227"/>
      <c r="E4" s="226"/>
      <c r="F4" s="226"/>
    </row>
    <row r="5" spans="2:11" ht="22.35" customHeight="1">
      <c r="B5" s="296" t="s">
        <v>177</v>
      </c>
      <c r="C5" s="296"/>
      <c r="D5" s="296"/>
      <c r="E5" s="209"/>
      <c r="F5" s="209"/>
      <c r="G5" s="209"/>
      <c r="H5" s="209"/>
      <c r="I5" s="209"/>
      <c r="J5" s="209"/>
      <c r="K5" s="209"/>
    </row>
    <row r="6" spans="2:11" ht="27" customHeight="1">
      <c r="B6" s="296"/>
      <c r="C6" s="296"/>
      <c r="D6" s="296"/>
      <c r="E6" s="209"/>
      <c r="F6" s="209"/>
      <c r="G6" s="209"/>
      <c r="H6" s="209"/>
      <c r="I6" s="209"/>
      <c r="J6" s="209"/>
      <c r="K6" s="209"/>
    </row>
    <row r="7" spans="2:11" ht="22.35" customHeight="1">
      <c r="B7" s="75"/>
      <c r="C7" s="75"/>
      <c r="D7" s="75"/>
      <c r="E7" s="209"/>
      <c r="F7" s="209"/>
      <c r="G7" s="209"/>
      <c r="H7" s="209"/>
      <c r="I7" s="209"/>
      <c r="J7" s="209"/>
      <c r="K7" s="209"/>
    </row>
    <row r="8" spans="2:11" ht="22.35" customHeight="1">
      <c r="B8" s="349" t="s">
        <v>178</v>
      </c>
      <c r="C8" s="349"/>
      <c r="D8" s="349"/>
      <c r="E8" s="209"/>
      <c r="F8" s="209"/>
      <c r="G8" s="209"/>
      <c r="H8" s="209"/>
      <c r="I8" s="209"/>
      <c r="J8" s="209"/>
      <c r="K8" s="209"/>
    </row>
    <row r="9" spans="2:11" ht="21" customHeight="1">
      <c r="B9" s="354" t="s">
        <v>179</v>
      </c>
      <c r="C9" s="354"/>
      <c r="D9" s="354"/>
      <c r="E9" s="75"/>
      <c r="F9" s="75"/>
      <c r="G9" s="75"/>
      <c r="H9" s="75"/>
      <c r="I9" s="75"/>
      <c r="J9" s="75"/>
      <c r="K9" s="75"/>
    </row>
    <row r="10" spans="2:11" ht="21" customHeight="1">
      <c r="B10" s="355" t="s">
        <v>180</v>
      </c>
      <c r="C10" s="355"/>
      <c r="D10" s="355"/>
      <c r="E10" s="75"/>
      <c r="F10" s="75"/>
      <c r="G10" s="75"/>
      <c r="H10" s="75"/>
      <c r="I10" s="75"/>
      <c r="J10" s="75"/>
      <c r="K10" s="75"/>
    </row>
    <row r="11" spans="2:11" ht="21" customHeight="1">
      <c r="B11" s="356" t="s">
        <v>181</v>
      </c>
      <c r="C11" s="356"/>
      <c r="D11" s="356"/>
      <c r="E11" s="75"/>
      <c r="F11" s="75"/>
      <c r="G11" s="75"/>
      <c r="H11" s="75"/>
      <c r="I11" s="75"/>
      <c r="J11" s="75"/>
      <c r="K11" s="75"/>
    </row>
    <row r="12" spans="2:11" ht="21" customHeight="1">
      <c r="B12" s="63"/>
      <c r="C12" s="63"/>
      <c r="D12" s="63"/>
      <c r="E12" s="75"/>
      <c r="F12" s="75"/>
      <c r="G12" s="75"/>
      <c r="H12" s="75"/>
      <c r="I12" s="75"/>
      <c r="J12" s="75"/>
      <c r="K12" s="75"/>
    </row>
    <row r="13" spans="2:11" ht="21" customHeight="1">
      <c r="B13" s="278" t="s">
        <v>182</v>
      </c>
      <c r="C13" s="63"/>
      <c r="D13" s="63"/>
      <c r="E13" s="75"/>
      <c r="F13" s="75"/>
      <c r="G13" s="75"/>
      <c r="H13" s="75"/>
      <c r="I13" s="75"/>
      <c r="J13" s="75"/>
      <c r="K13" s="75"/>
    </row>
    <row r="14" spans="2:11" ht="21" customHeight="1">
      <c r="B14" s="75"/>
      <c r="C14" s="75"/>
      <c r="D14" s="75"/>
      <c r="E14" s="75"/>
      <c r="F14" s="75"/>
      <c r="G14" s="75"/>
      <c r="H14" s="75"/>
      <c r="I14" s="75"/>
      <c r="J14" s="75"/>
      <c r="K14" s="75"/>
    </row>
    <row r="15" spans="2:11" ht="18" customHeight="1">
      <c r="B15" s="234" t="s">
        <v>183</v>
      </c>
      <c r="C15" s="235"/>
      <c r="D15" s="235"/>
      <c r="E15" s="235"/>
      <c r="F15" s="236"/>
    </row>
    <row r="16" spans="2:11" ht="16.5">
      <c r="B16" s="232" t="s">
        <v>184</v>
      </c>
      <c r="C16" s="352" t="s">
        <v>185</v>
      </c>
      <c r="D16" s="353"/>
      <c r="E16" s="237">
        <v>9.4688704996576445E-2</v>
      </c>
      <c r="F16" s="233" t="s">
        <v>186</v>
      </c>
    </row>
    <row r="17" spans="1:9" ht="16.5">
      <c r="B17" s="222" t="s">
        <v>187</v>
      </c>
      <c r="C17" s="345" t="s">
        <v>188</v>
      </c>
      <c r="D17" s="346"/>
      <c r="E17" s="238">
        <v>29637273</v>
      </c>
      <c r="F17" s="8" t="s">
        <v>186</v>
      </c>
    </row>
    <row r="18" spans="1:9" ht="16.5">
      <c r="B18" s="222" t="s">
        <v>189</v>
      </c>
      <c r="C18" s="345" t="s">
        <v>190</v>
      </c>
      <c r="D18" s="346"/>
      <c r="E18" s="239">
        <f>E17*E16</f>
        <v>2806315</v>
      </c>
      <c r="F18" s="7" t="s">
        <v>191</v>
      </c>
    </row>
    <row r="19" spans="1:9" ht="16.5">
      <c r="B19" s="222" t="s">
        <v>192</v>
      </c>
      <c r="C19" s="345" t="s">
        <v>193</v>
      </c>
      <c r="D19" s="346"/>
      <c r="E19" s="240">
        <v>2626966</v>
      </c>
      <c r="F19" s="9" t="s">
        <v>194</v>
      </c>
      <c r="I19" s="272"/>
    </row>
    <row r="20" spans="1:9" ht="16.5" customHeight="1">
      <c r="B20" s="222"/>
      <c r="C20" s="228" t="s">
        <v>195</v>
      </c>
      <c r="D20" s="229"/>
      <c r="E20" s="241"/>
      <c r="F20" s="230"/>
    </row>
    <row r="21" spans="1:9" ht="16.5">
      <c r="B21" s="222" t="s">
        <v>196</v>
      </c>
      <c r="C21" s="341" t="s">
        <v>197</v>
      </c>
      <c r="D21" s="342"/>
      <c r="E21" s="238">
        <v>1037305</v>
      </c>
      <c r="F21" s="8" t="s">
        <v>198</v>
      </c>
    </row>
    <row r="22" spans="1:9" ht="16.5">
      <c r="B22" s="222" t="s">
        <v>199</v>
      </c>
      <c r="C22" s="341" t="s">
        <v>200</v>
      </c>
      <c r="D22" s="342"/>
      <c r="E22" s="238">
        <v>1185491</v>
      </c>
      <c r="F22" s="8" t="s">
        <v>198</v>
      </c>
    </row>
    <row r="23" spans="1:9" ht="16.5">
      <c r="B23" s="222" t="s">
        <v>201</v>
      </c>
      <c r="C23" s="341" t="s">
        <v>202</v>
      </c>
      <c r="D23" s="342"/>
      <c r="E23" s="242">
        <f>E21/E17</f>
        <v>3.5000015014876706E-2</v>
      </c>
      <c r="F23" s="7" t="s">
        <v>203</v>
      </c>
    </row>
    <row r="24" spans="1:9" ht="16.5">
      <c r="A24" s="64"/>
      <c r="B24" s="222" t="s">
        <v>204</v>
      </c>
      <c r="C24" s="341" t="s">
        <v>205</v>
      </c>
      <c r="D24" s="342"/>
      <c r="E24" s="239">
        <f>E22-E21</f>
        <v>148186</v>
      </c>
      <c r="F24" s="7" t="s">
        <v>206</v>
      </c>
    </row>
    <row r="25" spans="1:9" ht="16.5">
      <c r="B25" s="222" t="s">
        <v>207</v>
      </c>
      <c r="C25" s="341" t="s">
        <v>208</v>
      </c>
      <c r="D25" s="342"/>
      <c r="E25" s="240">
        <v>7224</v>
      </c>
      <c r="F25" s="9" t="s">
        <v>194</v>
      </c>
    </row>
    <row r="26" spans="1:9" ht="16.5">
      <c r="B26" s="222" t="s">
        <v>209</v>
      </c>
      <c r="C26" s="343" t="s">
        <v>210</v>
      </c>
      <c r="D26" s="344"/>
      <c r="E26" s="243">
        <f>E24+E25</f>
        <v>155410</v>
      </c>
      <c r="F26" s="7" t="s">
        <v>211</v>
      </c>
    </row>
    <row r="27" spans="1:9" ht="16.5">
      <c r="B27" s="222" t="s">
        <v>212</v>
      </c>
      <c r="C27" s="345" t="s">
        <v>213</v>
      </c>
      <c r="D27" s="346"/>
      <c r="E27" s="239">
        <f>E18-E19+E26</f>
        <v>334759</v>
      </c>
      <c r="F27" s="7" t="s">
        <v>214</v>
      </c>
    </row>
    <row r="28" spans="1:9" ht="16.5">
      <c r="B28" s="222" t="s">
        <v>215</v>
      </c>
      <c r="C28" s="345" t="s">
        <v>216</v>
      </c>
      <c r="D28" s="346"/>
      <c r="E28" s="244">
        <f>E29-160287</f>
        <v>295749</v>
      </c>
      <c r="F28" s="9" t="s">
        <v>217</v>
      </c>
    </row>
    <row r="29" spans="1:9" ht="16.5">
      <c r="B29" s="222" t="s">
        <v>218</v>
      </c>
      <c r="C29" s="345" t="s">
        <v>219</v>
      </c>
      <c r="D29" s="346"/>
      <c r="E29" s="244">
        <f>'1- Ex Ante Results'!C81</f>
        <v>456036</v>
      </c>
      <c r="F29" s="9" t="s">
        <v>220</v>
      </c>
    </row>
    <row r="30" spans="1:9" ht="27" customHeight="1">
      <c r="B30" s="222" t="s">
        <v>221</v>
      </c>
      <c r="C30" s="339" t="s">
        <v>222</v>
      </c>
      <c r="D30" s="340"/>
      <c r="E30" s="245">
        <f>E29/E27</f>
        <v>1.3622815219307023</v>
      </c>
      <c r="F30" s="7" t="s">
        <v>223</v>
      </c>
    </row>
    <row r="31" spans="1:9" ht="18" customHeight="1">
      <c r="B31" s="231" t="s">
        <v>224</v>
      </c>
      <c r="C31" s="231"/>
      <c r="D31" s="231"/>
      <c r="E31" s="246"/>
      <c r="F31" s="231"/>
    </row>
    <row r="32" spans="1:9" ht="16.5">
      <c r="B32" s="222" t="s">
        <v>225</v>
      </c>
      <c r="C32" s="347" t="s">
        <v>226</v>
      </c>
      <c r="D32" s="348"/>
      <c r="E32" s="248">
        <v>9.1094900000000006E-2</v>
      </c>
      <c r="F32" s="217" t="s">
        <v>186</v>
      </c>
    </row>
    <row r="33" spans="2:8" ht="16.5">
      <c r="B33" s="222" t="s">
        <v>227</v>
      </c>
      <c r="C33" s="347" t="s">
        <v>228</v>
      </c>
      <c r="D33" s="348"/>
      <c r="E33" s="244">
        <v>2542522</v>
      </c>
      <c r="F33" s="216" t="s">
        <v>186</v>
      </c>
    </row>
    <row r="34" spans="2:8" ht="16.5">
      <c r="B34" s="222" t="s">
        <v>229</v>
      </c>
      <c r="C34" s="223" t="s">
        <v>230</v>
      </c>
      <c r="D34" s="223"/>
      <c r="E34" s="239">
        <f>E18-E33</f>
        <v>263793</v>
      </c>
      <c r="F34" s="7" t="s">
        <v>231</v>
      </c>
    </row>
    <row r="35" spans="2:8" ht="16.5">
      <c r="B35" s="222" t="s">
        <v>232</v>
      </c>
      <c r="C35" s="223" t="s">
        <v>233</v>
      </c>
      <c r="D35" s="223"/>
      <c r="E35" s="239">
        <f>E34+E26</f>
        <v>419203</v>
      </c>
      <c r="F35" s="7" t="s">
        <v>234</v>
      </c>
      <c r="G35" s="221"/>
    </row>
    <row r="36" spans="2:8" ht="16.5">
      <c r="B36" s="222" t="s">
        <v>235</v>
      </c>
      <c r="C36" s="223" t="s">
        <v>236</v>
      </c>
      <c r="D36" s="223"/>
      <c r="E36" s="239">
        <f>E29</f>
        <v>456036</v>
      </c>
      <c r="F36" s="7" t="s">
        <v>237</v>
      </c>
      <c r="H36" s="221"/>
    </row>
    <row r="37" spans="2:8" ht="32.450000000000003" customHeight="1">
      <c r="B37" s="222" t="s">
        <v>238</v>
      </c>
      <c r="C37" s="350" t="s">
        <v>239</v>
      </c>
      <c r="D37" s="351"/>
      <c r="E37" s="247">
        <f>E26</f>
        <v>155410</v>
      </c>
      <c r="F37" s="7" t="s">
        <v>240</v>
      </c>
    </row>
    <row r="38" spans="2:8" ht="16.5">
      <c r="B38" s="222" t="s">
        <v>241</v>
      </c>
      <c r="C38" s="350" t="s">
        <v>242</v>
      </c>
      <c r="D38" s="351"/>
      <c r="E38" s="239">
        <f>E36-E37</f>
        <v>300626</v>
      </c>
      <c r="F38" s="7" t="s">
        <v>243</v>
      </c>
    </row>
    <row r="39" spans="2:8" ht="30" customHeight="1">
      <c r="B39" s="222" t="s">
        <v>244</v>
      </c>
      <c r="C39" s="339" t="s">
        <v>245</v>
      </c>
      <c r="D39" s="340"/>
      <c r="E39" s="245">
        <f>E38/E34</f>
        <v>1.1396284207693153</v>
      </c>
      <c r="F39" s="7" t="s">
        <v>246</v>
      </c>
    </row>
    <row r="40" spans="2:8" ht="16.5">
      <c r="B40" s="218"/>
      <c r="C40" s="160"/>
      <c r="D40" s="160"/>
      <c r="E40" s="219"/>
      <c r="F40" s="220"/>
    </row>
    <row r="41" spans="2:8" ht="16.5">
      <c r="B41" s="218"/>
      <c r="C41" s="160"/>
      <c r="D41" s="160"/>
      <c r="E41" s="160"/>
      <c r="F41" s="160"/>
    </row>
  </sheetData>
  <mergeCells count="24">
    <mergeCell ref="B5:D6"/>
    <mergeCell ref="B8:D8"/>
    <mergeCell ref="C37:D37"/>
    <mergeCell ref="C38:D38"/>
    <mergeCell ref="C19:D19"/>
    <mergeCell ref="C16:D16"/>
    <mergeCell ref="C17:D17"/>
    <mergeCell ref="C18:D18"/>
    <mergeCell ref="B9:D9"/>
    <mergeCell ref="B10:D10"/>
    <mergeCell ref="B11:D11"/>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topLeftCell="B5" zoomScaleNormal="100" workbookViewId="0">
      <selection activeCell="I8" sqref="I8"/>
    </sheetView>
  </sheetViews>
  <sheetFormatPr defaultColWidth="9.140625" defaultRowHeight="15"/>
  <cols>
    <col min="1" max="1" width="3.5703125" style="61" customWidth="1"/>
    <col min="2" max="2" width="53.7109375" style="64" customWidth="1"/>
    <col min="3" max="7" width="22.28515625" style="61" customWidth="1"/>
    <col min="8" max="8" width="8.85546875" style="61" customWidth="1"/>
    <col min="9" max="9" width="53.7109375" style="61" customWidth="1"/>
    <col min="10" max="14" width="22.28515625" style="61" customWidth="1"/>
    <col min="15" max="15" width="9.140625" style="61"/>
    <col min="16" max="16" width="53.7109375" style="61" customWidth="1"/>
    <col min="17" max="38" width="22.28515625" style="61" customWidth="1"/>
    <col min="39" max="16384" width="9.140625" style="61"/>
  </cols>
  <sheetData>
    <row r="1" spans="2:21">
      <c r="B1" s="60" t="s">
        <v>0</v>
      </c>
    </row>
    <row r="2" spans="2:21">
      <c r="B2" s="60" t="s">
        <v>247</v>
      </c>
    </row>
    <row r="3" spans="2:21">
      <c r="B3" s="62" t="s">
        <v>72</v>
      </c>
    </row>
    <row r="4" spans="2:21">
      <c r="B4" s="60"/>
    </row>
    <row r="5" spans="2:21" ht="29.25" customHeight="1">
      <c r="B5" s="324" t="s">
        <v>248</v>
      </c>
      <c r="C5" s="324"/>
      <c r="D5" s="324"/>
      <c r="E5" s="324"/>
      <c r="F5" s="324"/>
      <c r="G5" s="324"/>
    </row>
    <row r="6" spans="2:21">
      <c r="B6" s="324"/>
      <c r="C6" s="324"/>
      <c r="D6" s="324"/>
      <c r="E6" s="324"/>
      <c r="F6" s="324"/>
      <c r="G6" s="324"/>
    </row>
    <row r="7" spans="2:21">
      <c r="B7" s="324"/>
      <c r="C7" s="324"/>
      <c r="D7" s="324"/>
      <c r="E7" s="324"/>
      <c r="F7" s="324"/>
      <c r="G7" s="324"/>
    </row>
    <row r="8" spans="2:21">
      <c r="B8" s="324"/>
      <c r="C8" s="324"/>
      <c r="D8" s="324"/>
      <c r="E8" s="324"/>
      <c r="F8" s="324"/>
      <c r="G8" s="324"/>
    </row>
    <row r="9" spans="2:21" ht="42" customHeight="1">
      <c r="B9" s="324"/>
      <c r="C9" s="324"/>
      <c r="D9" s="324"/>
      <c r="E9" s="324"/>
      <c r="F9" s="324"/>
      <c r="G9" s="324"/>
    </row>
    <row r="11" spans="2:21" ht="18">
      <c r="B11" s="281" t="s">
        <v>249</v>
      </c>
      <c r="C11" s="65"/>
      <c r="D11" s="66"/>
      <c r="E11" s="66"/>
      <c r="F11" s="66"/>
      <c r="G11" s="66"/>
    </row>
    <row r="12" spans="2:21" ht="18.75" thickBot="1">
      <c r="B12" s="65"/>
      <c r="C12" s="65"/>
      <c r="D12" s="66"/>
      <c r="E12" s="66"/>
      <c r="F12" s="66"/>
      <c r="G12" s="66"/>
    </row>
    <row r="13" spans="2:21" ht="15.75" thickBot="1">
      <c r="B13" s="357" t="s">
        <v>250</v>
      </c>
      <c r="C13" s="358"/>
      <c r="D13" s="358"/>
      <c r="E13" s="358"/>
      <c r="F13" s="358"/>
      <c r="G13" s="359"/>
      <c r="I13" s="357" t="s">
        <v>251</v>
      </c>
      <c r="J13" s="358"/>
      <c r="K13" s="358"/>
      <c r="L13" s="358"/>
      <c r="M13" s="358"/>
      <c r="N13" s="359"/>
      <c r="P13" s="357" t="s">
        <v>252</v>
      </c>
      <c r="Q13" s="358"/>
      <c r="R13" s="358"/>
      <c r="S13" s="358"/>
      <c r="T13" s="358"/>
      <c r="U13" s="359"/>
    </row>
    <row r="14" spans="2:21" s="64" customFormat="1" ht="47.1" customHeight="1">
      <c r="B14" s="250" t="s">
        <v>100</v>
      </c>
      <c r="C14" s="37" t="s">
        <v>253</v>
      </c>
      <c r="D14" s="37" t="s">
        <v>254</v>
      </c>
      <c r="E14" s="37" t="s">
        <v>255</v>
      </c>
      <c r="F14" s="37" t="s">
        <v>256</v>
      </c>
      <c r="G14" s="38" t="s">
        <v>257</v>
      </c>
      <c r="I14" s="250" t="s">
        <v>100</v>
      </c>
      <c r="J14" s="37" t="s">
        <v>253</v>
      </c>
      <c r="K14" s="37" t="s">
        <v>254</v>
      </c>
      <c r="L14" s="37" t="s">
        <v>255</v>
      </c>
      <c r="M14" s="37" t="s">
        <v>256</v>
      </c>
      <c r="N14" s="38" t="s">
        <v>257</v>
      </c>
      <c r="P14" s="250" t="s">
        <v>100</v>
      </c>
      <c r="Q14" s="37" t="s">
        <v>253</v>
      </c>
      <c r="R14" s="37" t="s">
        <v>254</v>
      </c>
      <c r="S14" s="37" t="s">
        <v>255</v>
      </c>
      <c r="T14" s="37" t="s">
        <v>256</v>
      </c>
      <c r="U14" s="38" t="s">
        <v>257</v>
      </c>
    </row>
    <row r="15" spans="2:21" ht="16.5" customHeight="1">
      <c r="B15" s="251" t="s">
        <v>258</v>
      </c>
      <c r="C15" s="255">
        <v>10402128</v>
      </c>
      <c r="D15" s="256">
        <v>2727503</v>
      </c>
      <c r="E15" s="256">
        <f>SUM(C15:D15)</f>
        <v>13129631</v>
      </c>
      <c r="F15" s="256" t="s">
        <v>122</v>
      </c>
      <c r="G15" s="257">
        <f>SUM(E15:F15)</f>
        <v>13129631</v>
      </c>
      <c r="I15" s="251" t="s">
        <v>258</v>
      </c>
      <c r="J15" s="255">
        <v>990371</v>
      </c>
      <c r="K15" s="256">
        <v>0</v>
      </c>
      <c r="L15" s="256">
        <f>SUM(J15:K15)</f>
        <v>990371</v>
      </c>
      <c r="M15" s="256">
        <v>0</v>
      </c>
      <c r="N15" s="257">
        <f>SUM(L15:M15)</f>
        <v>990371</v>
      </c>
      <c r="P15" s="251" t="s">
        <v>258</v>
      </c>
      <c r="Q15" s="255">
        <f>SUM(C15,J15)</f>
        <v>11392499</v>
      </c>
      <c r="R15" s="255">
        <f>SUM(D15,K15)</f>
        <v>2727503</v>
      </c>
      <c r="S15" s="256">
        <f>SUM(Q15:R15)</f>
        <v>14120002</v>
      </c>
      <c r="T15" s="256">
        <f>SUM(F15,M15)</f>
        <v>0</v>
      </c>
      <c r="U15" s="257">
        <f>SUM(S15:T15)</f>
        <v>14120002</v>
      </c>
    </row>
    <row r="16" spans="2:21" s="64" customFormat="1" ht="16.5" customHeight="1">
      <c r="B16" s="251" t="s">
        <v>259</v>
      </c>
      <c r="C16" s="258">
        <v>20869054</v>
      </c>
      <c r="D16" s="259">
        <v>6643233</v>
      </c>
      <c r="E16" s="256">
        <f t="shared" ref="E16:E17" si="0">SUM(C16:D16)</f>
        <v>27512287</v>
      </c>
      <c r="F16" s="259" t="s">
        <v>122</v>
      </c>
      <c r="G16" s="257">
        <f t="shared" ref="G16:G17" si="1">SUM(E16:F16)</f>
        <v>27512287</v>
      </c>
      <c r="I16" s="251" t="s">
        <v>259</v>
      </c>
      <c r="J16" s="258">
        <v>3710637</v>
      </c>
      <c r="K16" s="259">
        <v>0</v>
      </c>
      <c r="L16" s="256">
        <f t="shared" ref="L16:L17" si="2">SUM(J16:K16)</f>
        <v>3710637</v>
      </c>
      <c r="M16" s="259">
        <v>0</v>
      </c>
      <c r="N16" s="257">
        <f t="shared" ref="N16:N17" si="3">SUM(L16:M16)</f>
        <v>3710637</v>
      </c>
      <c r="P16" s="251" t="s">
        <v>259</v>
      </c>
      <c r="Q16" s="255">
        <f t="shared" ref="Q16:Q17" si="4">SUM(C16,J16)</f>
        <v>24579691</v>
      </c>
      <c r="R16" s="255">
        <f t="shared" ref="R16:R17" si="5">SUM(D16,K16)</f>
        <v>6643233</v>
      </c>
      <c r="S16" s="256">
        <f t="shared" ref="S16:S17" si="6">SUM(Q16:R16)</f>
        <v>31222924</v>
      </c>
      <c r="T16" s="256">
        <f t="shared" ref="T16:T17" si="7">SUM(F16,M16)</f>
        <v>0</v>
      </c>
      <c r="U16" s="257">
        <f t="shared" ref="U16:U17" si="8">SUM(S16:T16)</f>
        <v>31222924</v>
      </c>
    </row>
    <row r="17" spans="2:21" ht="16.5" customHeight="1">
      <c r="B17" s="251" t="s">
        <v>260</v>
      </c>
      <c r="C17" s="255">
        <v>32811835</v>
      </c>
      <c r="D17" s="256">
        <v>10070569</v>
      </c>
      <c r="E17" s="256">
        <f t="shared" si="0"/>
        <v>42882404</v>
      </c>
      <c r="F17" s="256" t="s">
        <v>122</v>
      </c>
      <c r="G17" s="257">
        <f t="shared" si="1"/>
        <v>42882404</v>
      </c>
      <c r="I17" s="251" t="s">
        <v>260</v>
      </c>
      <c r="J17" s="255">
        <v>4479640</v>
      </c>
      <c r="K17" s="256">
        <v>0</v>
      </c>
      <c r="L17" s="256">
        <f t="shared" si="2"/>
        <v>4479640</v>
      </c>
      <c r="M17" s="256">
        <v>0</v>
      </c>
      <c r="N17" s="257">
        <f t="shared" si="3"/>
        <v>4479640</v>
      </c>
      <c r="P17" s="251" t="s">
        <v>260</v>
      </c>
      <c r="Q17" s="255">
        <f t="shared" si="4"/>
        <v>37291475</v>
      </c>
      <c r="R17" s="255">
        <f t="shared" si="5"/>
        <v>10070569</v>
      </c>
      <c r="S17" s="256">
        <f t="shared" si="6"/>
        <v>47362044</v>
      </c>
      <c r="T17" s="256">
        <f t="shared" si="7"/>
        <v>0</v>
      </c>
      <c r="U17" s="257">
        <f t="shared" si="8"/>
        <v>47362044</v>
      </c>
    </row>
    <row r="18" spans="2:21" ht="16.5" customHeight="1">
      <c r="B18" s="252" t="s">
        <v>137</v>
      </c>
      <c r="C18" s="260">
        <f>SUM(C15:C17)</f>
        <v>64083017</v>
      </c>
      <c r="D18" s="260">
        <f t="shared" ref="D18:G18" si="9">SUM(D15:D17)</f>
        <v>19441305</v>
      </c>
      <c r="E18" s="260">
        <f t="shared" si="9"/>
        <v>83524322</v>
      </c>
      <c r="F18" s="260">
        <f t="shared" si="9"/>
        <v>0</v>
      </c>
      <c r="G18" s="261">
        <f t="shared" si="9"/>
        <v>83524322</v>
      </c>
      <c r="I18" s="252" t="s">
        <v>137</v>
      </c>
      <c r="J18" s="260">
        <f>SUM(J15:J17)</f>
        <v>9180648</v>
      </c>
      <c r="K18" s="260">
        <f t="shared" ref="K18" si="10">SUM(K15:K17)</f>
        <v>0</v>
      </c>
      <c r="L18" s="260">
        <f t="shared" ref="L18" si="11">SUM(L15:L17)</f>
        <v>9180648</v>
      </c>
      <c r="M18" s="260">
        <f t="shared" ref="M18" si="12">SUM(M15:M17)</f>
        <v>0</v>
      </c>
      <c r="N18" s="261">
        <f t="shared" ref="N18" si="13">SUM(N15:N17)</f>
        <v>9180648</v>
      </c>
      <c r="P18" s="252" t="s">
        <v>137</v>
      </c>
      <c r="Q18" s="260">
        <f>SUM(Q15:Q17)</f>
        <v>73263665</v>
      </c>
      <c r="R18" s="260">
        <f t="shared" ref="R18" si="14">SUM(R15:R17)</f>
        <v>19441305</v>
      </c>
      <c r="S18" s="260">
        <f t="shared" ref="S18" si="15">SUM(S15:S17)</f>
        <v>92704970</v>
      </c>
      <c r="T18" s="260">
        <f t="shared" ref="T18" si="16">SUM(T15:T17)</f>
        <v>0</v>
      </c>
      <c r="U18" s="261">
        <f t="shared" ref="U18" si="17">SUM(U15:U17)</f>
        <v>92704970</v>
      </c>
    </row>
    <row r="19" spans="2:21" ht="16.5" customHeight="1">
      <c r="B19" s="251" t="s">
        <v>261</v>
      </c>
      <c r="C19" s="255">
        <v>38106737</v>
      </c>
      <c r="D19" s="256">
        <v>10366287</v>
      </c>
      <c r="E19" s="256">
        <f>SUM(C19:D19)</f>
        <v>48473024</v>
      </c>
      <c r="F19" s="256" t="s">
        <v>122</v>
      </c>
      <c r="G19" s="257">
        <f>SUM(E19:F19)</f>
        <v>48473024</v>
      </c>
      <c r="I19" s="251" t="s">
        <v>261</v>
      </c>
      <c r="J19" s="255">
        <v>10955117.050000001</v>
      </c>
      <c r="K19" s="256">
        <v>3124552</v>
      </c>
      <c r="L19" s="256">
        <f>SUM(J19:K19)</f>
        <v>14079669.050000001</v>
      </c>
      <c r="M19" s="256">
        <v>0</v>
      </c>
      <c r="N19" s="257">
        <f>SUM(L19:M19)</f>
        <v>14079669.050000001</v>
      </c>
      <c r="P19" s="251" t="s">
        <v>261</v>
      </c>
      <c r="Q19" s="255">
        <f>SUM(C19,J19)</f>
        <v>49061854.049999997</v>
      </c>
      <c r="R19" s="255">
        <f>SUM(D19,K19)</f>
        <v>13490839</v>
      </c>
      <c r="S19" s="256">
        <f>SUM(Q19:R19)</f>
        <v>62552693.049999997</v>
      </c>
      <c r="T19" s="256">
        <f>SUM(F19,M19)</f>
        <v>0</v>
      </c>
      <c r="U19" s="257">
        <f>SUM(S19:T19)</f>
        <v>62552693.049999997</v>
      </c>
    </row>
    <row r="20" spans="2:21" ht="16.5" customHeight="1">
      <c r="B20" s="251" t="s">
        <v>262</v>
      </c>
      <c r="C20" s="255">
        <v>37710086.579999998</v>
      </c>
      <c r="D20" s="256">
        <v>12955815</v>
      </c>
      <c r="E20" s="256">
        <f t="shared" ref="E20:E21" si="18">SUM(C20:D20)</f>
        <v>50665901.579999998</v>
      </c>
      <c r="F20" s="256" t="s">
        <v>122</v>
      </c>
      <c r="G20" s="257">
        <f t="shared" ref="G20:G21" si="19">SUM(E20:F20)</f>
        <v>50665901.579999998</v>
      </c>
      <c r="I20" s="251" t="s">
        <v>262</v>
      </c>
      <c r="J20" s="255">
        <v>11771030.83</v>
      </c>
      <c r="K20" s="256">
        <v>4540401</v>
      </c>
      <c r="L20" s="256">
        <f t="shared" ref="L20:L21" si="20">SUM(J20:K20)</f>
        <v>16311431.83</v>
      </c>
      <c r="M20" s="256">
        <v>0</v>
      </c>
      <c r="N20" s="257">
        <f t="shared" ref="N20:N21" si="21">SUM(L20:M20)</f>
        <v>16311431.83</v>
      </c>
      <c r="P20" s="251" t="s">
        <v>262</v>
      </c>
      <c r="Q20" s="255">
        <f t="shared" ref="Q20:Q21" si="22">SUM(C20,J20)</f>
        <v>49481117.409999996</v>
      </c>
      <c r="R20" s="255">
        <f t="shared" ref="R20:R21" si="23">SUM(D20,K20)</f>
        <v>17496216</v>
      </c>
      <c r="S20" s="256">
        <f t="shared" ref="S20:S21" si="24">SUM(Q20:R20)</f>
        <v>66977333.409999996</v>
      </c>
      <c r="T20" s="256">
        <f t="shared" ref="T20:T21" si="25">SUM(F20,M20)</f>
        <v>0</v>
      </c>
      <c r="U20" s="257">
        <f t="shared" ref="U20:U21" si="26">SUM(S20:T20)</f>
        <v>66977333.409999996</v>
      </c>
    </row>
    <row r="21" spans="2:21" ht="16.5" customHeight="1">
      <c r="B21" s="251" t="s">
        <v>263</v>
      </c>
      <c r="C21" s="255">
        <v>37398421</v>
      </c>
      <c r="D21" s="256">
        <v>8665054</v>
      </c>
      <c r="E21" s="256">
        <f t="shared" si="18"/>
        <v>46063475</v>
      </c>
      <c r="F21" s="256">
        <v>11304464</v>
      </c>
      <c r="G21" s="257">
        <f t="shared" si="19"/>
        <v>57367939</v>
      </c>
      <c r="I21" s="251" t="s">
        <v>263</v>
      </c>
      <c r="J21" s="255">
        <v>10107643</v>
      </c>
      <c r="K21" s="256">
        <v>5012103</v>
      </c>
      <c r="L21" s="256">
        <f t="shared" si="20"/>
        <v>15119746</v>
      </c>
      <c r="M21" s="256">
        <v>0</v>
      </c>
      <c r="N21" s="257">
        <f t="shared" si="21"/>
        <v>15119746</v>
      </c>
      <c r="P21" s="251" t="s">
        <v>263</v>
      </c>
      <c r="Q21" s="255">
        <f t="shared" si="22"/>
        <v>47506064</v>
      </c>
      <c r="R21" s="255">
        <f t="shared" si="23"/>
        <v>13677157</v>
      </c>
      <c r="S21" s="256">
        <f t="shared" si="24"/>
        <v>61183221</v>
      </c>
      <c r="T21" s="256">
        <f t="shared" si="25"/>
        <v>11304464</v>
      </c>
      <c r="U21" s="257">
        <f t="shared" si="26"/>
        <v>72487685</v>
      </c>
    </row>
    <row r="22" spans="2:21" ht="16.5" customHeight="1">
      <c r="B22" s="252" t="s">
        <v>142</v>
      </c>
      <c r="C22" s="260">
        <f>SUM(C19:C21)</f>
        <v>113215244.58</v>
      </c>
      <c r="D22" s="260">
        <f t="shared" ref="D22:G22" si="27">SUM(D19:D21)</f>
        <v>31987156</v>
      </c>
      <c r="E22" s="260">
        <f t="shared" si="27"/>
        <v>145202400.57999998</v>
      </c>
      <c r="F22" s="260">
        <f t="shared" si="27"/>
        <v>11304464</v>
      </c>
      <c r="G22" s="261">
        <f t="shared" si="27"/>
        <v>156506864.57999998</v>
      </c>
      <c r="I22" s="252" t="s">
        <v>142</v>
      </c>
      <c r="J22" s="260">
        <f>SUM(J19:J21)</f>
        <v>32833790.880000003</v>
      </c>
      <c r="K22" s="260">
        <f t="shared" ref="K22" si="28">SUM(K19:K21)</f>
        <v>12677056</v>
      </c>
      <c r="L22" s="260">
        <f t="shared" ref="L22" si="29">SUM(L19:L21)</f>
        <v>45510846.880000003</v>
      </c>
      <c r="M22" s="260">
        <f t="shared" ref="M22" si="30">SUM(M19:M21)</f>
        <v>0</v>
      </c>
      <c r="N22" s="261">
        <f t="shared" ref="N22" si="31">SUM(N19:N21)</f>
        <v>45510846.880000003</v>
      </c>
      <c r="P22" s="252" t="s">
        <v>142</v>
      </c>
      <c r="Q22" s="260">
        <f>SUM(Q19:Q21)</f>
        <v>146049035.45999998</v>
      </c>
      <c r="R22" s="260">
        <f t="shared" ref="R22" si="32">SUM(R19:R21)</f>
        <v>44664212</v>
      </c>
      <c r="S22" s="260">
        <f t="shared" ref="S22" si="33">SUM(S19:S21)</f>
        <v>190713247.45999998</v>
      </c>
      <c r="T22" s="260">
        <f t="shared" ref="T22" si="34">SUM(T19:T21)</f>
        <v>11304464</v>
      </c>
      <c r="U22" s="261">
        <f t="shared" ref="U22" si="35">SUM(U19:U21)</f>
        <v>202017711.45999998</v>
      </c>
    </row>
    <row r="23" spans="2:21" ht="16.5" customHeight="1">
      <c r="B23" s="251" t="s">
        <v>264</v>
      </c>
      <c r="C23" s="256">
        <v>45492403.572529398</v>
      </c>
      <c r="D23" s="256">
        <v>11442802</v>
      </c>
      <c r="E23" s="256">
        <f>SUM(C23:D23)</f>
        <v>56935205.572529398</v>
      </c>
      <c r="F23" s="256">
        <v>23079733.54647059</v>
      </c>
      <c r="G23" s="257">
        <f>SUM(E23:F23)</f>
        <v>80014939.118999988</v>
      </c>
      <c r="I23" s="251" t="s">
        <v>264</v>
      </c>
      <c r="J23" s="256">
        <v>11300080.921</v>
      </c>
      <c r="K23" s="256">
        <v>3036995.8499999996</v>
      </c>
      <c r="L23" s="256">
        <f>SUM(J23:K23)</f>
        <v>14337076.771</v>
      </c>
      <c r="M23" s="256">
        <v>0</v>
      </c>
      <c r="N23" s="257">
        <f>SUM(L23:M23)</f>
        <v>14337076.771</v>
      </c>
      <c r="P23" s="251" t="s">
        <v>264</v>
      </c>
      <c r="Q23" s="255">
        <f>SUM(C23,J23)</f>
        <v>56792484.493529394</v>
      </c>
      <c r="R23" s="255">
        <f>SUM(D23,K23)</f>
        <v>14479797.85</v>
      </c>
      <c r="S23" s="256">
        <f>SUM(Q23:R23)</f>
        <v>71272282.343529388</v>
      </c>
      <c r="T23" s="256">
        <f>SUM(F23,M23)</f>
        <v>23079733.54647059</v>
      </c>
      <c r="U23" s="257">
        <f>SUM(S23:T23)</f>
        <v>94352015.889999986</v>
      </c>
    </row>
    <row r="24" spans="2:21" ht="16.5" customHeight="1">
      <c r="B24" s="251" t="s">
        <v>265</v>
      </c>
      <c r="C24" s="256">
        <v>40525431.816717699</v>
      </c>
      <c r="D24" s="256">
        <v>3905399.7600000007</v>
      </c>
      <c r="E24" s="256">
        <f t="shared" ref="E24:E25" si="36">SUM(C24:D24)</f>
        <v>44430831.576717697</v>
      </c>
      <c r="F24" s="256">
        <v>30613784.309579305</v>
      </c>
      <c r="G24" s="257">
        <f t="shared" ref="G24:G25" si="37">SUM(E24:F24)</f>
        <v>75044615.886297002</v>
      </c>
      <c r="I24" s="251" t="s">
        <v>265</v>
      </c>
      <c r="J24" s="256">
        <v>11359483.26</v>
      </c>
      <c r="K24" s="256">
        <v>1184458.3700000001</v>
      </c>
      <c r="L24" s="256">
        <f t="shared" ref="L24:L25" si="38">SUM(J24:K24)</f>
        <v>12543941.629999999</v>
      </c>
      <c r="M24" s="256">
        <v>0</v>
      </c>
      <c r="N24" s="257">
        <f t="shared" ref="N24:N25" si="39">SUM(L24:M24)</f>
        <v>12543941.629999999</v>
      </c>
      <c r="P24" s="251" t="s">
        <v>265</v>
      </c>
      <c r="Q24" s="255">
        <f t="shared" ref="Q24:Q25" si="40">SUM(C24,J24)</f>
        <v>51884915.076717697</v>
      </c>
      <c r="R24" s="255">
        <f t="shared" ref="R24:R25" si="41">SUM(D24,K24)</f>
        <v>5089858.1300000008</v>
      </c>
      <c r="S24" s="256">
        <f t="shared" ref="S24:S25" si="42">SUM(Q24:R24)</f>
        <v>56974773.2067177</v>
      </c>
      <c r="T24" s="256">
        <f t="shared" ref="T24:T25" si="43">SUM(F24,M24)</f>
        <v>30613784.309579305</v>
      </c>
      <c r="U24" s="257">
        <f t="shared" ref="U24:U25" si="44">SUM(S24:T24)</f>
        <v>87588557.516297013</v>
      </c>
    </row>
    <row r="25" spans="2:21" ht="16.5" customHeight="1">
      <c r="B25" s="251" t="s">
        <v>266</v>
      </c>
      <c r="C25" s="256">
        <v>73683243.6438054</v>
      </c>
      <c r="D25" s="256">
        <v>21955334.289999999</v>
      </c>
      <c r="E25" s="256">
        <f t="shared" si="36"/>
        <v>95638577.933805406</v>
      </c>
      <c r="F25" s="256">
        <v>32643055.795471098</v>
      </c>
      <c r="G25" s="257">
        <f t="shared" si="37"/>
        <v>128281633.72927651</v>
      </c>
      <c r="I25" s="251" t="s">
        <v>266</v>
      </c>
      <c r="J25" s="256">
        <v>18866753.113000002</v>
      </c>
      <c r="K25" s="256">
        <v>7373142.9500000002</v>
      </c>
      <c r="L25" s="256">
        <f t="shared" si="38"/>
        <v>26239896.063000001</v>
      </c>
      <c r="M25" s="256">
        <v>0</v>
      </c>
      <c r="N25" s="257">
        <f t="shared" si="39"/>
        <v>26239896.063000001</v>
      </c>
      <c r="P25" s="251" t="s">
        <v>266</v>
      </c>
      <c r="Q25" s="255">
        <f t="shared" si="40"/>
        <v>92549996.756805405</v>
      </c>
      <c r="R25" s="255">
        <f t="shared" si="41"/>
        <v>29328477.239999998</v>
      </c>
      <c r="S25" s="256">
        <f t="shared" si="42"/>
        <v>121878473.9968054</v>
      </c>
      <c r="T25" s="256">
        <f t="shared" si="43"/>
        <v>32643055.795471098</v>
      </c>
      <c r="U25" s="257">
        <f t="shared" si="44"/>
        <v>154521529.7922765</v>
      </c>
    </row>
    <row r="26" spans="2:21" ht="16.5" customHeight="1" thickBot="1">
      <c r="B26" s="253" t="s">
        <v>148</v>
      </c>
      <c r="C26" s="262">
        <f>SUM(C23:C25)</f>
        <v>159701079.0330525</v>
      </c>
      <c r="D26" s="262">
        <f t="shared" ref="D26:G26" si="45">SUM(D23:D25)</f>
        <v>37303536.049999997</v>
      </c>
      <c r="E26" s="262">
        <f t="shared" si="45"/>
        <v>197004615.08305252</v>
      </c>
      <c r="F26" s="262">
        <f t="shared" si="45"/>
        <v>86336573.651520997</v>
      </c>
      <c r="G26" s="263">
        <f t="shared" si="45"/>
        <v>283341188.73457348</v>
      </c>
      <c r="I26" s="253" t="s">
        <v>148</v>
      </c>
      <c r="J26" s="262">
        <f>SUM(J23:J25)</f>
        <v>41526317.294</v>
      </c>
      <c r="K26" s="262">
        <f t="shared" ref="K26" si="46">SUM(K23:K25)</f>
        <v>11594597.17</v>
      </c>
      <c r="L26" s="262">
        <f t="shared" ref="L26" si="47">SUM(L23:L25)</f>
        <v>53120914.464000002</v>
      </c>
      <c r="M26" s="262">
        <f t="shared" ref="M26" si="48">SUM(M23:M25)</f>
        <v>0</v>
      </c>
      <c r="N26" s="263">
        <f t="shared" ref="N26" si="49">SUM(N23:N25)</f>
        <v>53120914.464000002</v>
      </c>
      <c r="P26" s="253" t="s">
        <v>148</v>
      </c>
      <c r="Q26" s="262">
        <f>SUM(Q23:Q25)</f>
        <v>201227396.32705247</v>
      </c>
      <c r="R26" s="262">
        <f t="shared" ref="R26" si="50">SUM(R23:R25)</f>
        <v>48898133.219999999</v>
      </c>
      <c r="S26" s="262">
        <f t="shared" ref="S26" si="51">SUM(S23:S25)</f>
        <v>250125529.5470525</v>
      </c>
      <c r="T26" s="262">
        <f t="shared" ref="T26" si="52">SUM(T23:T25)</f>
        <v>86336573.651520997</v>
      </c>
      <c r="U26" s="263">
        <f t="shared" ref="U26" si="53">SUM(U23:U25)</f>
        <v>336462103.19857347</v>
      </c>
    </row>
    <row r="27" spans="2:21" s="64" customFormat="1" ht="47.1" customHeight="1">
      <c r="B27" s="250" t="s">
        <v>100</v>
      </c>
      <c r="C27" s="37" t="s">
        <v>267</v>
      </c>
      <c r="D27" s="37" t="s">
        <v>268</v>
      </c>
      <c r="E27" s="254" t="s">
        <v>21</v>
      </c>
      <c r="F27" s="249"/>
      <c r="G27" s="249"/>
      <c r="I27" s="250" t="s">
        <v>100</v>
      </c>
      <c r="J27" s="37" t="s">
        <v>267</v>
      </c>
      <c r="K27" s="37" t="s">
        <v>268</v>
      </c>
      <c r="L27" s="254" t="s">
        <v>21</v>
      </c>
      <c r="M27" s="249"/>
      <c r="N27" s="249"/>
      <c r="P27" s="250" t="s">
        <v>100</v>
      </c>
      <c r="Q27" s="37" t="s">
        <v>267</v>
      </c>
      <c r="R27" s="37" t="s">
        <v>268</v>
      </c>
      <c r="S27" s="254" t="s">
        <v>21</v>
      </c>
      <c r="T27" s="249"/>
      <c r="U27" s="249"/>
    </row>
    <row r="28" spans="2:21" ht="16.5" customHeight="1">
      <c r="B28" s="77">
        <v>2018</v>
      </c>
      <c r="C28" s="256">
        <v>102247235.25</v>
      </c>
      <c r="D28" s="256">
        <v>98689801</v>
      </c>
      <c r="E28" s="264">
        <f>C28/D28</f>
        <v>1.0360466250205531</v>
      </c>
      <c r="F28" s="72"/>
      <c r="G28" s="72"/>
      <c r="I28" s="77">
        <v>2018</v>
      </c>
      <c r="J28" s="256">
        <v>16960154.43</v>
      </c>
      <c r="K28" s="256">
        <v>15667311.84</v>
      </c>
      <c r="L28" s="264">
        <f>J28/K28</f>
        <v>1.0825184692309029</v>
      </c>
      <c r="M28" s="72"/>
      <c r="N28" s="72"/>
      <c r="P28" s="77">
        <v>2018</v>
      </c>
      <c r="Q28" s="256">
        <f>SUM(C28,J28)</f>
        <v>119207389.68000001</v>
      </c>
      <c r="R28" s="256">
        <f>SUM(D28,K28)</f>
        <v>114357112.84</v>
      </c>
      <c r="S28" s="264">
        <f>Q28/R28</f>
        <v>1.0424134250991992</v>
      </c>
      <c r="T28" s="72"/>
      <c r="U28" s="72"/>
    </row>
    <row r="29" spans="2:21" ht="16.5" customHeight="1">
      <c r="B29" s="77">
        <v>2019</v>
      </c>
      <c r="C29" s="256">
        <v>96007537.799999997</v>
      </c>
      <c r="D29" s="256">
        <v>98689801</v>
      </c>
      <c r="E29" s="264">
        <f t="shared" ref="E29:E31" si="54">C29/D29</f>
        <v>0.97282127258519846</v>
      </c>
      <c r="F29" s="72"/>
      <c r="G29" s="72"/>
      <c r="I29" s="77">
        <v>2019</v>
      </c>
      <c r="J29" s="256">
        <v>15095104.890000001</v>
      </c>
      <c r="K29" s="256">
        <v>15360706.439999999</v>
      </c>
      <c r="L29" s="264">
        <f t="shared" ref="L29:L31" si="55">J29/K29</f>
        <v>0.98270902767151647</v>
      </c>
      <c r="M29" s="72"/>
      <c r="N29" s="72"/>
      <c r="P29" s="77">
        <v>2019</v>
      </c>
      <c r="Q29" s="256">
        <f t="shared" ref="Q29:R31" si="56">SUM(C29,J29)</f>
        <v>111102642.69</v>
      </c>
      <c r="R29" s="256">
        <f t="shared" si="56"/>
        <v>114050507.44</v>
      </c>
      <c r="S29" s="264">
        <f t="shared" ref="S29:S31" si="57">Q29/R29</f>
        <v>0.97415298874009115</v>
      </c>
      <c r="T29" s="72"/>
      <c r="U29" s="72"/>
    </row>
    <row r="30" spans="2:21" ht="16.5" customHeight="1">
      <c r="B30" s="77">
        <v>2020</v>
      </c>
      <c r="C30" s="256">
        <v>98400656.209999993</v>
      </c>
      <c r="D30" s="256">
        <v>98689800.997999996</v>
      </c>
      <c r="E30" s="264">
        <f t="shared" si="54"/>
        <v>0.99707016545705807</v>
      </c>
      <c r="F30" s="72"/>
      <c r="G30" s="72"/>
      <c r="I30" s="77">
        <v>2020</v>
      </c>
      <c r="J30" s="256">
        <v>14975163</v>
      </c>
      <c r="K30" s="256">
        <v>15575955.0169142</v>
      </c>
      <c r="L30" s="264">
        <f t="shared" si="55"/>
        <v>0.96142823882954276</v>
      </c>
      <c r="M30" s="72"/>
      <c r="N30" s="72"/>
      <c r="P30" s="77">
        <v>2020</v>
      </c>
      <c r="Q30" s="256">
        <f t="shared" si="56"/>
        <v>113375819.20999999</v>
      </c>
      <c r="R30" s="256">
        <f t="shared" si="56"/>
        <v>114265756.0149142</v>
      </c>
      <c r="S30" s="264">
        <f t="shared" si="57"/>
        <v>0.9922116928469974</v>
      </c>
      <c r="T30" s="72"/>
      <c r="U30" s="72"/>
    </row>
    <row r="31" spans="2:21" ht="16.5" customHeight="1">
      <c r="B31" s="77">
        <v>2021</v>
      </c>
      <c r="C31" s="256">
        <v>99465648.870000005</v>
      </c>
      <c r="D31" s="256">
        <v>98689801</v>
      </c>
      <c r="E31" s="264">
        <f t="shared" si="54"/>
        <v>1.0078614797287919</v>
      </c>
      <c r="F31" s="72"/>
      <c r="G31" s="72"/>
      <c r="I31" s="77">
        <v>2021</v>
      </c>
      <c r="J31" s="256">
        <v>15033270.055786902</v>
      </c>
      <c r="K31" s="256">
        <v>15731743.369344199</v>
      </c>
      <c r="L31" s="264">
        <f t="shared" si="55"/>
        <v>0.95560102290262483</v>
      </c>
      <c r="M31" s="72"/>
      <c r="N31" s="72"/>
      <c r="P31" s="77">
        <v>2021</v>
      </c>
      <c r="Q31" s="256">
        <f t="shared" si="56"/>
        <v>114498918.92578691</v>
      </c>
      <c r="R31" s="256">
        <f t="shared" si="56"/>
        <v>114421544.3693442</v>
      </c>
      <c r="S31" s="264">
        <f t="shared" si="57"/>
        <v>1.0006762236680966</v>
      </c>
      <c r="T31" s="72"/>
      <c r="U31" s="72"/>
    </row>
    <row r="32" spans="2:21" ht="16.5" customHeight="1" thickBot="1">
      <c r="B32" s="253" t="s">
        <v>150</v>
      </c>
      <c r="C32" s="262">
        <f>SUM(C28:C31)</f>
        <v>396121078.13</v>
      </c>
      <c r="D32" s="262">
        <f>SUM(D28:D31)</f>
        <v>394759203.99800003</v>
      </c>
      <c r="E32" s="265">
        <f>C32/D32</f>
        <v>1.0034498856979326</v>
      </c>
      <c r="F32" s="72"/>
      <c r="G32" s="72"/>
      <c r="I32" s="253" t="s">
        <v>150</v>
      </c>
      <c r="J32" s="262">
        <f>SUM(J28:J31)</f>
        <v>62063692.375786901</v>
      </c>
      <c r="K32" s="262">
        <f>SUM(K28:K31)</f>
        <v>62335716.666258402</v>
      </c>
      <c r="L32" s="265">
        <f>J32/K32</f>
        <v>0.99563614080306639</v>
      </c>
      <c r="M32" s="72"/>
      <c r="N32" s="72"/>
      <c r="P32" s="253" t="s">
        <v>150</v>
      </c>
      <c r="Q32" s="262">
        <f>SUM(Q28:Q31)</f>
        <v>458184770.5057869</v>
      </c>
      <c r="R32" s="262">
        <f>SUM(R28:R31)</f>
        <v>457094920.66425836</v>
      </c>
      <c r="S32" s="265">
        <f>Q32/R32</f>
        <v>1.002384296548176</v>
      </c>
      <c r="T32" s="72"/>
      <c r="U32" s="72"/>
    </row>
    <row r="33" spans="2:21" ht="14.45" customHeight="1">
      <c r="B33" s="77">
        <v>2022</v>
      </c>
      <c r="C33" s="256">
        <f>'2- Costs'!C30</f>
        <v>102695712.74817577</v>
      </c>
      <c r="D33" s="256">
        <v>119489180</v>
      </c>
      <c r="E33" s="264">
        <f>C33/D33</f>
        <v>0.85945616789884882</v>
      </c>
      <c r="F33" s="72"/>
      <c r="G33" s="72"/>
      <c r="I33" s="77">
        <v>2022</v>
      </c>
      <c r="J33" s="256">
        <f>'2- Costs'!D30</f>
        <v>15343470.194744084</v>
      </c>
      <c r="K33" s="256">
        <v>16295291</v>
      </c>
      <c r="L33" s="264">
        <f>J33/K33</f>
        <v>0.94158921094100645</v>
      </c>
      <c r="M33" s="72"/>
      <c r="N33" s="72"/>
      <c r="P33" s="77">
        <v>2022</v>
      </c>
      <c r="Q33" s="256">
        <f>SUM(C33,J33)</f>
        <v>118039182.94291985</v>
      </c>
      <c r="R33" s="256">
        <f>SUM(D33,K33)</f>
        <v>135784471</v>
      </c>
      <c r="S33" s="264">
        <f>Q33/R33</f>
        <v>0.86931283138349336</v>
      </c>
      <c r="T33" s="72"/>
      <c r="U33" s="72"/>
    </row>
    <row r="34" spans="2:21" ht="16.5">
      <c r="B34" s="77">
        <v>2023</v>
      </c>
      <c r="C34" s="256"/>
      <c r="D34" s="256">
        <v>118701009</v>
      </c>
      <c r="E34" s="264">
        <f t="shared" ref="E34:E36" si="58">C34/D34</f>
        <v>0</v>
      </c>
      <c r="I34" s="77">
        <v>2023</v>
      </c>
      <c r="J34" s="256"/>
      <c r="K34" s="256">
        <v>16433133</v>
      </c>
      <c r="L34" s="264">
        <f t="shared" ref="L34:L36" si="59">J34/K34</f>
        <v>0</v>
      </c>
      <c r="P34" s="77">
        <v>2023</v>
      </c>
      <c r="Q34" s="256">
        <f t="shared" ref="Q34:R36" si="60">SUM(C34,J34)</f>
        <v>0</v>
      </c>
      <c r="R34" s="256">
        <f t="shared" si="60"/>
        <v>135134142</v>
      </c>
      <c r="S34" s="264">
        <f t="shared" ref="S34:S36" si="61">Q34/R34</f>
        <v>0</v>
      </c>
    </row>
    <row r="35" spans="2:21" ht="16.5">
      <c r="B35" s="77">
        <v>2024</v>
      </c>
      <c r="C35" s="256"/>
      <c r="D35" s="256">
        <v>118701009</v>
      </c>
      <c r="E35" s="264">
        <f t="shared" si="58"/>
        <v>0</v>
      </c>
      <c r="I35" s="77">
        <v>2024</v>
      </c>
      <c r="J35" s="256"/>
      <c r="K35" s="256">
        <v>16624870</v>
      </c>
      <c r="L35" s="264">
        <f t="shared" si="59"/>
        <v>0</v>
      </c>
      <c r="P35" s="77">
        <v>2024</v>
      </c>
      <c r="Q35" s="256">
        <f t="shared" si="60"/>
        <v>0</v>
      </c>
      <c r="R35" s="256">
        <f t="shared" si="60"/>
        <v>135325879</v>
      </c>
      <c r="S35" s="264">
        <f t="shared" si="61"/>
        <v>0</v>
      </c>
    </row>
    <row r="36" spans="2:21" ht="16.5">
      <c r="B36" s="77">
        <v>2025</v>
      </c>
      <c r="C36" s="256"/>
      <c r="D36" s="256">
        <v>118701009</v>
      </c>
      <c r="E36" s="264">
        <f t="shared" si="58"/>
        <v>0</v>
      </c>
      <c r="I36" s="77">
        <v>2025</v>
      </c>
      <c r="J36" s="256"/>
      <c r="K36" s="256">
        <v>16701258</v>
      </c>
      <c r="L36" s="264">
        <f t="shared" si="59"/>
        <v>0</v>
      </c>
      <c r="P36" s="77">
        <v>2025</v>
      </c>
      <c r="Q36" s="256">
        <f t="shared" si="60"/>
        <v>0</v>
      </c>
      <c r="R36" s="256">
        <f t="shared" si="60"/>
        <v>135402267</v>
      </c>
      <c r="S36" s="264">
        <f t="shared" si="61"/>
        <v>0</v>
      </c>
    </row>
    <row r="37" spans="2:21" ht="17.25" thickBot="1">
      <c r="B37" s="253" t="s">
        <v>152</v>
      </c>
      <c r="C37" s="262">
        <f>SUM(C33:C36)</f>
        <v>102695712.74817577</v>
      </c>
      <c r="D37" s="262">
        <f>SUM(D33:D36)</f>
        <v>475592207</v>
      </c>
      <c r="E37" s="265">
        <f>C37/D37</f>
        <v>0.21593228660320704</v>
      </c>
      <c r="I37" s="253" t="s">
        <v>152</v>
      </c>
      <c r="J37" s="262">
        <f>SUM(J33:J36)</f>
        <v>15343470.194744084</v>
      </c>
      <c r="K37" s="262">
        <f>SUM(K33:K36)</f>
        <v>66054552</v>
      </c>
      <c r="L37" s="265">
        <f>J37/K37</f>
        <v>0.23228482716443349</v>
      </c>
      <c r="P37" s="253" t="s">
        <v>152</v>
      </c>
      <c r="Q37" s="262">
        <f>SUM(Q33:Q36)</f>
        <v>118039182.94291985</v>
      </c>
      <c r="R37" s="262">
        <f>SUM(R33:R36)</f>
        <v>541646759</v>
      </c>
      <c r="S37" s="265">
        <f>Q37/R37</f>
        <v>0.21792650095580071</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26 Q18:R18 Q22:R22 Q32:R32 T23:T25 T15 J18:N18 L22:N22" formula="1"/>
    <ignoredError sqref="E28:E37 S28: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TaxCatchAll xmlns="c165669a-5531-4834-a3c6-766d91a836b3" xsi:nil="true"/>
    <lcf76f155ced4ddcb4097134ff3c332f xmlns="0fc115f9-6d6b-4932-b8c1-5214a931006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16" ma:contentTypeDescription="Create a new document." ma:contentTypeScope="" ma:versionID="18ee94694f555c435c3429450a1c5891">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e46c1b1c2361ad0d56c0cd0cb6c624e3"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0fb89a2-95e2-4ef7-bfb8-9e923550209d}" ma:internalName="TaxCatchAll" ma:showField="CatchAllData" ma:web="c165669a-5531-4834-a3c6-766d91a83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E2CB1D-3061-4333-83FD-8FD131D6D8B7}"/>
</file>

<file path=customXml/itemProps2.xml><?xml version="1.0" encoding="utf-8"?>
<ds:datastoreItem xmlns:ds="http://schemas.openxmlformats.org/officeDocument/2006/customXml" ds:itemID="{DA260F07-B1CE-4D56-96C1-782006AA9B68}"/>
</file>

<file path=customXml/itemProps3.xml><?xml version="1.0" encoding="utf-8"?>
<ds:datastoreItem xmlns:ds="http://schemas.openxmlformats.org/officeDocument/2006/customXml" ds:itemID="{5310C7E2-4C81-46E0-B84F-7DEBDE3B477A}"/>
</file>

<file path=docProps/app.xml><?xml version="1.0" encoding="utf-8"?>
<Properties xmlns="http://schemas.openxmlformats.org/officeDocument/2006/extended-properties" xmlns:vt="http://schemas.openxmlformats.org/officeDocument/2006/docPropsVTypes">
  <Application>Microsoft Excel Online</Application>
  <Manager/>
  <Company>Exelon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Vaughn, Andrew C</cp:lastModifiedBy>
  <cp:revision/>
  <dcterms:created xsi:type="dcterms:W3CDTF">2016-11-04T16:24:21Z</dcterms:created>
  <dcterms:modified xsi:type="dcterms:W3CDTF">2023-03-31T06:18:46Z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ies>
</file>