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Ameren/AIC 2022/"/>
    </mc:Choice>
  </mc:AlternateContent>
  <xr:revisionPtr revIDLastSave="0" documentId="8_{7BA34626-5429-4AEB-A814-5CDCF5F08E97}" xr6:coauthVersionLast="47" xr6:coauthVersionMax="47" xr10:uidLastSave="{00000000-0000-0000-0000-000000000000}"/>
  <bookViews>
    <workbookView xWindow="-110" yWindow="-110" windowWidth="19420" windowHeight="10420" xr2:uid="{00000000-000D-0000-FFFF-FFFF00000000}"/>
  </bookViews>
  <sheets>
    <sheet name="1- Ex Ante Results" sheetId="1" r:id="rId1"/>
    <sheet name="2- Costs" sheetId="2" r:id="rId2"/>
    <sheet name="3- Energy" sheetId="3" r:id="rId3"/>
    <sheet name="4- Other" sheetId="4" r:id="rId4"/>
    <sheet name="5- CPAS" sheetId="7" r:id="rId5"/>
    <sheet name="6- Historical Costs" sheetId="8"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3" l="1"/>
  <c r="E23" i="7"/>
  <c r="J52" i="1"/>
  <c r="J43" i="1"/>
  <c r="J31" i="1"/>
  <c r="J23" i="1"/>
  <c r="V39" i="1"/>
  <c r="V37" i="1"/>
  <c r="V23" i="1"/>
  <c r="P39" i="1"/>
  <c r="P37" i="1"/>
  <c r="P28" i="1"/>
  <c r="C54" i="1" l="1"/>
  <c r="D54" i="1"/>
  <c r="E54" i="1"/>
  <c r="F54" i="1"/>
  <c r="H54" i="1"/>
  <c r="I54" i="1"/>
  <c r="J54" i="1"/>
  <c r="K54" i="1"/>
  <c r="N54" i="1"/>
  <c r="O54" i="1"/>
  <c r="P54" i="1"/>
  <c r="Q54" i="1"/>
  <c r="T54" i="1"/>
  <c r="U54" i="1"/>
  <c r="V54" i="1"/>
  <c r="W54" i="1"/>
  <c r="C55" i="1"/>
  <c r="D55" i="1"/>
  <c r="E55" i="1"/>
  <c r="F55" i="1"/>
  <c r="H55" i="1"/>
  <c r="I55" i="1"/>
  <c r="J55" i="1"/>
  <c r="K55" i="1"/>
  <c r="N55" i="1"/>
  <c r="O55" i="1"/>
  <c r="P55" i="1"/>
  <c r="Q55" i="1"/>
  <c r="T55" i="1"/>
  <c r="U55" i="1"/>
  <c r="V55" i="1"/>
  <c r="W55" i="1"/>
  <c r="C56" i="1"/>
  <c r="D56" i="1"/>
  <c r="E56" i="1"/>
  <c r="F56" i="1"/>
  <c r="H56" i="1"/>
  <c r="I56" i="1"/>
  <c r="J56" i="1"/>
  <c r="K56" i="1"/>
  <c r="N56" i="1"/>
  <c r="O56" i="1"/>
  <c r="P56" i="1"/>
  <c r="Q56" i="1"/>
  <c r="T56" i="1"/>
  <c r="U56" i="1"/>
  <c r="V56" i="1"/>
  <c r="W56" i="1"/>
  <c r="C57" i="1"/>
  <c r="D57" i="1"/>
  <c r="E57" i="1"/>
  <c r="F57" i="1"/>
  <c r="H57" i="1"/>
  <c r="I57" i="1"/>
  <c r="J57" i="1"/>
  <c r="K57" i="1"/>
  <c r="N57" i="1"/>
  <c r="O57" i="1"/>
  <c r="P57" i="1"/>
  <c r="Q57" i="1"/>
  <c r="T57" i="1"/>
  <c r="U57" i="1"/>
  <c r="V57" i="1"/>
  <c r="W57" i="1"/>
  <c r="C58" i="1"/>
  <c r="D58" i="1"/>
  <c r="E58" i="1"/>
  <c r="F58" i="1"/>
  <c r="H58" i="1"/>
  <c r="I58" i="1"/>
  <c r="J58" i="1"/>
  <c r="K58" i="1"/>
  <c r="N58" i="1"/>
  <c r="O58" i="1"/>
  <c r="P58" i="1"/>
  <c r="Q58" i="1"/>
  <c r="T58" i="1"/>
  <c r="U58" i="1"/>
  <c r="V58" i="1"/>
  <c r="W58" i="1"/>
  <c r="B56" i="1"/>
  <c r="B54" i="1"/>
  <c r="J65" i="1" l="1"/>
  <c r="R33" i="8"/>
  <c r="R34" i="8"/>
  <c r="R35" i="8"/>
  <c r="R36" i="8"/>
  <c r="R37" i="8" s="1"/>
  <c r="R28" i="8"/>
  <c r="R29" i="8"/>
  <c r="R32" i="8" s="1"/>
  <c r="R30" i="8"/>
  <c r="R31" i="8"/>
  <c r="Q36" i="8"/>
  <c r="Q35" i="8"/>
  <c r="S35" i="8" s="1"/>
  <c r="Q34" i="8"/>
  <c r="S34" i="8" s="1"/>
  <c r="Q29" i="8"/>
  <c r="S29" i="8" s="1"/>
  <c r="Q30" i="8"/>
  <c r="S30" i="8" s="1"/>
  <c r="Q31" i="8"/>
  <c r="Q28" i="8"/>
  <c r="T25" i="8"/>
  <c r="T24" i="8"/>
  <c r="T23" i="8"/>
  <c r="T21" i="8"/>
  <c r="T20" i="8"/>
  <c r="T19" i="8"/>
  <c r="T16" i="8"/>
  <c r="T17" i="8"/>
  <c r="T15" i="8"/>
  <c r="R25" i="8"/>
  <c r="Q25" i="8"/>
  <c r="R24" i="8"/>
  <c r="Q24" i="8"/>
  <c r="R23" i="8"/>
  <c r="R26" i="8" s="1"/>
  <c r="Q23" i="8"/>
  <c r="R21" i="8"/>
  <c r="Q21" i="8"/>
  <c r="R20" i="8"/>
  <c r="S20" i="8" s="1"/>
  <c r="Q20" i="8"/>
  <c r="R19" i="8"/>
  <c r="R22" i="8" s="1"/>
  <c r="Q19" i="8"/>
  <c r="Q22" i="8" s="1"/>
  <c r="Q16" i="8"/>
  <c r="R16" i="8"/>
  <c r="S16" i="8" s="1"/>
  <c r="Q17" i="8"/>
  <c r="R17" i="8"/>
  <c r="S17" i="8" s="1"/>
  <c r="R15" i="8"/>
  <c r="Q15" i="8"/>
  <c r="Q26" i="8"/>
  <c r="S23" i="8"/>
  <c r="S36" i="8" l="1"/>
  <c r="S31" i="8"/>
  <c r="T26" i="8"/>
  <c r="T22" i="8"/>
  <c r="U17" i="8"/>
  <c r="S24" i="8"/>
  <c r="U24" i="8" s="1"/>
  <c r="S25" i="8"/>
  <c r="U25" i="8" s="1"/>
  <c r="S21" i="8"/>
  <c r="U21" i="8" s="1"/>
  <c r="Q32" i="8"/>
  <c r="S32" i="8" s="1"/>
  <c r="S28" i="8"/>
  <c r="U23" i="8"/>
  <c r="U20" i="8"/>
  <c r="U16" i="8"/>
  <c r="T18" i="8"/>
  <c r="S19" i="8"/>
  <c r="U19" i="8" s="1"/>
  <c r="R18" i="8"/>
  <c r="S15" i="8"/>
  <c r="S18" i="8" s="1"/>
  <c r="Q18" i="8"/>
  <c r="S26" i="8"/>
  <c r="K37" i="8"/>
  <c r="L36" i="8"/>
  <c r="L35" i="8"/>
  <c r="L34" i="8"/>
  <c r="K32" i="8"/>
  <c r="L32" i="8" s="1"/>
  <c r="J32" i="8"/>
  <c r="L31" i="8"/>
  <c r="L30" i="8"/>
  <c r="L29" i="8"/>
  <c r="L28" i="8"/>
  <c r="M26" i="8"/>
  <c r="K26" i="8"/>
  <c r="J26" i="8"/>
  <c r="L25" i="8"/>
  <c r="N25" i="8" s="1"/>
  <c r="L24" i="8"/>
  <c r="N24" i="8" s="1"/>
  <c r="L23" i="8"/>
  <c r="N23" i="8" s="1"/>
  <c r="M22" i="8"/>
  <c r="K22" i="8"/>
  <c r="J22" i="8"/>
  <c r="L21" i="8"/>
  <c r="N21" i="8" s="1"/>
  <c r="L20" i="8"/>
  <c r="N20" i="8" s="1"/>
  <c r="L19" i="8"/>
  <c r="N19" i="8" s="1"/>
  <c r="M18" i="8"/>
  <c r="K18" i="8"/>
  <c r="J18" i="8"/>
  <c r="L17" i="8"/>
  <c r="N17" i="8" s="1"/>
  <c r="L16" i="8"/>
  <c r="N16" i="8" s="1"/>
  <c r="L15" i="8"/>
  <c r="N15" i="8" s="1"/>
  <c r="G21" i="8"/>
  <c r="G19" i="8"/>
  <c r="E24" i="8"/>
  <c r="G24" i="8" s="1"/>
  <c r="E25" i="8"/>
  <c r="G25" i="8" s="1"/>
  <c r="E23" i="8"/>
  <c r="G23" i="8" s="1"/>
  <c r="E20" i="8"/>
  <c r="G20" i="8" s="1"/>
  <c r="E21" i="8"/>
  <c r="E19" i="8"/>
  <c r="E16" i="8"/>
  <c r="G16" i="8" s="1"/>
  <c r="E17" i="8"/>
  <c r="G17" i="8" s="1"/>
  <c r="E34" i="8"/>
  <c r="E35" i="8"/>
  <c r="E36" i="8"/>
  <c r="E29" i="8"/>
  <c r="E30" i="8"/>
  <c r="E31" i="8"/>
  <c r="E28" i="8"/>
  <c r="D37" i="8"/>
  <c r="D32" i="8"/>
  <c r="C32" i="8"/>
  <c r="E32" i="8" s="1"/>
  <c r="D26" i="8"/>
  <c r="F26" i="8"/>
  <c r="C26" i="8"/>
  <c r="D22" i="8"/>
  <c r="E22" i="8"/>
  <c r="F22" i="8"/>
  <c r="C22" i="8"/>
  <c r="D18" i="8"/>
  <c r="F18" i="8"/>
  <c r="C18" i="8"/>
  <c r="E15" i="8"/>
  <c r="G15" i="8" s="1"/>
  <c r="E24" i="7"/>
  <c r="D30" i="4"/>
  <c r="E30" i="4"/>
  <c r="F30" i="4"/>
  <c r="G30" i="4"/>
  <c r="H30" i="4"/>
  <c r="I30" i="4"/>
  <c r="J30" i="4"/>
  <c r="K30" i="4"/>
  <c r="L30" i="4"/>
  <c r="M30" i="4"/>
  <c r="N30" i="4"/>
  <c r="O30" i="4"/>
  <c r="P30" i="4"/>
  <c r="Q30" i="4"/>
  <c r="D31" i="4"/>
  <c r="E31" i="4"/>
  <c r="F31" i="4"/>
  <c r="G31" i="4"/>
  <c r="H31" i="4"/>
  <c r="I31" i="4"/>
  <c r="J31" i="4"/>
  <c r="K31" i="4"/>
  <c r="L31" i="4"/>
  <c r="M31" i="4"/>
  <c r="N31" i="4"/>
  <c r="O31" i="4"/>
  <c r="P31" i="4"/>
  <c r="Q31" i="4"/>
  <c r="D32" i="4"/>
  <c r="E32" i="4"/>
  <c r="F32" i="4"/>
  <c r="G32" i="4"/>
  <c r="H32" i="4"/>
  <c r="I32" i="4"/>
  <c r="J32" i="4"/>
  <c r="K32" i="4"/>
  <c r="L32" i="4"/>
  <c r="M32" i="4"/>
  <c r="N32" i="4"/>
  <c r="O32" i="4"/>
  <c r="P32" i="4"/>
  <c r="Q32" i="4"/>
  <c r="D33" i="4"/>
  <c r="E33" i="4"/>
  <c r="F33" i="4"/>
  <c r="G33" i="4"/>
  <c r="H33" i="4"/>
  <c r="I33" i="4"/>
  <c r="J33" i="4"/>
  <c r="K33" i="4"/>
  <c r="L33" i="4"/>
  <c r="M33" i="4"/>
  <c r="N33" i="4"/>
  <c r="O33" i="4"/>
  <c r="P33" i="4"/>
  <c r="Q33" i="4"/>
  <c r="C31" i="4"/>
  <c r="C32" i="4"/>
  <c r="C33" i="4"/>
  <c r="C30" i="4"/>
  <c r="P12" i="4"/>
  <c r="J37" i="3"/>
  <c r="K37" i="3"/>
  <c r="J32" i="3"/>
  <c r="K32" i="3"/>
  <c r="I32" i="3"/>
  <c r="J27" i="3"/>
  <c r="K27" i="3"/>
  <c r="I27" i="3"/>
  <c r="J22" i="3"/>
  <c r="K22" i="3"/>
  <c r="I22" i="3"/>
  <c r="J18" i="3"/>
  <c r="K18" i="3"/>
  <c r="I18" i="3"/>
  <c r="F37" i="3"/>
  <c r="E37" i="3"/>
  <c r="F32" i="3"/>
  <c r="E32" i="3"/>
  <c r="D32" i="3"/>
  <c r="E27" i="3"/>
  <c r="F27" i="3"/>
  <c r="D27" i="3"/>
  <c r="F22" i="3"/>
  <c r="G22" i="3" s="1"/>
  <c r="E22" i="3"/>
  <c r="D22" i="3"/>
  <c r="E18" i="3"/>
  <c r="F18" i="3"/>
  <c r="D18" i="3"/>
  <c r="L36" i="3"/>
  <c r="L35" i="3"/>
  <c r="L34" i="3"/>
  <c r="L32" i="3"/>
  <c r="L31" i="3"/>
  <c r="L30" i="3"/>
  <c r="L29" i="3"/>
  <c r="L28" i="3"/>
  <c r="L27" i="3"/>
  <c r="L26" i="3"/>
  <c r="L25" i="3"/>
  <c r="L24" i="3"/>
  <c r="L23" i="3"/>
  <c r="L21" i="3"/>
  <c r="L20" i="3"/>
  <c r="L19" i="3"/>
  <c r="G34" i="3"/>
  <c r="G35" i="3"/>
  <c r="G36" i="3"/>
  <c r="G16" i="3"/>
  <c r="G17" i="3"/>
  <c r="G18" i="3"/>
  <c r="G19" i="3"/>
  <c r="G20" i="3"/>
  <c r="G21" i="3"/>
  <c r="G23" i="3"/>
  <c r="G24" i="3"/>
  <c r="G25" i="3"/>
  <c r="G26" i="3"/>
  <c r="G28" i="3"/>
  <c r="G29" i="3"/>
  <c r="G30" i="3"/>
  <c r="G15" i="3"/>
  <c r="E21" i="2"/>
  <c r="E22" i="2"/>
  <c r="E23" i="2"/>
  <c r="D20" i="2"/>
  <c r="D24" i="2" s="1"/>
  <c r="W69" i="1"/>
  <c r="V69" i="1"/>
  <c r="U69" i="1"/>
  <c r="T69" i="1"/>
  <c r="W52" i="1"/>
  <c r="V52" i="1"/>
  <c r="U52" i="1"/>
  <c r="T52" i="1"/>
  <c r="W43" i="1"/>
  <c r="V43" i="1"/>
  <c r="U43" i="1"/>
  <c r="T43" i="1"/>
  <c r="W31" i="1"/>
  <c r="V31" i="1"/>
  <c r="U31" i="1"/>
  <c r="T31" i="1"/>
  <c r="O69" i="1"/>
  <c r="P69" i="1"/>
  <c r="Q69" i="1"/>
  <c r="N69" i="1"/>
  <c r="O52" i="1"/>
  <c r="P52" i="1"/>
  <c r="Q52" i="1"/>
  <c r="N52" i="1"/>
  <c r="M52" i="1" s="1"/>
  <c r="P43" i="1"/>
  <c r="Q43" i="1"/>
  <c r="O43" i="1"/>
  <c r="N43" i="1"/>
  <c r="P31" i="1"/>
  <c r="Q31" i="1"/>
  <c r="O31" i="1"/>
  <c r="N31" i="1"/>
  <c r="S71" i="1"/>
  <c r="S70" i="1"/>
  <c r="S63" i="1"/>
  <c r="X63" i="1" s="1"/>
  <c r="S62" i="1"/>
  <c r="S61" i="1"/>
  <c r="X61" i="1" s="1"/>
  <c r="S60" i="1"/>
  <c r="X60" i="1" s="1"/>
  <c r="S59" i="1"/>
  <c r="X59" i="1" s="1"/>
  <c r="S50" i="1"/>
  <c r="S49" i="1"/>
  <c r="S48" i="1"/>
  <c r="X48" i="1" s="1"/>
  <c r="S47" i="1"/>
  <c r="X47" i="1" s="1"/>
  <c r="S46" i="1"/>
  <c r="S45" i="1"/>
  <c r="S44" i="1"/>
  <c r="S41" i="1"/>
  <c r="X41" i="1" s="1"/>
  <c r="S40" i="1"/>
  <c r="X40" i="1" s="1"/>
  <c r="S39" i="1"/>
  <c r="X39" i="1" s="1"/>
  <c r="S38" i="1"/>
  <c r="S37" i="1"/>
  <c r="X37" i="1" s="1"/>
  <c r="S36" i="1"/>
  <c r="S55" i="1" s="1"/>
  <c r="S35" i="1"/>
  <c r="X35" i="1" s="1"/>
  <c r="S33" i="1"/>
  <c r="X33" i="1" s="1"/>
  <c r="S32" i="1"/>
  <c r="D13" i="2" s="1"/>
  <c r="S29" i="1"/>
  <c r="X29" i="1" s="1"/>
  <c r="S28" i="1"/>
  <c r="X28" i="1" s="1"/>
  <c r="S27" i="1"/>
  <c r="X27" i="1" s="1"/>
  <c r="S26" i="1"/>
  <c r="X26" i="1" s="1"/>
  <c r="S25" i="1"/>
  <c r="X25" i="1" s="1"/>
  <c r="S24" i="1"/>
  <c r="S23" i="1"/>
  <c r="M24" i="1"/>
  <c r="M25" i="1"/>
  <c r="R25" i="1" s="1"/>
  <c r="M26" i="1"/>
  <c r="R26" i="1" s="1"/>
  <c r="M27" i="1"/>
  <c r="R27" i="1" s="1"/>
  <c r="M28" i="1"/>
  <c r="R28" i="1" s="1"/>
  <c r="M29" i="1"/>
  <c r="M32" i="1"/>
  <c r="R32" i="1" s="1"/>
  <c r="M33" i="1"/>
  <c r="R33" i="1" s="1"/>
  <c r="M35" i="1"/>
  <c r="R35" i="1" s="1"/>
  <c r="M36" i="1"/>
  <c r="M55" i="1" s="1"/>
  <c r="M37" i="1"/>
  <c r="R37" i="1" s="1"/>
  <c r="M38" i="1"/>
  <c r="M39" i="1"/>
  <c r="R39" i="1" s="1"/>
  <c r="M40" i="1"/>
  <c r="R40" i="1" s="1"/>
  <c r="M41" i="1"/>
  <c r="R41" i="1" s="1"/>
  <c r="M44" i="1"/>
  <c r="M45" i="1"/>
  <c r="R45" i="1" s="1"/>
  <c r="M46" i="1"/>
  <c r="R46" i="1" s="1"/>
  <c r="M47" i="1"/>
  <c r="R47" i="1" s="1"/>
  <c r="M48" i="1"/>
  <c r="R48" i="1" s="1"/>
  <c r="M49" i="1"/>
  <c r="M50" i="1"/>
  <c r="M58" i="1" s="1"/>
  <c r="M59" i="1"/>
  <c r="R59" i="1" s="1"/>
  <c r="M60" i="1"/>
  <c r="R60" i="1" s="1"/>
  <c r="M61" i="1"/>
  <c r="R61" i="1" s="1"/>
  <c r="M62" i="1"/>
  <c r="R62" i="1" s="1"/>
  <c r="M63" i="1"/>
  <c r="R63" i="1" s="1"/>
  <c r="M70" i="1"/>
  <c r="M71" i="1"/>
  <c r="X71" i="1"/>
  <c r="X70" i="1"/>
  <c r="X62" i="1"/>
  <c r="X46" i="1"/>
  <c r="X45" i="1"/>
  <c r="X36" i="1"/>
  <c r="X55" i="1" s="1"/>
  <c r="X23" i="1"/>
  <c r="R29" i="1"/>
  <c r="R50" i="1"/>
  <c r="R58" i="1" s="1"/>
  <c r="R70" i="1"/>
  <c r="R71" i="1"/>
  <c r="M23" i="1"/>
  <c r="R23" i="1" s="1"/>
  <c r="K69" i="1"/>
  <c r="J69" i="1"/>
  <c r="I69" i="1"/>
  <c r="H69" i="1"/>
  <c r="K52" i="1"/>
  <c r="I52" i="1"/>
  <c r="H52" i="1"/>
  <c r="K43" i="1"/>
  <c r="I43" i="1"/>
  <c r="H43" i="1"/>
  <c r="K31" i="1"/>
  <c r="I31" i="1"/>
  <c r="H31" i="1"/>
  <c r="L71" i="1"/>
  <c r="L70" i="1"/>
  <c r="L63" i="1"/>
  <c r="L62" i="1"/>
  <c r="L61" i="1"/>
  <c r="L60" i="1"/>
  <c r="L59" i="1"/>
  <c r="L50" i="1"/>
  <c r="L58" i="1" s="1"/>
  <c r="L49" i="1"/>
  <c r="L57" i="1" s="1"/>
  <c r="L48" i="1"/>
  <c r="L47" i="1"/>
  <c r="L46" i="1"/>
  <c r="L45" i="1"/>
  <c r="L41" i="1"/>
  <c r="L40" i="1"/>
  <c r="L39" i="1"/>
  <c r="L38" i="1"/>
  <c r="L56" i="1" s="1"/>
  <c r="L37" i="1"/>
  <c r="L36" i="1"/>
  <c r="L55" i="1" s="1"/>
  <c r="L35" i="1"/>
  <c r="L33" i="1"/>
  <c r="L32" i="1"/>
  <c r="L29" i="1"/>
  <c r="L28" i="1"/>
  <c r="L27" i="1"/>
  <c r="L26" i="1"/>
  <c r="L25" i="1"/>
  <c r="L24" i="1"/>
  <c r="L54" i="1" s="1"/>
  <c r="L23" i="1"/>
  <c r="G32" i="1"/>
  <c r="G33" i="1"/>
  <c r="G35" i="1"/>
  <c r="G36" i="1"/>
  <c r="G55" i="1" s="1"/>
  <c r="G37" i="1"/>
  <c r="G38" i="1"/>
  <c r="G56" i="1" s="1"/>
  <c r="G39" i="1"/>
  <c r="G40" i="1"/>
  <c r="G41" i="1"/>
  <c r="G45" i="1"/>
  <c r="G46" i="1"/>
  <c r="G47" i="1"/>
  <c r="G48" i="1"/>
  <c r="G49" i="1"/>
  <c r="G57" i="1" s="1"/>
  <c r="G50" i="1"/>
  <c r="G58" i="1" s="1"/>
  <c r="G59" i="1"/>
  <c r="G60" i="1"/>
  <c r="G61" i="1"/>
  <c r="G62" i="1"/>
  <c r="G63" i="1"/>
  <c r="G70" i="1"/>
  <c r="G71" i="1"/>
  <c r="G24" i="1"/>
  <c r="G54" i="1" s="1"/>
  <c r="G25" i="1"/>
  <c r="G26" i="1"/>
  <c r="G27" i="1"/>
  <c r="G28" i="1"/>
  <c r="G29" i="1"/>
  <c r="E69" i="1"/>
  <c r="F69" i="1"/>
  <c r="D69" i="1"/>
  <c r="C69" i="1"/>
  <c r="B58" i="1"/>
  <c r="B57" i="1"/>
  <c r="B55" i="1"/>
  <c r="F52" i="1"/>
  <c r="E52" i="1"/>
  <c r="D52" i="1"/>
  <c r="C52" i="1"/>
  <c r="F43" i="1"/>
  <c r="E43" i="1"/>
  <c r="D43" i="1"/>
  <c r="C43" i="1"/>
  <c r="G32" i="3" l="1"/>
  <c r="R36" i="1"/>
  <c r="R55" i="1" s="1"/>
  <c r="X49" i="1"/>
  <c r="X57" i="1" s="1"/>
  <c r="S57" i="1"/>
  <c r="X50" i="1"/>
  <c r="X58" i="1" s="1"/>
  <c r="S58" i="1"/>
  <c r="R24" i="1"/>
  <c r="R54" i="1" s="1"/>
  <c r="M54" i="1"/>
  <c r="X24" i="1"/>
  <c r="X54" i="1" s="1"/>
  <c r="S54" i="1"/>
  <c r="S69" i="1"/>
  <c r="R49" i="1"/>
  <c r="R57" i="1" s="1"/>
  <c r="M57" i="1"/>
  <c r="R38" i="1"/>
  <c r="R56" i="1" s="1"/>
  <c r="M56" i="1"/>
  <c r="X38" i="1"/>
  <c r="X56" i="1" s="1"/>
  <c r="S56" i="1"/>
  <c r="U72" i="1"/>
  <c r="O72" i="1"/>
  <c r="I72" i="1"/>
  <c r="V72" i="1"/>
  <c r="G43" i="1"/>
  <c r="K72" i="1"/>
  <c r="J72" i="1"/>
  <c r="G52" i="1"/>
  <c r="N72" i="1"/>
  <c r="R52" i="1"/>
  <c r="T72" i="1"/>
  <c r="Q72" i="1"/>
  <c r="H72" i="1"/>
  <c r="P72" i="1"/>
  <c r="W72" i="1"/>
  <c r="M43" i="1"/>
  <c r="C15" i="2" s="1"/>
  <c r="U26" i="8"/>
  <c r="N22" i="8"/>
  <c r="U22" i="8"/>
  <c r="S22" i="8"/>
  <c r="U15" i="8"/>
  <c r="U18" i="8" s="1"/>
  <c r="N26" i="8"/>
  <c r="N18" i="8"/>
  <c r="L18" i="8"/>
  <c r="L22" i="8"/>
  <c r="L26" i="8"/>
  <c r="E26" i="8"/>
  <c r="G22" i="8"/>
  <c r="G18" i="8"/>
  <c r="G26" i="8"/>
  <c r="E18" i="8"/>
  <c r="D65" i="1"/>
  <c r="S52" i="1"/>
  <c r="D16" i="2" s="1"/>
  <c r="C14" i="2"/>
  <c r="H65" i="1"/>
  <c r="M31" i="1"/>
  <c r="R31" i="1" s="1"/>
  <c r="D14" i="2"/>
  <c r="C65" i="1"/>
  <c r="G69" i="1"/>
  <c r="S43" i="1"/>
  <c r="D15" i="2" s="1"/>
  <c r="X32" i="1"/>
  <c r="C13" i="2"/>
  <c r="E13" i="2" s="1"/>
  <c r="X69" i="1"/>
  <c r="C16" i="2"/>
  <c r="L22" i="3"/>
  <c r="G27" i="3"/>
  <c r="V65" i="1"/>
  <c r="W65" i="1"/>
  <c r="T65" i="1"/>
  <c r="U65" i="1"/>
  <c r="M69" i="1"/>
  <c r="O65" i="1"/>
  <c r="P65" i="1"/>
  <c r="Q65" i="1"/>
  <c r="N65" i="1"/>
  <c r="S31" i="1"/>
  <c r="X31" i="1" s="1"/>
  <c r="I65" i="1"/>
  <c r="F65" i="1"/>
  <c r="L52" i="1"/>
  <c r="E65" i="1"/>
  <c r="L69" i="1"/>
  <c r="K65" i="1"/>
  <c r="L43" i="1"/>
  <c r="L31" i="1"/>
  <c r="E14" i="2" l="1"/>
  <c r="D18" i="2"/>
  <c r="S72" i="1"/>
  <c r="M65" i="1"/>
  <c r="C17" i="2" s="1"/>
  <c r="L65" i="1"/>
  <c r="L72" i="1"/>
  <c r="X72" i="1"/>
  <c r="R43" i="1"/>
  <c r="X52" i="1"/>
  <c r="G65" i="1"/>
  <c r="I33" i="3"/>
  <c r="I37" i="3" s="1"/>
  <c r="L37" i="3" s="1"/>
  <c r="Q21" i="4"/>
  <c r="M72" i="1"/>
  <c r="R72" i="1" s="1"/>
  <c r="X43" i="1"/>
  <c r="R69" i="1"/>
  <c r="C20" i="2"/>
  <c r="C18" i="2"/>
  <c r="E15" i="2"/>
  <c r="E16" i="2"/>
  <c r="S65" i="1"/>
  <c r="E18" i="2" l="1"/>
  <c r="R65" i="1"/>
  <c r="L33" i="3"/>
  <c r="C24" i="2"/>
  <c r="C25" i="2" s="1"/>
  <c r="C30" i="2" s="1"/>
  <c r="C33" i="8" s="1"/>
  <c r="E20" i="2"/>
  <c r="E24" i="2" s="1"/>
  <c r="X65" i="1"/>
  <c r="D17" i="2"/>
  <c r="E33" i="8" l="1"/>
  <c r="C37" i="8"/>
  <c r="E37" i="8" s="1"/>
  <c r="E17" i="2"/>
  <c r="E25" i="2" s="1"/>
  <c r="E30" i="2" s="1"/>
  <c r="G30" i="2" s="1"/>
  <c r="D25" i="2"/>
  <c r="D30" i="2" s="1"/>
  <c r="J33" i="8" s="1"/>
  <c r="Q33" i="8" l="1"/>
  <c r="J37" i="8"/>
  <c r="L37" i="8" s="1"/>
  <c r="L33" i="8"/>
  <c r="E18" i="7"/>
  <c r="E36" i="7"/>
  <c r="Q37" i="8" l="1"/>
  <c r="S37" i="8" s="1"/>
  <c r="S33" i="8"/>
  <c r="E26" i="7"/>
  <c r="E37" i="7" s="1"/>
  <c r="E38" i="7" s="1"/>
  <c r="E34" i="7"/>
  <c r="E35" i="7" l="1"/>
  <c r="E27" i="7"/>
  <c r="E30" i="7" s="1"/>
  <c r="E39" i="7"/>
  <c r="C31" i="1"/>
  <c r="C72" i="1" s="1"/>
  <c r="D33" i="3" s="1"/>
  <c r="E31" i="1"/>
  <c r="E72" i="1" s="1"/>
  <c r="G23" i="1"/>
  <c r="D31" i="1"/>
  <c r="D72" i="1" s="1"/>
  <c r="F31" i="1"/>
  <c r="F72" i="1" s="1"/>
  <c r="G72" i="1" l="1"/>
  <c r="G33" i="3"/>
  <c r="D37" i="3"/>
  <c r="G37" i="3" s="1"/>
  <c r="Q12" i="4"/>
  <c r="G31" i="1"/>
</calcChain>
</file>

<file path=xl/sharedStrings.xml><?xml version="1.0" encoding="utf-8"?>
<sst xmlns="http://schemas.openxmlformats.org/spreadsheetml/2006/main" count="570" uniqueCount="266">
  <si>
    <t>Statewide Quarterly Report Template</t>
  </si>
  <si>
    <t>Tab 1: Ex Ante Results</t>
  </si>
  <si>
    <t>Final (updated 2-7-2020)</t>
  </si>
  <si>
    <r>
      <rPr>
        <b/>
        <sz val="11"/>
        <rFont val="Century Gothic"/>
        <family val="2"/>
      </rPr>
      <t>Background:
*</t>
    </r>
    <r>
      <rPr>
        <sz val="11"/>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</si>
  <si>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</si>
  <si>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t>[</t>
    </r>
    <r>
      <rPr>
        <b/>
        <sz val="11"/>
        <color rgb="FFFF0000"/>
        <rFont val="Century Gothic"/>
        <family val="2"/>
      </rPr>
      <t>Ameren Illinois</t>
    </r>
    <r>
      <rPr>
        <b/>
        <sz val="11"/>
        <color theme="1"/>
        <rFont val="Century Gothic"/>
        <family val="2"/>
      </rPr>
      <t>] Ex Ante Results - Section 8-103B/8-104 (EEPS) Programs [</t>
    </r>
    <r>
      <rPr>
        <b/>
        <sz val="11"/>
        <color rgb="FFFF0000"/>
        <rFont val="Century Gothic"/>
        <family val="2"/>
      </rPr>
      <t>PY2022 Q1</t>
    </r>
    <r>
      <rPr>
        <b/>
        <sz val="11"/>
        <color theme="1"/>
        <rFont val="Century Gothic"/>
        <family val="2"/>
      </rPr>
      <t>]</t>
    </r>
  </si>
  <si>
    <r>
      <rPr>
        <b/>
        <sz val="10"/>
        <color rgb="FF00B050"/>
        <rFont val="Century Gothic"/>
        <family val="2"/>
      </rPr>
      <t>Electric</t>
    </r>
    <r>
      <rPr>
        <sz val="10"/>
        <color theme="1"/>
        <rFont val="Century Gothic"/>
        <family val="2"/>
      </rPr>
      <t xml:space="preserve"> Savings</t>
    </r>
  </si>
  <si>
    <r>
      <rPr>
        <b/>
        <sz val="10"/>
        <color rgb="FF00B0F0"/>
        <rFont val="Century Gothic"/>
        <family val="2"/>
      </rPr>
      <t>Gas</t>
    </r>
    <r>
      <rPr>
        <sz val="10"/>
        <color theme="1"/>
        <rFont val="Century Gothic"/>
        <family val="2"/>
      </rPr>
      <t xml:space="preserve"> Savings</t>
    </r>
  </si>
  <si>
    <r>
      <rPr>
        <b/>
        <sz val="10"/>
        <color rgb="FF00B050"/>
        <rFont val="Century Gothic"/>
        <family val="2"/>
      </rPr>
      <t>Electric</t>
    </r>
    <r>
      <rPr>
        <sz val="10"/>
        <color theme="1"/>
        <rFont val="Century Gothic"/>
        <family val="2"/>
      </rPr>
      <t xml:space="preserve"> Costs</t>
    </r>
  </si>
  <si>
    <r>
      <rPr>
        <b/>
        <sz val="10"/>
        <color rgb="FF00B0F0"/>
        <rFont val="Century Gothic"/>
        <family val="2"/>
      </rPr>
      <t>Gas</t>
    </r>
    <r>
      <rPr>
        <sz val="10"/>
        <color theme="1"/>
        <rFont val="Century Gothic"/>
        <family val="2"/>
      </rPr>
      <t xml:space="preserve"> Costs</t>
    </r>
  </si>
  <si>
    <t xml:space="preserve"> Section 8-103B/8-104
(EEPS) Program</t>
  </si>
  <si>
    <t>Net Energy Savings Achieved
(MWh or therms)</t>
  </si>
  <si>
    <t>2022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</si>
  <si>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</si>
  <si>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</si>
  <si>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</si>
  <si>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</si>
  <si>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</si>
  <si>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</si>
  <si>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</si>
  <si>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</si>
  <si>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</si>
  <si>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</si>
  <si>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Standard</t>
  </si>
  <si>
    <t>Midstream Lighting &amp; HVAC</t>
  </si>
  <si>
    <t>Midstream Food Service</t>
  </si>
  <si>
    <t>Custom</t>
  </si>
  <si>
    <t>Retro-Commissioning</t>
  </si>
  <si>
    <t>Streetlights</t>
  </si>
  <si>
    <t>Business Market Transformation</t>
  </si>
  <si>
    <t>C&amp;I Programs Subtotal</t>
  </si>
  <si>
    <t>C&amp;I Programs - Private Sector Total</t>
  </si>
  <si>
    <t>C&amp;I Programs - Public Sector Total</t>
  </si>
  <si>
    <t>Residential Programs</t>
  </si>
  <si>
    <t>Market Rate Single Family Home Efficiency</t>
  </si>
  <si>
    <t>Market Rate Single Family Midstream HVAC</t>
  </si>
  <si>
    <t>Market Rate Multifamily</t>
  </si>
  <si>
    <t>Direct Distribution Efficient Products Initiative - School Kits</t>
  </si>
  <si>
    <t>Retail Products</t>
  </si>
  <si>
    <t>Residential Market Tranformation</t>
  </si>
  <si>
    <t>Public Housing</t>
  </si>
  <si>
    <t>Residential Programs Subtotal</t>
  </si>
  <si>
    <t>Income Qualified Programs</t>
  </si>
  <si>
    <t>IQ CAA</t>
  </si>
  <si>
    <t>IQ Single Family</t>
  </si>
  <si>
    <t>IQ Multifamily</t>
  </si>
  <si>
    <t>IQ Retail Products</t>
  </si>
  <si>
    <t>IQ Community Kits</t>
  </si>
  <si>
    <t>IQ Smart Savers</t>
  </si>
  <si>
    <t>Income Qualified Programs Subtotal</t>
  </si>
  <si>
    <t>Third Party Programs (Section 8-103B - Beginning in 2019)</t>
  </si>
  <si>
    <t>Manufactured Homes Weatherization and Air Sealing</t>
  </si>
  <si>
    <t>One Stop Shop for Homeless Facilities</t>
  </si>
  <si>
    <t>Smart Home Engagement</t>
  </si>
  <si>
    <t>Advanced Thermostats with TOU</t>
  </si>
  <si>
    <t>Residential Targeted</t>
  </si>
  <si>
    <t>Third Party Programs (Section 8-103B - Beginning in 2019) Subtotal</t>
  </si>
  <si>
    <t>Demonstration of Breakthrough Equipment and Devices</t>
  </si>
  <si>
    <t>Demonstration of Breakthrough Equipment and Devices Subtotal</t>
  </si>
  <si>
    <t>BTU Conversion for Alternate Fuels</t>
  </si>
  <si>
    <t>Voltage Opimization</t>
  </si>
  <si>
    <t>Overall Total [Ameren Illinois] Section 8-103B/8-104 (EEPS) Programs</t>
  </si>
  <si>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</si>
  <si>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</si>
  <si>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</si>
  <si>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</si>
  <si>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</si>
  <si>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</si>
  <si>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t>Final (updated 10-18-18)</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</si>
  <si>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</si>
  <si>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t>[</t>
    </r>
    <r>
      <rPr>
        <b/>
        <sz val="11"/>
        <color rgb="FFFF0000"/>
        <rFont val="Century Gothic"/>
        <family val="2"/>
      </rPr>
      <t>Ameren Illinois</t>
    </r>
    <r>
      <rPr>
        <b/>
        <sz val="11"/>
        <color theme="1"/>
        <rFont val="Century Gothic"/>
        <family val="2"/>
      </rPr>
      <t>] Section 8-103B/8-104 (EEPS) Costs [</t>
    </r>
    <r>
      <rPr>
        <b/>
        <sz val="11"/>
        <color rgb="FFFF0000"/>
        <rFont val="Century Gothic"/>
        <family val="2"/>
      </rPr>
      <t>PY2022 Q1</t>
    </r>
    <r>
      <rPr>
        <b/>
        <sz val="11"/>
        <color theme="1"/>
        <rFont val="Century Gothic"/>
        <family val="2"/>
      </rPr>
      <t>]</t>
    </r>
  </si>
  <si>
    <t>Section 8-103B/8-104 (EEPS) Cost Category</t>
  </si>
  <si>
    <r>
      <rPr>
        <b/>
        <sz val="10"/>
        <color rgb="FFFF0000"/>
        <rFont val="Century Gothic"/>
        <family val="2"/>
      </rPr>
      <t xml:space="preserve"> </t>
    </r>
    <r>
      <rPr>
        <b/>
        <sz val="10"/>
        <color theme="0"/>
        <rFont val="Century Gothic"/>
        <family val="2"/>
      </rPr>
      <t xml:space="preserve">2022
Actual </t>
    </r>
    <r>
      <rPr>
        <b/>
        <sz val="10"/>
        <color rgb="FF00B050"/>
        <rFont val="Century Gothic"/>
        <family val="2"/>
      </rPr>
      <t>Electric</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</si>
  <si>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 xml:space="preserve">2022
Actual </t>
    </r>
    <r>
      <rPr>
        <b/>
        <sz val="10"/>
        <color rgb="FF00B0F0"/>
        <rFont val="Century Gothic"/>
        <family val="2"/>
      </rPr>
      <t>Gas</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</si>
  <si>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2022
Total Actual Costs YTD</t>
    </r>
  </si>
  <si>
    <t>Program Costs by Sector</t>
  </si>
  <si>
    <t>C&amp;I Programs (Private Sector)</t>
  </si>
  <si>
    <t xml:space="preserve">Public Sector Programs </t>
  </si>
  <si>
    <t>Third Party Programs (Beginning in 2019)</t>
  </si>
  <si>
    <t>Total [Ameren Illinois] Program Costs</t>
  </si>
  <si>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</si>
  <si>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</si>
  <si>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</si>
  <si>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</si>
  <si>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</si>
  <si>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Total [Ameren Illinois] Portfolio-Level Costs</t>
  </si>
  <si>
    <t>Total [Ameren Illinois] Program and Portfolio-Level Section 8-103B/8-104 (EEPS) Costs</t>
  </si>
  <si>
    <r>
      <t>[</t>
    </r>
    <r>
      <rPr>
        <b/>
        <sz val="11"/>
        <color rgb="FFFF0000"/>
        <rFont val="Century Gothic"/>
        <family val="2"/>
      </rPr>
      <t>Ameren Illinois</t>
    </r>
    <r>
      <rPr>
        <b/>
        <sz val="11"/>
        <color theme="1"/>
        <rFont val="Century Gothic"/>
        <family val="2"/>
      </rPr>
      <t>] Section 8-103B/8-104 (EEPS) Costs  [</t>
    </r>
    <r>
      <rPr>
        <b/>
        <sz val="11"/>
        <color rgb="FFFF0000"/>
        <rFont val="Century Gothic"/>
        <family val="2"/>
      </rPr>
      <t>PY2022 Q1</t>
    </r>
    <r>
      <rPr>
        <b/>
        <sz val="11"/>
        <color theme="1"/>
        <rFont val="Century Gothic"/>
        <family val="2"/>
      </rPr>
      <t>]</t>
    </r>
  </si>
  <si>
    <t>Overall Total Costs</t>
  </si>
  <si>
    <t>2022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</si>
  <si>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</si>
  <si>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</si>
  <si>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t>[</t>
    </r>
    <r>
      <rPr>
        <b/>
        <sz val="11"/>
        <color rgb="FFFF0000"/>
        <rFont val="Century Gothic"/>
        <family val="2"/>
      </rPr>
      <t>Ameren Illinois</t>
    </r>
    <r>
      <rPr>
        <b/>
        <sz val="11"/>
        <rFont val="Century Gothic"/>
        <family val="2"/>
      </rPr>
      <t>] Section 8-103B/8-104 (EEPS) Energy Saved (MWh or therms) as of [</t>
    </r>
    <r>
      <rPr>
        <b/>
        <sz val="11"/>
        <color rgb="FFFF0000"/>
        <rFont val="Century Gothic"/>
        <family val="2"/>
      </rPr>
      <t>PY2022 Q1</t>
    </r>
    <r>
      <rPr>
        <b/>
        <sz val="11"/>
        <rFont val="Century Gothic"/>
        <family val="2"/>
      </rPr>
      <t>]</t>
    </r>
  </si>
  <si>
    <t xml:space="preserve">IL Department of Commerce and Economic Opportunity Energy Saved (MWh and/or therms) </t>
  </si>
  <si>
    <r>
      <rPr>
        <b/>
        <sz val="11"/>
        <color rgb="FF00B050"/>
        <rFont val="Century Gothic"/>
        <family val="2"/>
      </rPr>
      <t>Electric</t>
    </r>
    <r>
      <rPr>
        <sz val="11"/>
        <rFont val="Century Gothic"/>
        <family val="2"/>
      </rPr>
      <t xml:space="preserve"> Portfolio</t>
    </r>
  </si>
  <si>
    <r>
      <rPr>
        <b/>
        <sz val="11"/>
        <color rgb="FF00B0F0"/>
        <rFont val="Century Gothic"/>
        <family val="2"/>
      </rPr>
      <t>Gas</t>
    </r>
    <r>
      <rPr>
        <sz val="11"/>
        <rFont val="Century Gothic"/>
        <family val="2"/>
      </rPr>
      <t xml:space="preserve"> Portfolio</t>
    </r>
  </si>
  <si>
    <t>Program Year</t>
  </si>
  <si>
    <t>Evaluation Status
(Ex Ante, Verified***, or ICC Approved)</t>
  </si>
  <si>
    <t>Net Energy Savings Achieved
(MWh)</t>
  </si>
  <si>
    <t>Original Plan Savings Goal** (MWh)</t>
  </si>
  <si>
    <t>Net Energy Savings Goal* (MWh)</t>
  </si>
  <si>
    <t>% of Net Energy Savings Goal Achieved</t>
  </si>
  <si>
    <t>Net Energy Savings Achieved
(Therms)</t>
  </si>
  <si>
    <t>Original Plan Savings Goal** (Therms)</t>
  </si>
  <si>
    <t>Net Energy Savings Goal* (Therms)</t>
  </si>
  <si>
    <t>Department</t>
  </si>
  <si>
    <t>PY1</t>
  </si>
  <si>
    <t>PY2</t>
  </si>
  <si>
    <t>PY3</t>
  </si>
  <si>
    <t>PY4</t>
  </si>
  <si>
    <t>PY5</t>
  </si>
  <si>
    <t>PY6</t>
  </si>
  <si>
    <t>PY7</t>
  </si>
  <si>
    <t>PY8</t>
  </si>
  <si>
    <t>PY9</t>
  </si>
  <si>
    <t>Transition Period</t>
  </si>
  <si>
    <t>PY1
 6/1/08-5/31/09</t>
  </si>
  <si>
    <t>ICC Approved</t>
  </si>
  <si>
    <t>NA</t>
  </si>
  <si>
    <t>Net Savings Achieved (MWh)</t>
  </si>
  <si>
    <t>PY2
 6/1/09-5/31/10</t>
  </si>
  <si>
    <t>Evaluation Status (Ex Ante, Verified**, or ICC Approved)</t>
  </si>
  <si>
    <t>Verified</t>
  </si>
  <si>
    <t>PY3
 6/1/10-5/31/11</t>
  </si>
  <si>
    <t>Source</t>
  </si>
  <si>
    <t>AIU PY1 Portfolio Cost-Effectiveness Evaluation (2009-12-30), p. 5.</t>
  </si>
  <si>
    <t>Docket 10-0520, Staff Ex. 1.1, p. 12 (Navigant Memo, DCEO PY2 Energy Impact Summary (2011-09-21)).</t>
  </si>
  <si>
    <t>Docket 11-0592.</t>
  </si>
  <si>
    <t>Docket 14-0594.</t>
  </si>
  <si>
    <t>Docket 14-0595.</t>
  </si>
  <si>
    <t>Docket 15-0296.</t>
  </si>
  <si>
    <t>EPY7/GPY4 DCEO Cost Effectiveness Summary Report, p. 7.</t>
  </si>
  <si>
    <t>https://www.icc.illinois.gov/downloads/public/edocket/501631.pdf</t>
  </si>
  <si>
    <t>Plan 1 Total</t>
  </si>
  <si>
    <t>PY4 
6/1/11-5/31/12</t>
  </si>
  <si>
    <t>PY5 
6/1/12-5/31/13</t>
  </si>
  <si>
    <t>PY6 
6/1/13-5/31/14</t>
  </si>
  <si>
    <t>Net Savings Achieved (Therms)</t>
  </si>
  <si>
    <t>Plan 2 Total</t>
  </si>
  <si>
    <t>PY7 
6/1/14-5/31/15</t>
  </si>
  <si>
    <t>PY8 
6/1/15-5/31/16</t>
  </si>
  <si>
    <t>PY9 
6/1/16-5/31/17</t>
  </si>
  <si>
    <t>Transition Period 
6/1/17-12/31/17</t>
  </si>
  <si>
    <t>*Electric Program Year 9 (EPY9) and Gas Program Year 6 (GPY6) covers energy efficiency programs offered from June 1, 2016 to May 31, 2017.</t>
  </si>
  <si>
    <t>Plan 3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</si>
  <si>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</si>
  <si>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2018-2021 Plan Total</t>
  </si>
  <si>
    <t>Ex Ante</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</si>
  <si>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</si>
  <si>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</si>
  <si>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</si>
  <si>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</si>
  <si>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</si>
  <si>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</si>
  <si>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t>Environmental and Economic Impacts for the [</t>
    </r>
    <r>
      <rPr>
        <b/>
        <sz val="11"/>
        <color rgb="FFFF0000"/>
        <rFont val="Century Gothic"/>
        <family val="2"/>
      </rPr>
      <t>Ameren Illinois</t>
    </r>
    <r>
      <rPr>
        <b/>
        <sz val="11"/>
        <rFont val="Century Gothic"/>
        <family val="2"/>
      </rPr>
      <t>] Service Territory as of [</t>
    </r>
    <r>
      <rPr>
        <b/>
        <sz val="11"/>
        <color rgb="FFFF0000"/>
        <rFont val="Century Gothic"/>
        <family val="2"/>
      </rPr>
      <t>PY2022 Q1</t>
    </r>
    <r>
      <rPr>
        <b/>
        <sz val="11"/>
        <rFont val="Century Gothic"/>
        <family val="2"/>
      </rPr>
      <t>]</t>
    </r>
  </si>
  <si>
    <r>
      <rPr>
        <b/>
        <sz val="11"/>
        <color rgb="FF00B050"/>
        <rFont val="Century Gothic"/>
        <family val="2"/>
      </rPr>
      <t>Electric</t>
    </r>
    <r>
      <rPr>
        <b/>
        <sz val="11"/>
        <color theme="0"/>
        <rFont val="Century Gothic"/>
        <family val="2"/>
      </rPr>
      <t xml:space="preserve"> Portfolio Performance Metrics (Equivalents)*</t>
    </r>
  </si>
  <si>
    <t>Net Energy Savings Achieved (MWh or therms)**</t>
  </si>
  <si>
    <t>Carbon reduction (tons)</t>
  </si>
  <si>
    <t>Cars removed from the road</t>
  </si>
  <si>
    <t>Acres of trees planted</t>
  </si>
  <si>
    <t>Number of homes powered for 1 year</t>
  </si>
  <si>
    <t>Direct Portfolio Jobs*****</t>
  </si>
  <si>
    <t>TBD</t>
  </si>
  <si>
    <t>See Below</t>
  </si>
  <si>
    <t>Income qualified homes served***</t>
  </si>
  <si>
    <r>
      <rPr>
        <b/>
        <sz val="11"/>
        <color rgb="FF00B0F0"/>
        <rFont val="Century Gothic"/>
        <family val="2"/>
      </rPr>
      <t>Gas</t>
    </r>
    <r>
      <rPr>
        <b/>
        <sz val="11"/>
        <color theme="0"/>
        <rFont val="Century Gothic"/>
        <family val="2"/>
      </rPr>
      <t xml:space="preserve"> Portfolio Performance Metrics (Equivalents)*</t>
    </r>
  </si>
  <si>
    <t>Total 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</si>
  <si>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</si>
  <si>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</si>
  <si>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</si>
  <si>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r>
      <t xml:space="preserve">****Electric Program Year 9 (EPY9) and Gas Program Year 6 (GPY6) covers energy efficiency programs offered from June 1, 2016 to December 31, 2017. </t>
    </r>
    <r>
      <rPr>
        <b/>
        <sz val="10"/>
        <color theme="1"/>
        <rFont val="Century Gothic"/>
        <family val="2"/>
      </rPr>
      <t>IQ homes served initiatives (school kits, direct install and full comprehensive retrofit) contain measures that provide both electric and gas savings.  Therefore, AIC is reporting IQ homes served as a total. See quarterly report narrative for detailed breakout of IQ homes served.</t>
    </r>
  </si>
  <si>
    <t>*****Direct Portfolio Jobs will be updated at least once per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</si>
  <si>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</si>
  <si>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</si>
  <si>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</si>
  <si>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</si>
  <si>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</si>
  <si>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</si>
  <si>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t>[</t>
    </r>
    <r>
      <rPr>
        <b/>
        <sz val="11"/>
        <color rgb="FFFF0000"/>
        <rFont val="Century Gothic"/>
        <family val="2"/>
      </rPr>
      <t>Ameren Illinois</t>
    </r>
    <r>
      <rPr>
        <b/>
        <sz val="11"/>
        <color theme="1"/>
        <rFont val="Century Gothic"/>
        <family val="2"/>
      </rPr>
      <t>] CPAS and AAIG Progress Ex Ante Results - Section 8-103B Portfolio [</t>
    </r>
    <r>
      <rPr>
        <b/>
        <sz val="11"/>
        <color rgb="FFFF0000"/>
        <rFont val="Century Gothic"/>
        <family val="2"/>
      </rPr>
      <t>PY2022 Q1</t>
    </r>
    <r>
      <rPr>
        <b/>
        <sz val="11"/>
        <color theme="1"/>
        <rFont val="Century Gothic"/>
        <family val="2"/>
      </rPr>
      <t>]</t>
    </r>
  </si>
  <si>
    <t>Cumulative Persisting Annual Savings (CPAS) Goal Progress [PY2022 Q1]</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</si>
  <si>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</si>
  <si>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</si>
  <si>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</si>
  <si>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</si>
  <si>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</si>
  <si>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</si>
  <si>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</si>
  <si>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</si>
  <si>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</si>
  <si>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</si>
  <si>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</si>
  <si>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</si>
  <si>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</si>
  <si>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(MWh)</t>
  </si>
  <si>
    <t>statute</t>
  </si>
  <si>
    <t>f</t>
  </si>
  <si>
    <t>2012-2017 Legacy Savings Persisting in Previous Year (MWh)</t>
  </si>
  <si>
    <t>g</t>
  </si>
  <si>
    <t>2012-2017 Legacy Savings Expiring in Current Year (% of Sales)</t>
  </si>
  <si>
    <t>= e / b</t>
  </si>
  <si>
    <t>h</t>
  </si>
  <si>
    <t>2012-2017 Legacy Savings Expiring in Current Year (MWh)</t>
  </si>
  <si>
    <t>= f - e</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</si>
  <si>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</si>
  <si>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</si>
  <si>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</si>
  <si>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</si>
  <si>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</si>
  <si>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</si>
  <si>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</si>
  <si>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</si>
  <si>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</si>
  <si>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</si>
  <si>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</si>
  <si>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</si>
  <si>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</si>
  <si>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</si>
  <si>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</si>
  <si>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</si>
  <si>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</si>
  <si>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</si>
  <si>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</si>
  <si>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</si>
  <si>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</si>
  <si>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</si>
  <si>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</si>
  <si>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</si>
  <si>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</si>
  <si>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</si>
  <si>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</si>
  <si>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</si>
  <si>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</si>
  <si>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</si>
  <si>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</si>
  <si>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</si>
  <si>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</si>
  <si>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</si>
  <si>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</si>
  <si>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</si>
  <si>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</si>
  <si>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</si>
  <si>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</si>
  <si>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</si>
  <si>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</si>
  <si>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</si>
  <si>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t>[</t>
    </r>
    <r>
      <rPr>
        <b/>
        <sz val="11"/>
        <color rgb="FFFF0000"/>
        <rFont val="Century Gothic"/>
        <family val="2"/>
      </rPr>
      <t>Ameren Illinois</t>
    </r>
    <r>
      <rPr>
        <b/>
        <sz val="11"/>
        <rFont val="Century Gothic"/>
        <family val="2"/>
      </rPr>
      <t>] Service Territory Historical Energy Efficiency Costs as of [</t>
    </r>
    <r>
      <rPr>
        <b/>
        <sz val="11"/>
        <color rgb="FFFF0000"/>
        <rFont val="Century Gothic"/>
        <family val="2"/>
      </rPr>
      <t>PY2022 Q1</t>
    </r>
    <r>
      <rPr>
        <b/>
        <sz val="11"/>
        <rFont val="Century Gothic"/>
        <family val="2"/>
      </rPr>
      <t>]</t>
    </r>
  </si>
  <si>
    <r>
      <rPr>
        <b/>
        <sz val="11"/>
        <color rgb="FF00B050"/>
        <rFont val="Calibri"/>
        <family val="2"/>
        <scheme val="minor"/>
      </rPr>
      <t>Electric</t>
    </r>
    <r>
      <rPr>
        <sz val="11"/>
        <color theme="1"/>
        <rFont val="Calibri"/>
        <family val="2"/>
        <scheme val="minor"/>
      </rPr>
      <t xml:space="preserve"> Costs</t>
    </r>
  </si>
  <si>
    <r>
      <rPr>
        <b/>
        <sz val="11"/>
        <color rgb="FF00B0F0"/>
        <rFont val="Calibri"/>
        <family val="2"/>
        <scheme val="minor"/>
      </rPr>
      <t>Gas</t>
    </r>
    <r>
      <rPr>
        <sz val="11"/>
        <color theme="1"/>
        <rFont val="Calibri"/>
        <family val="2"/>
        <scheme val="minor"/>
      </rPr>
      <t xml:space="preserve"> Costs</t>
    </r>
  </si>
  <si>
    <r>
      <t xml:space="preserve">Total </t>
    </r>
    <r>
      <rPr>
        <b/>
        <sz val="11"/>
        <color rgb="FF00B050"/>
        <rFont val="Calibri"/>
        <family val="2"/>
        <scheme val="minor"/>
      </rPr>
      <t>Electric</t>
    </r>
    <r>
      <rPr>
        <sz val="11"/>
        <color theme="1"/>
        <rFont val="Calibri"/>
        <family val="2"/>
        <scheme val="minor"/>
      </rPr>
      <t xml:space="preserve"> &amp; </t>
    </r>
    <r>
      <rPr>
        <b/>
        <sz val="11"/>
        <color rgb="FF00B0F0"/>
        <rFont val="Calibri"/>
        <family val="2"/>
        <scheme val="minor"/>
      </rPr>
      <t>Gas</t>
    </r>
    <r>
      <rPr>
        <sz val="11"/>
        <color theme="1"/>
        <rFont val="Calibri"/>
        <family val="2"/>
        <scheme val="minor"/>
      </rPr>
      <t xml:space="preserve"> Costs</t>
    </r>
  </si>
  <si>
    <r>
      <t xml:space="preserve">Actual </t>
    </r>
    <r>
      <rPr>
        <b/>
        <sz val="11"/>
        <color rgb="FFFF0000"/>
        <rFont val="Century Gothic"/>
        <family val="2"/>
      </rPr>
      <t>Ameren Illinois</t>
    </r>
    <r>
      <rPr>
        <b/>
        <sz val="11"/>
        <color theme="0"/>
        <rFont val="Century Gothic"/>
        <family val="2"/>
      </rPr>
      <t xml:space="preserve"> EEPS Costs</t>
    </r>
  </si>
  <si>
    <t>Actual DCEO EEPS Costs</t>
  </si>
  <si>
    <r>
      <t>Total Actual EEPS Costs (</t>
    </r>
    <r>
      <rPr>
        <b/>
        <sz val="11"/>
        <color rgb="FFFF0000"/>
        <rFont val="Century Gothic"/>
        <family val="2"/>
      </rPr>
      <t>Ameren Illinois</t>
    </r>
    <r>
      <rPr>
        <b/>
        <sz val="11"/>
        <color theme="0"/>
        <rFont val="Century Gothic"/>
        <family val="2"/>
      </rPr>
      <t xml:space="preserve"> + DCEO + IPA)</t>
    </r>
  </si>
  <si>
    <t>Actual Section 16-111.5B Costs</t>
  </si>
  <si>
    <t>Total Actual EEPS + Section 16-111.5B Costs</t>
  </si>
  <si>
    <t>PY1- 6/1/08-5/31/09</t>
  </si>
  <si>
    <t>PY2- 6/1/09-5/31/10</t>
  </si>
  <si>
    <t>PY3- 6/1/10-5/31/11</t>
  </si>
  <si>
    <t>PY4/GPY1- 6/1/11-5/31/12</t>
  </si>
  <si>
    <t>PY5/GPY2- 6/1/12-5/31/13</t>
  </si>
  <si>
    <t>PY6/GPY3- 6/1/13-5/31/14</t>
  </si>
  <si>
    <t>PY7/GPY4- 6/1/14-5/31/15</t>
  </si>
  <si>
    <t>PY8/GPY5- 6/1/15-5/31/16</t>
  </si>
  <si>
    <t>PY9/GPY6 &amp; Transition Period - 6/1/16-12/31/17</t>
  </si>
  <si>
    <r>
      <t xml:space="preserve">Actual </t>
    </r>
    <r>
      <rPr>
        <b/>
        <sz val="11"/>
        <color rgb="FFFF0000"/>
        <rFont val="Century Gothic"/>
        <family val="2"/>
      </rPr>
      <t>Ameren Illinois</t>
    </r>
    <r>
      <rPr>
        <b/>
        <sz val="11"/>
        <color theme="0"/>
        <rFont val="Century Gothic"/>
        <family val="2"/>
      </rPr>
      <t xml:space="preserve"> EEPS Costs YTD</t>
    </r>
  </si>
  <si>
    <r>
      <t xml:space="preserve">Approved </t>
    </r>
    <r>
      <rPr>
        <b/>
        <sz val="11"/>
        <color rgb="FFFF0000"/>
        <rFont val="Century Gothic"/>
        <family val="2"/>
      </rPr>
      <t>Ameren Illinois</t>
    </r>
    <r>
      <rPr>
        <b/>
        <sz val="11"/>
        <color theme="0"/>
        <rFont val="Century Gothic"/>
        <family val="2"/>
      </rPr>
      <t xml:space="preserve"> EEPS Budget</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</si>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</sst>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0000_);_(* \(#,##0.0000\);_(* &quot;-&quot;??_);_(@_)"/>
    <numFmt numFmtId="168" formatCode="0.0%"/>
  </numFmts>
  <fonts count="40"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b/>
      <sz val="11"/>
      <color theme="1"/>
      <name val="Calibri"/>
      <family val="2"/>
      <scheme val="minor"/>
    </font>
    <font>
      <sz val="11"/>
      <name val="Calibri"/>
      <family val="2"/>
      <scheme val="minor"/>
    </font>
    <font>
      <sz val="10"/>
      <color theme="0" tint="-0.34998626667073579"/>
      <name val="Century Gothic"/>
      <family val="2"/>
    </font>
    <font>
      <sz val="11"/>
      <color theme="0" tint="-0.34998626667073579"/>
      <name val="Calibri"/>
      <family val="2"/>
      <scheme val="minor"/>
    </font>
    <font>
      <b/>
      <sz val="10"/>
      <color theme="0" tint="-0.499984740745262"/>
      <name val="Century Gothic"/>
      <family val="2"/>
    </font>
    <font>
      <b/>
      <sz val="10"/>
      <color rgb="FF00B050"/>
      <name val="Century Gothic"/>
      <family val="2"/>
    </font>
    <font>
      <b/>
      <sz val="10"/>
      <color rgb="FF00B0F0"/>
      <name val="Century Gothic"/>
      <family val="2"/>
    </font>
    <font>
      <b/>
      <sz val="11"/>
      <color rgb="FF00B050"/>
      <name val="Century Gothic"/>
      <family val="2"/>
    </font>
    <font>
      <b/>
      <sz val="11"/>
      <color rgb="FF00B0F0"/>
      <name val="Century Gothic"/>
      <family val="2"/>
    </font>
    <font>
      <b/>
      <sz val="11"/>
      <color rgb="FF00B050"/>
      <name val="Calibri"/>
      <family val="2"/>
      <scheme val="minor"/>
    </font>
    <font>
      <b/>
      <sz val="11"/>
      <color rgb="FF00B0F0"/>
      <name val="Calibri"/>
      <family val="2"/>
      <scheme val="minor"/>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F2F2F2"/>
        <bgColor indexed="64"/>
      </patternFill>
    </fill>
    <fill>
      <patternFill patternType="solid">
        <fgColor rgb="FFA6A6A6"/>
        <bgColor indexed="64"/>
      </patternFill>
    </fill>
  </fills>
  <borders count="48">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medium">
        <color indexed="64"/>
      </right>
      <top style="thin">
        <color auto="1"/>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thin">
        <color auto="1"/>
      </top>
      <bottom/>
      <diagonal/>
    </border>
    <border>
      <left/>
      <right style="thin">
        <color indexed="64"/>
      </right>
      <top style="thin">
        <color auto="1"/>
      </top>
      <bottom style="medium">
        <color indexed="64"/>
      </bottom>
      <diagonal/>
    </border>
    <border>
      <left style="medium">
        <color indexed="64"/>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auto="1"/>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51">
    <xf numFmtId="0" fontId="0" fillId="0" borderId="0" xfId="0"/>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 borderId="1" xfId="0" applyFont="1" applyFill="1" applyBorder="1" applyAlignment="1">
      <alignment vertical="center"/>
    </xf>
    <xf numFmtId="0" fontId="5" fillId="7" borderId="1" xfId="0" quotePrefix="1" applyFont="1" applyFill="1" applyBorder="1" applyAlignment="1">
      <alignment vertical="center"/>
    </xf>
    <xf numFmtId="0" fontId="5" fillId="9" borderId="1" xfId="0" applyFont="1" applyFill="1" applyBorder="1" applyAlignment="1">
      <alignment vertical="center"/>
    </xf>
    <xf numFmtId="0" fontId="5" fillId="8" borderId="1" xfId="0" applyFont="1" applyFill="1" applyBorder="1" applyAlignment="1">
      <alignment vertical="center"/>
    </xf>
    <xf numFmtId="0" fontId="17" fillId="2" borderId="13" xfId="0" applyFont="1" applyFill="1" applyBorder="1" applyAlignment="1">
      <alignment horizontal="center" vertical="center" wrapText="1"/>
    </xf>
    <xf numFmtId="0" fontId="17" fillId="2" borderId="17" xfId="0" applyFont="1" applyFill="1" applyBorder="1" applyAlignment="1">
      <alignment horizontal="center" vertical="center" wrapText="1"/>
    </xf>
    <xf numFmtId="10" fontId="2" fillId="3" borderId="22" xfId="4" applyNumberFormat="1" applyFont="1" applyFill="1" applyBorder="1" applyAlignment="1">
      <alignment horizontal="center" wrapText="1"/>
    </xf>
    <xf numFmtId="10" fontId="3" fillId="6" borderId="22" xfId="4" applyNumberFormat="1" applyFont="1" applyFill="1" applyBorder="1" applyAlignment="1">
      <alignment horizontal="center"/>
    </xf>
    <xf numFmtId="10" fontId="4" fillId="5" borderId="25" xfId="4" applyNumberFormat="1" applyFont="1" applyFill="1" applyBorder="1" applyAlignment="1">
      <alignment horizontal="center" vertical="center"/>
    </xf>
    <xf numFmtId="10" fontId="4" fillId="6" borderId="22" xfId="4" applyNumberFormat="1" applyFont="1" applyFill="1" applyBorder="1" applyAlignment="1">
      <alignment horizontal="center"/>
    </xf>
    <xf numFmtId="165" fontId="2" fillId="3" borderId="21" xfId="1" applyNumberFormat="1" applyFont="1" applyFill="1" applyBorder="1" applyAlignment="1">
      <alignment horizontal="left" wrapText="1"/>
    </xf>
    <xf numFmtId="165" fontId="2" fillId="3" borderId="1" xfId="1" applyNumberFormat="1" applyFont="1" applyFill="1" applyBorder="1" applyAlignment="1">
      <alignment horizontal="center" wrapText="1"/>
    </xf>
    <xf numFmtId="165" fontId="3" fillId="6" borderId="21" xfId="1" applyNumberFormat="1" applyFont="1" applyFill="1" applyBorder="1" applyAlignment="1">
      <alignment horizontal="left"/>
    </xf>
    <xf numFmtId="165" fontId="3" fillId="6" borderId="1" xfId="1" applyNumberFormat="1" applyFont="1" applyFill="1" applyBorder="1" applyAlignment="1">
      <alignment horizontal="center"/>
    </xf>
    <xf numFmtId="165" fontId="4" fillId="6" borderId="21" xfId="1" applyNumberFormat="1" applyFont="1" applyFill="1" applyBorder="1" applyAlignment="1">
      <alignment horizontal="left"/>
    </xf>
    <xf numFmtId="165" fontId="4" fillId="6" borderId="1" xfId="1" applyNumberFormat="1" applyFont="1" applyFill="1" applyBorder="1" applyAlignment="1">
      <alignment horizontal="center"/>
    </xf>
    <xf numFmtId="165" fontId="4" fillId="5" borderId="23" xfId="1" applyNumberFormat="1" applyFont="1" applyFill="1" applyBorder="1" applyAlignment="1">
      <alignment horizontal="left" vertical="center" wrapText="1"/>
    </xf>
    <xf numFmtId="165" fontId="4" fillId="5" borderId="24" xfId="1" applyNumberFormat="1" applyFont="1" applyFill="1" applyBorder="1" applyAlignment="1">
      <alignment horizontal="center" vertical="center"/>
    </xf>
    <xf numFmtId="165" fontId="2" fillId="3" borderId="1" xfId="1" applyNumberFormat="1" applyFont="1" applyFill="1" applyBorder="1" applyAlignment="1">
      <alignment horizontal="center"/>
    </xf>
    <xf numFmtId="44" fontId="3" fillId="6" borderId="21" xfId="2" applyFont="1" applyFill="1" applyBorder="1" applyAlignment="1">
      <alignment horizontal="left"/>
    </xf>
    <xf numFmtId="44" fontId="4" fillId="6" borderId="21" xfId="2" applyFont="1" applyFill="1" applyBorder="1" applyAlignment="1">
      <alignment horizontal="left"/>
    </xf>
    <xf numFmtId="44" fontId="4" fillId="5" borderId="23" xfId="2" applyFont="1" applyFill="1" applyBorder="1" applyAlignment="1">
      <alignment horizontal="left" vertical="center" wrapText="1"/>
    </xf>
    <xf numFmtId="44" fontId="2" fillId="3" borderId="1" xfId="2" applyFont="1" applyFill="1" applyBorder="1" applyAlignment="1">
      <alignment horizontal="center"/>
    </xf>
    <xf numFmtId="44" fontId="3" fillId="6" borderId="1" xfId="2" applyFont="1" applyFill="1" applyBorder="1" applyAlignment="1">
      <alignment horizontal="center"/>
    </xf>
    <xf numFmtId="44" fontId="4" fillId="6" borderId="1" xfId="2" applyFont="1" applyFill="1" applyBorder="1" applyAlignment="1">
      <alignment horizontal="center"/>
    </xf>
    <xf numFmtId="44" fontId="4" fillId="5" borderId="24" xfId="2" applyFont="1" applyFill="1" applyBorder="1" applyAlignment="1">
      <alignment horizontal="center" vertical="center"/>
    </xf>
    <xf numFmtId="0" fontId="17" fillId="2" borderId="21" xfId="0" applyFont="1" applyFill="1" applyBorder="1" applyAlignment="1">
      <alignment horizontal="center" vertical="center" wrapText="1"/>
    </xf>
    <xf numFmtId="165" fontId="2" fillId="3" borderId="21" xfId="1" applyNumberFormat="1" applyFont="1" applyFill="1" applyBorder="1" applyAlignment="1">
      <alignment horizontal="center"/>
    </xf>
    <xf numFmtId="44" fontId="2" fillId="3" borderId="21" xfId="2" applyFont="1" applyFill="1" applyBorder="1" applyAlignment="1">
      <alignment horizontal="center"/>
    </xf>
    <xf numFmtId="0" fontId="4" fillId="2" borderId="26"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3" borderId="26" xfId="0" applyFont="1" applyFill="1" applyBorder="1" applyAlignment="1">
      <alignment vertical="center"/>
    </xf>
    <xf numFmtId="44" fontId="10" fillId="3" borderId="26" xfId="2" applyFont="1" applyFill="1" applyBorder="1" applyAlignment="1">
      <alignment vertical="center"/>
    </xf>
    <xf numFmtId="44" fontId="10" fillId="3" borderId="1" xfId="2" applyFont="1" applyFill="1" applyBorder="1" applyAlignment="1">
      <alignment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4" borderId="33" xfId="0" applyFont="1" applyFill="1" applyBorder="1" applyAlignment="1">
      <alignment horizontal="center" vertical="center" wrapText="1"/>
    </xf>
    <xf numFmtId="0" fontId="11" fillId="0" borderId="33" xfId="0" applyFont="1" applyBorder="1" applyAlignment="1">
      <alignment horizontal="center" vertical="center"/>
    </xf>
    <xf numFmtId="0" fontId="12" fillId="4" borderId="34" xfId="0" applyFont="1" applyFill="1" applyBorder="1" applyAlignment="1">
      <alignment horizontal="center" vertical="center" wrapText="1"/>
    </xf>
    <xf numFmtId="0" fontId="11" fillId="0" borderId="35" xfId="0" applyFont="1" applyBorder="1" applyAlignment="1">
      <alignment horizontal="center" vertical="center"/>
    </xf>
    <xf numFmtId="3" fontId="5" fillId="0" borderId="30" xfId="0" applyNumberFormat="1" applyFont="1" applyBorder="1" applyAlignment="1">
      <alignment horizontal="center" vertical="center"/>
    </xf>
    <xf numFmtId="10" fontId="5" fillId="0" borderId="31" xfId="0" applyNumberFormat="1" applyFont="1" applyBorder="1" applyAlignment="1">
      <alignment horizontal="center" vertical="center"/>
    </xf>
    <xf numFmtId="0" fontId="11" fillId="0" borderId="10" xfId="0" applyFont="1" applyBorder="1" applyAlignment="1">
      <alignment horizontal="center" vertical="center"/>
    </xf>
    <xf numFmtId="3" fontId="5" fillId="0" borderId="1"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12" fillId="4" borderId="10" xfId="0" applyFont="1" applyFill="1" applyBorder="1" applyAlignment="1">
      <alignment horizontal="center" vertical="center"/>
    </xf>
    <xf numFmtId="3" fontId="6" fillId="4" borderId="1" xfId="0" applyNumberFormat="1" applyFont="1" applyFill="1" applyBorder="1" applyAlignment="1">
      <alignment horizontal="center" vertical="center"/>
    </xf>
    <xf numFmtId="10" fontId="6" fillId="4" borderId="22" xfId="0" applyNumberFormat="1" applyFont="1" applyFill="1" applyBorder="1" applyAlignment="1">
      <alignment horizontal="center" vertical="center"/>
    </xf>
    <xf numFmtId="0" fontId="5" fillId="0" borderId="10" xfId="0" applyFont="1" applyBorder="1" applyAlignment="1">
      <alignment horizontal="center" vertical="center"/>
    </xf>
    <xf numFmtId="0" fontId="12" fillId="4" borderId="27" xfId="0" applyFont="1" applyFill="1" applyBorder="1" applyAlignment="1">
      <alignment horizontal="center" vertical="center"/>
    </xf>
    <xf numFmtId="3" fontId="6" fillId="4" borderId="24" xfId="0" applyNumberFormat="1" applyFont="1" applyFill="1" applyBorder="1" applyAlignment="1">
      <alignment horizontal="center" vertical="center"/>
    </xf>
    <xf numFmtId="10" fontId="6" fillId="4" borderId="25" xfId="0" applyNumberFormat="1" applyFont="1" applyFill="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2" fillId="4" borderId="21" xfId="0" applyFont="1" applyFill="1" applyBorder="1" applyAlignment="1">
      <alignment horizontal="center" vertical="center"/>
    </xf>
    <xf numFmtId="0" fontId="6" fillId="10" borderId="0" xfId="0" applyFont="1" applyFill="1" applyAlignment="1">
      <alignment vertical="center"/>
    </xf>
    <xf numFmtId="0" fontId="0" fillId="10" borderId="0" xfId="0" applyFill="1"/>
    <xf numFmtId="0" fontId="6" fillId="10" borderId="0" xfId="0" applyFont="1" applyFill="1"/>
    <xf numFmtId="0" fontId="6" fillId="10" borderId="0" xfId="0" applyFont="1" applyFill="1" applyAlignment="1">
      <alignment horizontal="left" vertical="center" wrapText="1"/>
    </xf>
    <xf numFmtId="0" fontId="0" fillId="10" borderId="0" xfId="0" applyFill="1" applyAlignment="1">
      <alignment vertical="center"/>
    </xf>
    <xf numFmtId="0" fontId="12" fillId="10" borderId="0" xfId="0" applyFont="1" applyFill="1" applyAlignment="1">
      <alignment vertical="center"/>
    </xf>
    <xf numFmtId="0" fontId="13" fillId="10" borderId="0" xfId="0" applyFont="1" applyFill="1"/>
    <xf numFmtId="0" fontId="12" fillId="10" borderId="0" xfId="0" applyFont="1" applyFill="1"/>
    <xf numFmtId="0" fontId="3" fillId="10" borderId="0" xfId="0" applyFont="1" applyFill="1" applyAlignment="1">
      <alignment horizontal="left" vertical="center"/>
    </xf>
    <xf numFmtId="0" fontId="7" fillId="10" borderId="0" xfId="0" applyFont="1" applyFill="1" applyAlignment="1">
      <alignment vertical="top" wrapText="1"/>
    </xf>
    <xf numFmtId="0" fontId="12" fillId="10" borderId="0" xfId="0" applyFont="1" applyFill="1" applyAlignment="1">
      <alignment horizontal="center" vertical="center" wrapText="1"/>
    </xf>
    <xf numFmtId="0" fontId="11" fillId="10" borderId="0" xfId="0" applyFont="1" applyFill="1" applyAlignment="1">
      <alignment horizontal="center"/>
    </xf>
    <xf numFmtId="3" fontId="5" fillId="10" borderId="0" xfId="0" applyNumberFormat="1" applyFont="1" applyFill="1" applyAlignment="1">
      <alignment horizontal="center"/>
    </xf>
    <xf numFmtId="9" fontId="5" fillId="10" borderId="0" xfId="0" applyNumberFormat="1" applyFont="1" applyFill="1" applyAlignment="1">
      <alignment horizontal="center"/>
    </xf>
    <xf numFmtId="0" fontId="2" fillId="10" borderId="0" xfId="0" applyFont="1" applyFill="1" applyAlignment="1">
      <alignment horizontal="left" vertical="center" wrapText="1"/>
    </xf>
    <xf numFmtId="0" fontId="7" fillId="10" borderId="0" xfId="0" applyFont="1" applyFill="1" applyAlignment="1">
      <alignment horizontal="left" vertical="center" wrapText="1"/>
    </xf>
    <xf numFmtId="0" fontId="5" fillId="10" borderId="21" xfId="0" applyFont="1" applyFill="1" applyBorder="1" applyAlignment="1">
      <alignment vertical="center" wrapText="1"/>
    </xf>
    <xf numFmtId="0" fontId="11" fillId="10" borderId="21" xfId="0" applyFont="1" applyFill="1" applyBorder="1" applyAlignment="1">
      <alignment horizontal="center" vertical="center"/>
    </xf>
    <xf numFmtId="165" fontId="5" fillId="10" borderId="1" xfId="1" applyNumberFormat="1" applyFont="1" applyFill="1" applyBorder="1" applyAlignment="1">
      <alignment horizontal="center" vertical="center"/>
    </xf>
    <xf numFmtId="165" fontId="5" fillId="10" borderId="22" xfId="1" applyNumberFormat="1" applyFont="1" applyFill="1" applyBorder="1" applyAlignment="1">
      <alignment horizontal="center" vertical="center"/>
    </xf>
    <xf numFmtId="0" fontId="5" fillId="10" borderId="23" xfId="0" applyFont="1" applyFill="1" applyBorder="1" applyAlignment="1">
      <alignment vertical="center" wrapText="1"/>
    </xf>
    <xf numFmtId="165" fontId="16" fillId="10" borderId="24" xfId="3" applyNumberFormat="1" applyFont="1" applyFill="1" applyBorder="1" applyAlignment="1" applyProtection="1">
      <alignment vertical="center"/>
    </xf>
    <xf numFmtId="165" fontId="5" fillId="10" borderId="24" xfId="1" applyNumberFormat="1" applyFont="1" applyFill="1" applyBorder="1" applyAlignment="1">
      <alignment vertical="center"/>
    </xf>
    <xf numFmtId="165" fontId="14" fillId="10" borderId="24" xfId="3" applyNumberFormat="1" applyFill="1" applyBorder="1" applyAlignment="1" applyProtection="1">
      <alignment vertical="center"/>
    </xf>
    <xf numFmtId="0" fontId="0" fillId="10" borderId="25" xfId="0" applyFill="1" applyBorder="1"/>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10" fontId="5" fillId="0" borderId="21" xfId="0" applyNumberFormat="1" applyFont="1" applyBorder="1" applyAlignment="1">
      <alignment horizontal="center" vertical="center"/>
    </xf>
    <xf numFmtId="10" fontId="6" fillId="4" borderId="2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10" fontId="6" fillId="4" borderId="23" xfId="0" applyNumberFormat="1" applyFont="1" applyFill="1" applyBorder="1" applyAlignment="1">
      <alignment horizontal="center" vertical="center"/>
    </xf>
    <xf numFmtId="165" fontId="6" fillId="4" borderId="24" xfId="1" applyNumberFormat="1" applyFont="1" applyFill="1" applyBorder="1" applyAlignment="1">
      <alignment horizontal="center" vertical="center"/>
    </xf>
    <xf numFmtId="0" fontId="5" fillId="10" borderId="17" xfId="0" applyFont="1" applyFill="1" applyBorder="1" applyAlignment="1">
      <alignment vertical="center" wrapText="1"/>
    </xf>
    <xf numFmtId="165" fontId="5" fillId="10" borderId="13" xfId="1" applyNumberFormat="1" applyFont="1" applyFill="1" applyBorder="1"/>
    <xf numFmtId="165" fontId="5" fillId="10" borderId="18" xfId="1" applyNumberFormat="1" applyFont="1" applyFill="1" applyBorder="1"/>
    <xf numFmtId="0" fontId="9" fillId="2" borderId="43" xfId="0" applyFont="1" applyFill="1" applyBorder="1" applyAlignment="1">
      <alignment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6" fillId="10" borderId="0" xfId="0" applyFont="1" applyFill="1" applyAlignment="1">
      <alignment wrapText="1"/>
    </xf>
    <xf numFmtId="0" fontId="6" fillId="10" borderId="0" xfId="0" applyFont="1" applyFill="1" applyAlignment="1">
      <alignment horizontal="left" vertical="center"/>
    </xf>
    <xf numFmtId="0" fontId="18" fillId="10" borderId="0" xfId="0" applyFont="1" applyFill="1"/>
    <xf numFmtId="0" fontId="29" fillId="10" borderId="0" xfId="0" applyFont="1" applyFill="1"/>
    <xf numFmtId="165" fontId="2" fillId="10" borderId="21" xfId="1" applyNumberFormat="1" applyFont="1" applyFill="1" applyBorder="1" applyAlignment="1">
      <alignment horizontal="center" vertical="center" wrapText="1"/>
    </xf>
    <xf numFmtId="165" fontId="2" fillId="10" borderId="1" xfId="1" applyNumberFormat="1" applyFont="1" applyFill="1" applyBorder="1" applyAlignment="1">
      <alignment horizontal="center" wrapText="1"/>
    </xf>
    <xf numFmtId="10" fontId="2" fillId="10" borderId="22" xfId="4" applyNumberFormat="1" applyFont="1" applyFill="1" applyBorder="1" applyAlignment="1">
      <alignment horizontal="center" wrapText="1"/>
    </xf>
    <xf numFmtId="165" fontId="2" fillId="10" borderId="21" xfId="1" applyNumberFormat="1" applyFont="1" applyFill="1" applyBorder="1" applyAlignment="1">
      <alignment horizontal="center" wrapText="1"/>
    </xf>
    <xf numFmtId="44" fontId="2" fillId="10" borderId="21" xfId="2" applyFont="1" applyFill="1" applyBorder="1" applyAlignment="1">
      <alignment horizontal="center" wrapText="1"/>
    </xf>
    <xf numFmtId="44" fontId="2" fillId="10" borderId="1" xfId="2" applyFont="1" applyFill="1" applyBorder="1" applyAlignment="1">
      <alignment horizontal="center" wrapText="1"/>
    </xf>
    <xf numFmtId="0" fontId="30" fillId="10" borderId="0" xfId="0" applyFont="1" applyFill="1"/>
    <xf numFmtId="165" fontId="2" fillId="10" borderId="21" xfId="1" applyNumberFormat="1" applyFont="1" applyFill="1" applyBorder="1" applyAlignment="1">
      <alignment horizontal="left" wrapText="1"/>
    </xf>
    <xf numFmtId="165" fontId="2" fillId="10" borderId="21" xfId="1" applyNumberFormat="1" applyFont="1" applyFill="1" applyBorder="1" applyAlignment="1">
      <alignment horizontal="center"/>
    </xf>
    <xf numFmtId="165" fontId="2" fillId="10" borderId="1" xfId="1" applyNumberFormat="1" applyFont="1" applyFill="1" applyBorder="1" applyAlignment="1">
      <alignment horizontal="center"/>
    </xf>
    <xf numFmtId="44" fontId="2" fillId="10" borderId="21" xfId="2" applyFont="1" applyFill="1" applyBorder="1" applyAlignment="1">
      <alignment horizontal="center"/>
    </xf>
    <xf numFmtId="44" fontId="2" fillId="10" borderId="1" xfId="2" applyFont="1" applyFill="1" applyBorder="1" applyAlignment="1">
      <alignment horizontal="center"/>
    </xf>
    <xf numFmtId="10" fontId="2" fillId="10" borderId="22" xfId="4" applyNumberFormat="1" applyFont="1" applyFill="1" applyBorder="1" applyAlignment="1">
      <alignment horizontal="center"/>
    </xf>
    <xf numFmtId="165" fontId="31" fillId="10" borderId="21" xfId="1" applyNumberFormat="1" applyFont="1" applyFill="1" applyBorder="1" applyAlignment="1">
      <alignment horizontal="left" wrapText="1"/>
    </xf>
    <xf numFmtId="165" fontId="31" fillId="10" borderId="1" xfId="1" applyNumberFormat="1" applyFont="1" applyFill="1" applyBorder="1" applyAlignment="1">
      <alignment horizontal="left" wrapText="1"/>
    </xf>
    <xf numFmtId="10" fontId="31" fillId="10" borderId="22" xfId="4" applyNumberFormat="1" applyFont="1" applyFill="1" applyBorder="1" applyAlignment="1">
      <alignment horizontal="center"/>
    </xf>
    <xf numFmtId="44" fontId="31" fillId="10" borderId="21" xfId="2" applyFont="1" applyFill="1" applyBorder="1" applyAlignment="1">
      <alignment horizontal="left" wrapText="1"/>
    </xf>
    <xf numFmtId="44" fontId="31" fillId="10" borderId="1" xfId="2" applyFont="1" applyFill="1" applyBorder="1" applyAlignment="1">
      <alignment horizontal="left" wrapText="1"/>
    </xf>
    <xf numFmtId="0" fontId="32" fillId="10" borderId="0" xfId="0" applyFont="1" applyFill="1"/>
    <xf numFmtId="165" fontId="2" fillId="10" borderId="21" xfId="1" applyNumberFormat="1" applyFont="1" applyFill="1" applyBorder="1" applyAlignment="1">
      <alignment horizontal="left"/>
    </xf>
    <xf numFmtId="165" fontId="2" fillId="10" borderId="17" xfId="1" applyNumberFormat="1" applyFont="1" applyFill="1" applyBorder="1" applyAlignment="1">
      <alignment horizontal="left"/>
    </xf>
    <xf numFmtId="165" fontId="2" fillId="10" borderId="13" xfId="1" applyNumberFormat="1" applyFont="1" applyFill="1" applyBorder="1" applyAlignment="1">
      <alignment horizontal="center"/>
    </xf>
    <xf numFmtId="10" fontId="2" fillId="10" borderId="18" xfId="4" applyNumberFormat="1" applyFont="1" applyFill="1" applyBorder="1" applyAlignment="1">
      <alignment horizontal="center"/>
    </xf>
    <xf numFmtId="44" fontId="2" fillId="10" borderId="13" xfId="2" applyFont="1" applyFill="1" applyBorder="1" applyAlignment="1">
      <alignment horizontal="center"/>
    </xf>
    <xf numFmtId="0" fontId="4" fillId="10" borderId="0" xfId="0" applyFont="1" applyFill="1" applyAlignment="1">
      <alignment horizontal="left" vertical="center" wrapText="1"/>
    </xf>
    <xf numFmtId="0" fontId="4" fillId="10" borderId="0" xfId="0" applyFont="1" applyFill="1" applyAlignment="1">
      <alignment horizontal="left" wrapText="1"/>
    </xf>
    <xf numFmtId="3" fontId="4" fillId="10" borderId="0" xfId="1" applyNumberFormat="1" applyFont="1" applyFill="1" applyBorder="1" applyAlignment="1">
      <alignment horizontal="center" vertical="center"/>
    </xf>
    <xf numFmtId="3" fontId="4" fillId="10" borderId="0" xfId="1" applyNumberFormat="1" applyFont="1" applyFill="1" applyBorder="1" applyAlignment="1">
      <alignment horizontal="center"/>
    </xf>
    <xf numFmtId="9" fontId="4" fillId="10" borderId="0" xfId="0" applyNumberFormat="1" applyFont="1" applyFill="1" applyAlignment="1">
      <alignment horizontal="center"/>
    </xf>
    <xf numFmtId="164" fontId="4" fillId="10" borderId="0" xfId="0" applyNumberFormat="1" applyFont="1" applyFill="1"/>
    <xf numFmtId="37" fontId="4" fillId="10" borderId="0" xfId="1" applyNumberFormat="1" applyFont="1" applyFill="1" applyBorder="1" applyAlignment="1">
      <alignment horizontal="center"/>
    </xf>
    <xf numFmtId="0" fontId="3" fillId="10" borderId="0" xfId="0" applyFont="1" applyFill="1" applyAlignment="1">
      <alignment horizontal="left" wrapText="1"/>
    </xf>
    <xf numFmtId="0" fontId="0" fillId="10" borderId="0" xfId="0" applyFill="1" applyAlignment="1">
      <alignment horizontal="center"/>
    </xf>
    <xf numFmtId="165" fontId="3" fillId="12" borderId="19" xfId="1" applyNumberFormat="1" applyFont="1" applyFill="1" applyBorder="1" applyAlignment="1">
      <alignment vertical="center" wrapText="1"/>
    </xf>
    <xf numFmtId="165" fontId="3" fillId="12" borderId="9" xfId="1" applyNumberFormat="1" applyFont="1" applyFill="1" applyBorder="1" applyAlignment="1">
      <alignment vertical="center" wrapText="1"/>
    </xf>
    <xf numFmtId="10" fontId="3" fillId="12" borderId="20" xfId="4" applyNumberFormat="1" applyFont="1" applyFill="1" applyBorder="1" applyAlignment="1">
      <alignment vertical="center" wrapText="1"/>
    </xf>
    <xf numFmtId="165" fontId="3" fillId="12" borderId="28" xfId="1" applyNumberFormat="1" applyFont="1" applyFill="1" applyBorder="1" applyAlignment="1">
      <alignment vertical="center" wrapText="1"/>
    </xf>
    <xf numFmtId="165" fontId="3" fillId="12" borderId="4" xfId="1" applyNumberFormat="1" applyFont="1" applyFill="1" applyBorder="1" applyAlignment="1">
      <alignment vertical="center" wrapText="1"/>
    </xf>
    <xf numFmtId="44" fontId="3" fillId="12" borderId="28" xfId="2" applyFont="1" applyFill="1" applyBorder="1" applyAlignment="1">
      <alignment vertical="center" wrapText="1"/>
    </xf>
    <xf numFmtId="44" fontId="3" fillId="12" borderId="9" xfId="2" applyFont="1" applyFill="1" applyBorder="1" applyAlignment="1">
      <alignment vertical="center" wrapText="1"/>
    </xf>
    <xf numFmtId="0" fontId="3" fillId="12" borderId="19" xfId="0" applyFont="1" applyFill="1" applyBorder="1" applyAlignment="1">
      <alignment vertical="center" wrapText="1"/>
    </xf>
    <xf numFmtId="0" fontId="3" fillId="12" borderId="9" xfId="0" applyFont="1" applyFill="1" applyBorder="1" applyAlignment="1">
      <alignment vertical="center" wrapText="1"/>
    </xf>
    <xf numFmtId="0" fontId="3" fillId="12" borderId="20" xfId="0" applyFont="1" applyFill="1" applyBorder="1" applyAlignment="1">
      <alignment vertical="center" wrapText="1"/>
    </xf>
    <xf numFmtId="165" fontId="33" fillId="6" borderId="21" xfId="1" applyNumberFormat="1" applyFont="1" applyFill="1" applyBorder="1" applyAlignment="1">
      <alignment horizontal="left"/>
    </xf>
    <xf numFmtId="165" fontId="33" fillId="6" borderId="1" xfId="1" applyNumberFormat="1" applyFont="1" applyFill="1" applyBorder="1" applyAlignment="1">
      <alignment horizontal="center"/>
    </xf>
    <xf numFmtId="10" fontId="33" fillId="6" borderId="22" xfId="4" applyNumberFormat="1" applyFont="1" applyFill="1" applyBorder="1" applyAlignment="1">
      <alignment horizontal="center"/>
    </xf>
    <xf numFmtId="44" fontId="33" fillId="6" borderId="21" xfId="2" applyFont="1" applyFill="1" applyBorder="1" applyAlignment="1">
      <alignment horizontal="left"/>
    </xf>
    <xf numFmtId="44" fontId="33" fillId="6" borderId="1" xfId="2" applyFont="1" applyFill="1" applyBorder="1" applyAlignment="1">
      <alignment horizontal="center"/>
    </xf>
    <xf numFmtId="10" fontId="2" fillId="10" borderId="6" xfId="4" applyNumberFormat="1" applyFont="1" applyFill="1" applyBorder="1" applyAlignment="1">
      <alignment horizontal="center"/>
    </xf>
    <xf numFmtId="10" fontId="2" fillId="10" borderId="8" xfId="4" applyNumberFormat="1" applyFont="1" applyFill="1" applyBorder="1" applyAlignment="1">
      <alignment horizontal="center" wrapText="1"/>
    </xf>
    <xf numFmtId="10" fontId="3" fillId="6" borderId="8" xfId="4" applyNumberFormat="1" applyFont="1" applyFill="1" applyBorder="1" applyAlignment="1">
      <alignment horizontal="center"/>
    </xf>
    <xf numFmtId="10" fontId="2" fillId="3" borderId="8" xfId="4" applyNumberFormat="1" applyFont="1" applyFill="1" applyBorder="1" applyAlignment="1">
      <alignment horizontal="center" wrapText="1"/>
    </xf>
    <xf numFmtId="10" fontId="3" fillId="12" borderId="9" xfId="4" applyNumberFormat="1" applyFont="1" applyFill="1" applyBorder="1" applyAlignment="1">
      <alignment vertical="center" wrapText="1"/>
    </xf>
    <xf numFmtId="10" fontId="2" fillId="10" borderId="8" xfId="4" applyNumberFormat="1" applyFont="1" applyFill="1" applyBorder="1" applyAlignment="1">
      <alignment horizontal="center"/>
    </xf>
    <xf numFmtId="10" fontId="31" fillId="10" borderId="8" xfId="4" applyNumberFormat="1" applyFont="1" applyFill="1" applyBorder="1" applyAlignment="1">
      <alignment horizontal="center"/>
    </xf>
    <xf numFmtId="10" fontId="33" fillId="6" borderId="8" xfId="4" applyNumberFormat="1" applyFont="1" applyFill="1" applyBorder="1" applyAlignment="1">
      <alignment horizontal="center"/>
    </xf>
    <xf numFmtId="10" fontId="4" fillId="6" borderId="8" xfId="4" applyNumberFormat="1" applyFont="1" applyFill="1" applyBorder="1" applyAlignment="1">
      <alignment horizontal="center"/>
    </xf>
    <xf numFmtId="10" fontId="4" fillId="5" borderId="46" xfId="4" applyNumberFormat="1" applyFont="1" applyFill="1" applyBorder="1" applyAlignment="1">
      <alignment horizontal="center" vertical="center"/>
    </xf>
    <xf numFmtId="0" fontId="5" fillId="10" borderId="0" xfId="0" applyFont="1" applyFill="1"/>
    <xf numFmtId="0" fontId="7" fillId="10" borderId="13" xfId="0" applyFont="1" applyFill="1" applyBorder="1" applyAlignment="1">
      <alignment vertical="center"/>
    </xf>
    <xf numFmtId="44" fontId="7" fillId="10" borderId="13" xfId="2" applyFont="1" applyFill="1" applyBorder="1" applyAlignment="1">
      <alignment vertical="center"/>
    </xf>
    <xf numFmtId="0" fontId="7" fillId="10" borderId="1" xfId="0" applyFont="1" applyFill="1" applyBorder="1" applyAlignment="1">
      <alignment vertical="center"/>
    </xf>
    <xf numFmtId="44" fontId="7" fillId="10" borderId="1" xfId="2" applyFont="1" applyFill="1" applyBorder="1" applyAlignment="1">
      <alignment vertical="center"/>
    </xf>
    <xf numFmtId="0" fontId="31" fillId="10" borderId="1" xfId="0" applyFont="1" applyFill="1" applyBorder="1" applyAlignment="1">
      <alignment vertical="center"/>
    </xf>
    <xf numFmtId="44" fontId="31" fillId="10" borderId="1" xfId="2" applyFont="1" applyFill="1" applyBorder="1" applyAlignment="1">
      <alignment vertical="center"/>
    </xf>
    <xf numFmtId="44" fontId="31" fillId="10" borderId="13" xfId="2" applyFont="1" applyFill="1" applyBorder="1" applyAlignment="1">
      <alignment vertical="center"/>
    </xf>
    <xf numFmtId="0" fontId="7" fillId="10" borderId="13" xfId="0" applyFont="1" applyFill="1" applyBorder="1" applyAlignment="1">
      <alignment horizontal="left" vertical="center" wrapText="1"/>
    </xf>
    <xf numFmtId="44" fontId="7" fillId="10" borderId="13" xfId="2" applyFont="1" applyFill="1" applyBorder="1" applyAlignment="1">
      <alignment horizontal="left" vertical="center"/>
    </xf>
    <xf numFmtId="44" fontId="10" fillId="10" borderId="13" xfId="2" applyFont="1" applyFill="1" applyBorder="1" applyAlignment="1">
      <alignment horizontal="left" vertical="center"/>
    </xf>
    <xf numFmtId="0" fontId="7" fillId="10" borderId="1" xfId="0" applyFont="1" applyFill="1" applyBorder="1" applyAlignment="1">
      <alignment vertical="center" wrapText="1"/>
    </xf>
    <xf numFmtId="0" fontId="3" fillId="10" borderId="1" xfId="0" applyFont="1" applyFill="1" applyBorder="1" applyAlignment="1">
      <alignment vertical="center" wrapText="1"/>
    </xf>
    <xf numFmtId="0" fontId="10" fillId="10" borderId="0" xfId="0" applyFont="1" applyFill="1"/>
    <xf numFmtId="0" fontId="4" fillId="10" borderId="0" xfId="0" applyFont="1" applyFill="1" applyAlignment="1">
      <alignment vertical="center" wrapText="1"/>
    </xf>
    <xf numFmtId="44" fontId="3" fillId="10" borderId="1" xfId="2" applyFont="1" applyFill="1" applyBorder="1" applyAlignment="1">
      <alignment vertical="center"/>
    </xf>
    <xf numFmtId="0" fontId="3" fillId="12" borderId="8" xfId="0" applyFont="1" applyFill="1" applyBorder="1" applyAlignment="1">
      <alignment vertical="center"/>
    </xf>
    <xf numFmtId="44" fontId="3" fillId="12" borderId="9" xfId="2" applyFont="1" applyFill="1" applyBorder="1" applyAlignment="1">
      <alignment vertical="center"/>
    </xf>
    <xf numFmtId="44" fontId="3" fillId="12" borderId="10" xfId="2" applyFont="1" applyFill="1" applyBorder="1" applyAlignment="1">
      <alignment vertical="center"/>
    </xf>
    <xf numFmtId="0" fontId="10" fillId="12" borderId="8" xfId="0" applyFont="1" applyFill="1" applyBorder="1" applyAlignment="1">
      <alignment vertical="center" wrapText="1"/>
    </xf>
    <xf numFmtId="44" fontId="10" fillId="12" borderId="9" xfId="2" applyFont="1" applyFill="1" applyBorder="1" applyAlignment="1">
      <alignment vertical="center" wrapText="1"/>
    </xf>
    <xf numFmtId="44" fontId="10" fillId="12" borderId="10" xfId="2" applyFont="1" applyFill="1" applyBorder="1" applyAlignment="1">
      <alignment vertical="center" wrapText="1"/>
    </xf>
    <xf numFmtId="0" fontId="3" fillId="13" borderId="1" xfId="0" applyFont="1" applyFill="1" applyBorder="1" applyAlignment="1">
      <alignment vertical="center" wrapText="1"/>
    </xf>
    <xf numFmtId="44" fontId="4" fillId="13" borderId="1" xfId="2" applyFont="1" applyFill="1" applyBorder="1" applyAlignment="1">
      <alignment vertical="center"/>
    </xf>
    <xf numFmtId="0" fontId="17" fillId="2" borderId="6"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3" fillId="12" borderId="33" xfId="0" applyFont="1" applyFill="1" applyBorder="1" applyAlignment="1">
      <alignment vertical="center" wrapText="1"/>
    </xf>
    <xf numFmtId="0" fontId="2" fillId="10" borderId="33" xfId="0" applyFont="1" applyFill="1" applyBorder="1" applyAlignment="1">
      <alignment horizontal="left" wrapText="1"/>
    </xf>
    <xf numFmtId="0" fontId="3" fillId="6" borderId="33" xfId="0" applyFont="1" applyFill="1" applyBorder="1" applyAlignment="1">
      <alignment horizontal="left" wrapText="1"/>
    </xf>
    <xf numFmtId="0" fontId="21" fillId="3" borderId="33" xfId="0" applyFont="1" applyFill="1" applyBorder="1" applyAlignment="1">
      <alignment horizontal="right" wrapText="1"/>
    </xf>
    <xf numFmtId="0" fontId="3" fillId="4" borderId="33" xfId="0" applyFont="1" applyFill="1" applyBorder="1" applyAlignment="1">
      <alignment vertical="center" wrapText="1"/>
    </xf>
    <xf numFmtId="167" fontId="31" fillId="10" borderId="33" xfId="1" applyNumberFormat="1" applyFont="1" applyFill="1" applyBorder="1" applyAlignment="1">
      <alignment horizontal="left" wrapText="1"/>
    </xf>
    <xf numFmtId="0" fontId="31" fillId="10" borderId="33" xfId="0" applyFont="1" applyFill="1" applyBorder="1" applyAlignment="1">
      <alignment horizontal="left" wrapText="1"/>
    </xf>
    <xf numFmtId="0" fontId="2" fillId="10" borderId="47" xfId="0" applyFont="1" applyFill="1" applyBorder="1" applyAlignment="1">
      <alignment horizontal="left" vertical="center" wrapText="1"/>
    </xf>
    <xf numFmtId="0" fontId="2" fillId="10" borderId="33"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8" fillId="10" borderId="0" xfId="0" applyFont="1" applyFill="1"/>
    <xf numFmtId="0" fontId="4" fillId="10" borderId="0" xfId="0" applyFont="1" applyFill="1"/>
    <xf numFmtId="0" fontId="7" fillId="10" borderId="1" xfId="0" applyFont="1" applyFill="1" applyBorder="1"/>
    <xf numFmtId="0" fontId="2" fillId="10" borderId="1" xfId="0" applyFont="1" applyFill="1" applyBorder="1"/>
    <xf numFmtId="0" fontId="7" fillId="10" borderId="0" xfId="0" applyFont="1" applyFill="1"/>
    <xf numFmtId="3" fontId="7" fillId="10" borderId="0" xfId="0" applyNumberFormat="1" applyFont="1" applyFill="1" applyAlignment="1">
      <alignment horizontal="center"/>
    </xf>
    <xf numFmtId="1" fontId="7" fillId="10" borderId="0" xfId="0" applyNumberFormat="1" applyFont="1" applyFill="1" applyAlignment="1">
      <alignment horizontal="center"/>
    </xf>
    <xf numFmtId="0" fontId="7" fillId="10" borderId="0" xfId="0" applyFont="1" applyFill="1" applyAlignment="1">
      <alignment horizontal="center"/>
    </xf>
    <xf numFmtId="3" fontId="10" fillId="10" borderId="0" xfId="0" applyNumberFormat="1" applyFont="1" applyFill="1" applyAlignment="1">
      <alignment horizontal="center"/>
    </xf>
    <xf numFmtId="1" fontId="10" fillId="10" borderId="0" xfId="0" applyNumberFormat="1" applyFont="1" applyFill="1" applyAlignment="1">
      <alignment horizontal="center"/>
    </xf>
    <xf numFmtId="0" fontId="10" fillId="10" borderId="0" xfId="0" applyFont="1" applyFill="1" applyAlignment="1">
      <alignment horizontal="center"/>
    </xf>
    <xf numFmtId="0" fontId="15" fillId="10" borderId="0" xfId="3" applyFont="1" applyFill="1" applyAlignment="1" applyProtection="1"/>
    <xf numFmtId="0" fontId="16" fillId="10" borderId="0" xfId="3" applyFont="1" applyFill="1" applyAlignment="1" applyProtection="1"/>
    <xf numFmtId="0" fontId="7" fillId="10" borderId="0" xfId="0" applyFont="1" applyFill="1" applyAlignment="1">
      <alignment vertical="center"/>
    </xf>
    <xf numFmtId="3" fontId="19" fillId="10" borderId="0" xfId="0" applyNumberFormat="1" applyFont="1" applyFill="1" applyAlignment="1">
      <alignment vertical="center" wrapText="1"/>
    </xf>
    <xf numFmtId="0" fontId="7" fillId="10" borderId="0" xfId="0" applyFont="1" applyFill="1" applyAlignment="1">
      <alignment horizontal="center" vertical="center"/>
    </xf>
    <xf numFmtId="165" fontId="7" fillId="10" borderId="1" xfId="1" applyNumberFormat="1" applyFont="1" applyFill="1" applyBorder="1" applyAlignment="1">
      <alignment horizontal="center"/>
    </xf>
    <xf numFmtId="165" fontId="0" fillId="10" borderId="1" xfId="1" applyNumberFormat="1" applyFont="1" applyFill="1" applyBorder="1" applyAlignment="1">
      <alignment horizontal="center"/>
    </xf>
    <xf numFmtId="165" fontId="1" fillId="10" borderId="1" xfId="1" applyNumberFormat="1" applyFont="1" applyFill="1" applyBorder="1" applyAlignment="1">
      <alignment horizontal="center"/>
    </xf>
    <xf numFmtId="165" fontId="7" fillId="10" borderId="1" xfId="1" applyNumberFormat="1" applyFont="1" applyFill="1" applyBorder="1" applyAlignment="1">
      <alignment horizontal="center" wrapText="1"/>
    </xf>
    <xf numFmtId="0" fontId="5" fillId="8" borderId="1" xfId="0" quotePrefix="1" applyFont="1" applyFill="1" applyBorder="1" applyAlignment="1">
      <alignment vertical="center"/>
    </xf>
    <xf numFmtId="0" fontId="5" fillId="8" borderId="1" xfId="0" applyFont="1" applyFill="1" applyBorder="1"/>
    <xf numFmtId="0" fontId="5" fillId="10" borderId="0" xfId="0" applyFont="1" applyFill="1" applyAlignment="1">
      <alignment horizontal="center"/>
    </xf>
    <xf numFmtId="9" fontId="5" fillId="10" borderId="0" xfId="4" applyFont="1" applyFill="1"/>
    <xf numFmtId="0" fontId="5" fillId="10" borderId="0" xfId="0" quotePrefix="1" applyFont="1" applyFill="1"/>
    <xf numFmtId="0" fontId="22" fillId="10" borderId="0" xfId="0" applyFont="1" applyFill="1"/>
    <xf numFmtId="0" fontId="5" fillId="10" borderId="1" xfId="0" applyFont="1" applyFill="1" applyBorder="1" applyAlignment="1">
      <alignment horizontal="center" vertical="center"/>
    </xf>
    <xf numFmtId="0" fontId="5" fillId="10" borderId="1" xfId="0" applyFont="1" applyFill="1" applyBorder="1"/>
    <xf numFmtId="0" fontId="25" fillId="10" borderId="0" xfId="0" applyFont="1" applyFill="1"/>
    <xf numFmtId="0" fontId="25" fillId="10" borderId="0" xfId="0" applyFont="1" applyFill="1" applyAlignment="1">
      <alignment horizontal="center"/>
    </xf>
    <xf numFmtId="0" fontId="23" fillId="10" borderId="0" xfId="0" applyFont="1" applyFill="1"/>
    <xf numFmtId="0" fontId="24" fillId="10" borderId="0" xfId="0" applyFont="1" applyFill="1"/>
    <xf numFmtId="0" fontId="26" fillId="10" borderId="8" xfId="0" applyFont="1" applyFill="1" applyBorder="1" applyAlignment="1">
      <alignment vertical="center"/>
    </xf>
    <xf numFmtId="0" fontId="26" fillId="10" borderId="9" xfId="0" applyFont="1" applyFill="1" applyBorder="1" applyAlignment="1">
      <alignment vertical="center"/>
    </xf>
    <xf numFmtId="0" fontId="26" fillId="10" borderId="10" xfId="0" applyFont="1" applyFill="1" applyBorder="1" applyAlignment="1">
      <alignment vertical="center"/>
    </xf>
    <xf numFmtId="0" fontId="9" fillId="11" borderId="2" xfId="0" applyFont="1" applyFill="1" applyBorder="1" applyAlignment="1">
      <alignment horizontal="left" vertical="top"/>
    </xf>
    <xf numFmtId="0" fontId="5" fillId="10" borderId="13" xfId="0" applyFont="1" applyFill="1" applyBorder="1" applyAlignment="1">
      <alignment horizontal="center" vertical="center"/>
    </xf>
    <xf numFmtId="0" fontId="5" fillId="9" borderId="13" xfId="0" applyFont="1" applyFill="1" applyBorder="1" applyAlignment="1">
      <alignment vertical="center"/>
    </xf>
    <xf numFmtId="0" fontId="9" fillId="11" borderId="8" xfId="0" applyFont="1" applyFill="1" applyBorder="1" applyAlignment="1">
      <alignment horizontal="left" vertical="center"/>
    </xf>
    <xf numFmtId="0" fontId="9" fillId="11" borderId="9" xfId="0" applyFont="1" applyFill="1" applyBorder="1" applyAlignment="1">
      <alignment horizontal="left" vertical="center"/>
    </xf>
    <xf numFmtId="0" fontId="9" fillId="11" borderId="10" xfId="0" applyFont="1" applyFill="1" applyBorder="1" applyAlignment="1">
      <alignment horizontal="left" vertical="center"/>
    </xf>
    <xf numFmtId="10" fontId="5" fillId="9" borderId="13" xfId="0" applyNumberFormat="1" applyFont="1" applyFill="1" applyBorder="1" applyAlignment="1">
      <alignment horizontal="right" vertical="center"/>
    </xf>
    <xf numFmtId="165" fontId="5" fillId="9" borderId="1" xfId="1" applyNumberFormat="1" applyFont="1" applyFill="1" applyBorder="1" applyAlignment="1">
      <alignment horizontal="right" vertical="center"/>
    </xf>
    <xf numFmtId="165" fontId="5" fillId="7" borderId="1" xfId="0" applyNumberFormat="1" applyFont="1" applyFill="1" applyBorder="1" applyAlignment="1">
      <alignment horizontal="right" vertical="center"/>
    </xf>
    <xf numFmtId="166" fontId="5" fillId="8" borderId="1" xfId="0" applyNumberFormat="1" applyFont="1" applyFill="1" applyBorder="1" applyAlignment="1">
      <alignment horizontal="right" vertical="center"/>
    </xf>
    <xf numFmtId="0" fontId="26" fillId="10" borderId="9" xfId="0" applyFont="1" applyFill="1" applyBorder="1" applyAlignment="1">
      <alignment horizontal="right" vertical="center"/>
    </xf>
    <xf numFmtId="10" fontId="5" fillId="7" borderId="1" xfId="0" applyNumberFormat="1" applyFont="1" applyFill="1" applyBorder="1" applyAlignment="1">
      <alignment horizontal="right" vertical="center"/>
    </xf>
    <xf numFmtId="166" fontId="5" fillId="7" borderId="1" xfId="0" applyNumberFormat="1" applyFont="1" applyFill="1" applyBorder="1" applyAlignment="1">
      <alignment horizontal="right" vertical="center"/>
    </xf>
    <xf numFmtId="165" fontId="5" fillId="8" borderId="1" xfId="0" applyNumberFormat="1" applyFont="1" applyFill="1" applyBorder="1" applyAlignment="1">
      <alignment horizontal="right" vertical="center"/>
    </xf>
    <xf numFmtId="9" fontId="6" fillId="7" borderId="1" xfId="4" applyFont="1" applyFill="1" applyBorder="1" applyAlignment="1">
      <alignment horizontal="right" vertical="center"/>
    </xf>
    <xf numFmtId="0" fontId="9" fillId="11" borderId="2" xfId="0" applyFont="1" applyFill="1" applyBorder="1" applyAlignment="1">
      <alignment horizontal="right" vertical="top"/>
    </xf>
    <xf numFmtId="166" fontId="5" fillId="7" borderId="1" xfId="4" applyNumberFormat="1" applyFont="1" applyFill="1" applyBorder="1" applyAlignment="1">
      <alignment horizontal="right" vertical="center"/>
    </xf>
    <xf numFmtId="10" fontId="5" fillId="8" borderId="1" xfId="0" applyNumberFormat="1" applyFont="1" applyFill="1" applyBorder="1" applyAlignment="1">
      <alignment horizontal="right" vertical="center"/>
    </xf>
    <xf numFmtId="0" fontId="9" fillId="10" borderId="0" xfId="0" applyFont="1" applyFill="1" applyAlignment="1">
      <alignment horizontal="center" vertical="center" wrapText="1"/>
    </xf>
    <xf numFmtId="0" fontId="9" fillId="2" borderId="29" xfId="0" applyFont="1" applyFill="1" applyBorder="1" applyAlignment="1">
      <alignment horizontal="center" vertical="center"/>
    </xf>
    <xf numFmtId="0" fontId="11" fillId="0" borderId="21" xfId="0" applyFont="1" applyBorder="1" applyAlignment="1">
      <alignment horizontal="center" vertical="center" wrapText="1"/>
    </xf>
    <xf numFmtId="0" fontId="12" fillId="13" borderId="21"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7" fillId="2" borderId="31" xfId="0" applyFont="1" applyFill="1" applyBorder="1" applyAlignment="1">
      <alignment horizontal="center" vertical="center" wrapText="1"/>
    </xf>
    <xf numFmtId="44" fontId="11" fillId="10" borderId="1" xfId="2" applyFont="1" applyFill="1" applyBorder="1" applyAlignment="1">
      <alignment horizontal="center"/>
    </xf>
    <xf numFmtId="44" fontId="5" fillId="10" borderId="1" xfId="2" applyFont="1" applyFill="1" applyBorder="1" applyAlignment="1">
      <alignment horizontal="center"/>
    </xf>
    <xf numFmtId="44" fontId="5" fillId="10" borderId="22" xfId="2" applyFont="1" applyFill="1" applyBorder="1" applyAlignment="1">
      <alignment horizontal="center"/>
    </xf>
    <xf numFmtId="44" fontId="11" fillId="10" borderId="1" xfId="2" applyFont="1" applyFill="1" applyBorder="1" applyAlignment="1">
      <alignment horizontal="center" vertical="center"/>
    </xf>
    <xf numFmtId="44" fontId="5" fillId="10" borderId="1" xfId="2" applyFont="1" applyFill="1" applyBorder="1" applyAlignment="1">
      <alignment horizontal="center" vertical="center"/>
    </xf>
    <xf numFmtId="44" fontId="11" fillId="13" borderId="1" xfId="2" applyFont="1" applyFill="1" applyBorder="1" applyAlignment="1">
      <alignment horizontal="center"/>
    </xf>
    <xf numFmtId="44" fontId="11" fillId="13" borderId="22" xfId="2" applyFont="1" applyFill="1" applyBorder="1" applyAlignment="1">
      <alignment horizontal="center"/>
    </xf>
    <xf numFmtId="44" fontId="11" fillId="13" borderId="24" xfId="2" applyFont="1" applyFill="1" applyBorder="1" applyAlignment="1">
      <alignment horizontal="center"/>
    </xf>
    <xf numFmtId="44" fontId="11" fillId="13" borderId="25" xfId="2" applyFont="1" applyFill="1" applyBorder="1" applyAlignment="1">
      <alignment horizontal="center"/>
    </xf>
    <xf numFmtId="168" fontId="5" fillId="10" borderId="22" xfId="4" applyNumberFormat="1" applyFont="1" applyFill="1" applyBorder="1" applyAlignment="1">
      <alignment horizontal="center"/>
    </xf>
    <xf numFmtId="168" fontId="5" fillId="13" borderId="25" xfId="4" applyNumberFormat="1" applyFont="1" applyFill="1" applyBorder="1" applyAlignment="1">
      <alignment horizontal="center"/>
    </xf>
    <xf numFmtId="168" fontId="3" fillId="10" borderId="1" xfId="4" applyNumberFormat="1" applyFont="1" applyFill="1" applyBorder="1" applyAlignment="1">
      <alignment vertical="center"/>
    </xf>
    <xf numFmtId="9" fontId="2" fillId="10" borderId="8" xfId="4" applyFont="1" applyFill="1" applyBorder="1" applyAlignment="1">
      <alignment horizontal="center"/>
    </xf>
    <xf numFmtId="9" fontId="2" fillId="10" borderId="22" xfId="4" applyFont="1" applyFill="1" applyBorder="1" applyAlignment="1">
      <alignment horizontal="center"/>
    </xf>
    <xf numFmtId="0" fontId="17" fillId="2" borderId="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44" fontId="3" fillId="10" borderId="0" xfId="0" applyNumberFormat="1" applyFont="1" applyFill="1" applyAlignment="1">
      <alignment horizontal="center"/>
    </xf>
    <xf numFmtId="0" fontId="7" fillId="10" borderId="1"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1" fillId="10" borderId="5"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7"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4"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12"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11" fillId="10" borderId="36" xfId="0" applyFont="1" applyFill="1" applyBorder="1" applyAlignment="1">
      <alignment horizontal="left" vertical="center"/>
    </xf>
    <xf numFmtId="0" fontId="11" fillId="10" borderId="37" xfId="0" applyFont="1" applyFill="1" applyBorder="1" applyAlignment="1">
      <alignment horizontal="left" vertical="center"/>
    </xf>
    <xf numFmtId="0" fontId="11" fillId="10" borderId="38" xfId="0" applyFont="1" applyFill="1" applyBorder="1" applyAlignment="1">
      <alignment horizontal="left" vertical="center"/>
    </xf>
    <xf numFmtId="0" fontId="6"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7" fillId="10" borderId="3"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10" borderId="5" xfId="0" applyFont="1" applyFill="1" applyBorder="1" applyAlignment="1">
      <alignment horizontal="left" vertical="top" wrapText="1"/>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7" fillId="10" borderId="8" xfId="0" applyFont="1" applyFill="1" applyBorder="1" applyAlignment="1">
      <alignment horizontal="left" vertical="top" wrapText="1"/>
    </xf>
    <xf numFmtId="0" fontId="7" fillId="10" borderId="9" xfId="0" applyFont="1" applyFill="1" applyBorder="1" applyAlignment="1">
      <alignment horizontal="left" vertical="top" wrapText="1"/>
    </xf>
    <xf numFmtId="0" fontId="7" fillId="10" borderId="10" xfId="0" applyFont="1" applyFill="1" applyBorder="1" applyAlignment="1">
      <alignment horizontal="left" vertical="top" wrapText="1"/>
    </xf>
    <xf numFmtId="0" fontId="2" fillId="10" borderId="8" xfId="0" applyFont="1" applyFill="1" applyBorder="1" applyAlignment="1">
      <alignment horizontal="left" vertical="center"/>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7" fillId="10" borderId="1" xfId="0" applyFont="1" applyFill="1" applyBorder="1" applyAlignment="1">
      <alignment horizontal="left" vertical="top" wrapText="1"/>
    </xf>
    <xf numFmtId="0" fontId="6" fillId="10" borderId="1" xfId="0" applyFont="1" applyFill="1" applyBorder="1" applyAlignment="1">
      <alignment horizontal="left" vertical="center"/>
    </xf>
    <xf numFmtId="0" fontId="5" fillId="10" borderId="8"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8" xfId="0" applyFont="1" applyFill="1" applyBorder="1" applyAlignment="1">
      <alignment horizontal="left" vertical="center"/>
    </xf>
    <xf numFmtId="0" fontId="5" fillId="10" borderId="10" xfId="0" applyFont="1" applyFill="1" applyBorder="1" applyAlignment="1">
      <alignment horizontal="left" vertical="center"/>
    </xf>
    <xf numFmtId="0" fontId="5" fillId="10" borderId="6" xfId="0" applyFont="1" applyFill="1" applyBorder="1" applyAlignment="1">
      <alignment horizontal="left" vertical="center"/>
    </xf>
    <xf numFmtId="0" fontId="5" fillId="10" borderId="7" xfId="0" applyFont="1" applyFill="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28" fillId="10" borderId="8" xfId="0" applyFont="1" applyFill="1" applyBorder="1" applyAlignment="1">
      <alignment horizontal="right" vertical="center"/>
    </xf>
    <xf numFmtId="0" fontId="28" fillId="10" borderId="10" xfId="0" applyFont="1" applyFill="1" applyBorder="1" applyAlignment="1">
      <alignment horizontal="right" vertical="center"/>
    </xf>
    <xf numFmtId="0" fontId="26" fillId="10" borderId="8" xfId="0" applyFont="1" applyFill="1" applyBorder="1" applyAlignment="1">
      <alignment horizontal="left" vertical="center"/>
    </xf>
    <xf numFmtId="0" fontId="26" fillId="10" borderId="10" xfId="0" applyFont="1" applyFill="1" applyBorder="1" applyAlignment="1">
      <alignment horizontal="left" vertical="center"/>
    </xf>
    <xf numFmtId="0" fontId="5" fillId="10" borderId="8" xfId="0" applyFont="1" applyFill="1" applyBorder="1" applyAlignment="1">
      <alignment horizontal="left"/>
    </xf>
    <xf numFmtId="0" fontId="5" fillId="10" borderId="10" xfId="0" applyFont="1" applyFill="1" applyBorder="1" applyAlignment="1">
      <alignment horizontal="left"/>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656565"/>
      <color rgb="FFA6A6A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openxmlformats.org/officeDocument/2006/relationships/printerSettings" Target="../printerSettings/printerSettings3.bin"/><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TRC_Reports/Ameren_IL/AIU_PY1_Cost-effectiveness_analysis_only.pdf" TargetMode="External"/><Relationship Id="rId6" Type="http://schemas.openxmlformats.org/officeDocument/2006/relationships/hyperlink" Target="http://ilsagfiles.org/SAG_files/Evaluation_Documents/TRC_Reports/DCEO/Department_of_Commerce_Cost_Effectiveness_Report_EPY7-GPY4_Final_Report.pdf" TargetMode="External"/><Relationship Id="rId5" Type="http://schemas.openxmlformats.org/officeDocument/2006/relationships/hyperlink" Target="https://www.icc.illinois.gov/downloads/public/edocket/501631.pdf" TargetMode="External"/><Relationship Id="rId4" Type="http://schemas.openxmlformats.org/officeDocument/2006/relationships/hyperlink" Target="https://www.icc.illinois.gov/downloads/public/edocket/50163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0"/>
  <sheetViews>
    <sheetView tabSelected="1" topLeftCell="A18" zoomScale="85" zoomScaleNormal="85" workbookViewId="0">
      <pane xSplit="2" ySplit="4" topLeftCell="C22" activePane="bottomRight" state="frozen"/>
      <selection pane="topRight" activeCell="C18" sqref="C18"/>
      <selection pane="bottomLeft" activeCell="A22" sqref="A22"/>
      <selection pane="bottomRight" activeCell="A18" sqref="A18"/>
    </sheetView>
  </sheetViews>
  <sheetFormatPr defaultColWidth="9.08984375" defaultRowHeight="14.5" x14ac:dyDescent="0.35"/>
  <cols>
    <col min="1" max="1" width="2.90625" style="64" customWidth="1"/>
    <col min="2" max="2" width="64.6328125" style="64" customWidth="1"/>
    <col min="3" max="12" width="17.6328125" style="64" customWidth="1"/>
    <col min="13" max="24" width="19.36328125" style="64" customWidth="1"/>
    <col min="25" max="16384" width="9.08984375" style="64"/>
  </cols>
  <sheetData>
    <row r="1" spans="2:24" x14ac:dyDescent="0.35">
      <c r="B1" s="65" t="s">
        <v>0</v>
      </c>
      <c r="C1" s="65"/>
    </row>
    <row r="2" spans="2:24" x14ac:dyDescent="0.35">
      <c r="B2" s="65" t="s">
        <v>1</v>
      </c>
      <c r="C2" s="65"/>
    </row>
    <row r="3" spans="2:24" x14ac:dyDescent="0.35">
      <c r="B3" s="65" t="s">
        <v>2</v>
      </c>
      <c r="C3" s="65"/>
    </row>
    <row r="4" spans="2:24" x14ac:dyDescent="0.35">
      <c r="B4" s="65"/>
      <c r="C4" s="65"/>
    </row>
    <row r="5" spans="2:24" ht="42" customHeight="1" x14ac:dyDescent="0.35">
      <c r="B5" s="281" t="s">
        <v>3</v>
      </c>
      <c r="C5" s="282"/>
      <c r="D5" s="282"/>
      <c r="E5" s="282"/>
      <c r="F5" s="282"/>
      <c r="G5" s="282"/>
      <c r="H5" s="282"/>
      <c r="I5" s="282"/>
      <c r="J5" s="282"/>
      <c r="K5" s="282"/>
      <c r="L5" s="282"/>
      <c r="M5" s="282"/>
      <c r="N5" s="282"/>
      <c r="O5" s="282"/>
      <c r="P5" s="282"/>
      <c r="Q5" s="282"/>
      <c r="R5" s="282"/>
      <c r="S5" s="282"/>
      <c r="T5" s="282"/>
      <c r="U5" s="282"/>
      <c r="V5" s="282"/>
      <c r="W5" s="282"/>
      <c r="X5" s="283"/>
    </row>
    <row r="6" spans="2:24" ht="23.15" customHeight="1" x14ac:dyDescent="0.35">
      <c r="B6" s="284"/>
      <c r="C6" s="285"/>
      <c r="D6" s="285"/>
      <c r="E6" s="285"/>
      <c r="F6" s="285"/>
      <c r="G6" s="285"/>
      <c r="H6" s="285"/>
      <c r="I6" s="285"/>
      <c r="J6" s="285"/>
      <c r="K6" s="285"/>
      <c r="L6" s="285"/>
      <c r="M6" s="285"/>
      <c r="N6" s="285"/>
      <c r="O6" s="285"/>
      <c r="P6" s="285"/>
      <c r="Q6" s="285"/>
      <c r="R6" s="285"/>
      <c r="S6" s="285"/>
      <c r="T6" s="285"/>
      <c r="U6" s="285"/>
      <c r="V6" s="285"/>
      <c r="W6" s="285"/>
      <c r="X6" s="286"/>
    </row>
    <row r="7" spans="2:24" x14ac:dyDescent="0.35">
      <c r="B7" s="104"/>
      <c r="C7" s="65"/>
    </row>
    <row r="8" spans="2:24" ht="14.4" customHeight="1" x14ac:dyDescent="0.35">
      <c r="B8" s="287" t="s">
        <v>4</v>
      </c>
      <c r="C8" s="287"/>
      <c r="D8" s="287"/>
      <c r="E8" s="287"/>
      <c r="F8" s="287"/>
      <c r="G8" s="287"/>
      <c r="H8" s="287"/>
      <c r="I8" s="287"/>
      <c r="J8" s="287"/>
      <c r="K8" s="287"/>
      <c r="L8" s="287"/>
      <c r="M8" s="287"/>
      <c r="N8" s="287"/>
      <c r="O8" s="287"/>
      <c r="P8" s="287"/>
      <c r="Q8" s="287"/>
      <c r="R8" s="287"/>
      <c r="S8" s="287"/>
      <c r="T8" s="287"/>
      <c r="U8" s="287"/>
      <c r="V8" s="287"/>
      <c r="W8" s="287"/>
      <c r="X8" s="287"/>
    </row>
    <row r="9" spans="2:24" ht="12.65" customHeight="1" x14ac:dyDescent="0.35">
      <c r="B9" s="287"/>
      <c r="C9" s="287"/>
      <c r="D9" s="287"/>
      <c r="E9" s="287"/>
      <c r="F9" s="287"/>
      <c r="G9" s="287"/>
      <c r="H9" s="287"/>
      <c r="I9" s="287"/>
      <c r="J9" s="287"/>
      <c r="K9" s="287"/>
      <c r="L9" s="287"/>
      <c r="M9" s="287"/>
      <c r="N9" s="287"/>
      <c r="O9" s="287"/>
      <c r="P9" s="287"/>
      <c r="Q9" s="287"/>
      <c r="R9" s="287"/>
      <c r="S9" s="287"/>
      <c r="T9" s="287"/>
      <c r="U9" s="287"/>
      <c r="V9" s="287"/>
      <c r="W9" s="287"/>
      <c r="X9" s="287"/>
    </row>
    <row r="10" spans="2:24" ht="15" customHeight="1" x14ac:dyDescent="0.35">
      <c r="B10" s="287"/>
      <c r="C10" s="287"/>
      <c r="D10" s="287"/>
      <c r="E10" s="287"/>
      <c r="F10" s="287"/>
      <c r="G10" s="287"/>
      <c r="H10" s="287"/>
      <c r="I10" s="287"/>
      <c r="J10" s="287"/>
      <c r="K10" s="287"/>
      <c r="L10" s="287"/>
      <c r="M10" s="287"/>
      <c r="N10" s="287"/>
      <c r="O10" s="287"/>
      <c r="P10" s="287"/>
      <c r="Q10" s="287"/>
      <c r="R10" s="287"/>
      <c r="S10" s="287"/>
      <c r="T10" s="287"/>
      <c r="U10" s="287"/>
      <c r="V10" s="287"/>
      <c r="W10" s="287"/>
      <c r="X10" s="287"/>
    </row>
    <row r="11" spans="2:24" ht="15" customHeight="1" x14ac:dyDescent="0.35">
      <c r="B11" s="287"/>
      <c r="C11" s="287"/>
      <c r="D11" s="287"/>
      <c r="E11" s="287"/>
      <c r="F11" s="287"/>
      <c r="G11" s="287"/>
      <c r="H11" s="287"/>
      <c r="I11" s="287"/>
      <c r="J11" s="287"/>
      <c r="K11" s="287"/>
      <c r="L11" s="287"/>
      <c r="M11" s="287"/>
      <c r="N11" s="287"/>
      <c r="O11" s="287"/>
      <c r="P11" s="287"/>
      <c r="Q11" s="287"/>
      <c r="R11" s="287"/>
      <c r="S11" s="287"/>
      <c r="T11" s="287"/>
      <c r="U11" s="287"/>
      <c r="V11" s="287"/>
      <c r="W11" s="287"/>
      <c r="X11" s="287"/>
    </row>
    <row r="12" spans="2:24" ht="15" customHeight="1" x14ac:dyDescent="0.35">
      <c r="B12" s="287"/>
      <c r="C12" s="287"/>
      <c r="D12" s="287"/>
      <c r="E12" s="287"/>
      <c r="F12" s="287"/>
      <c r="G12" s="287"/>
      <c r="H12" s="287"/>
      <c r="I12" s="287"/>
      <c r="J12" s="287"/>
      <c r="K12" s="287"/>
      <c r="L12" s="287"/>
      <c r="M12" s="287"/>
      <c r="N12" s="287"/>
      <c r="O12" s="287"/>
      <c r="P12" s="287"/>
      <c r="Q12" s="287"/>
      <c r="R12" s="287"/>
      <c r="S12" s="287"/>
      <c r="T12" s="287"/>
      <c r="U12" s="287"/>
      <c r="V12" s="287"/>
      <c r="W12" s="287"/>
      <c r="X12" s="287"/>
    </row>
    <row r="13" spans="2:24" ht="15" customHeight="1" x14ac:dyDescent="0.35">
      <c r="B13" s="287"/>
      <c r="C13" s="287"/>
      <c r="D13" s="287"/>
      <c r="E13" s="287"/>
      <c r="F13" s="287"/>
      <c r="G13" s="287"/>
      <c r="H13" s="287"/>
      <c r="I13" s="287"/>
      <c r="J13" s="287"/>
      <c r="K13" s="287"/>
      <c r="L13" s="287"/>
      <c r="M13" s="287"/>
      <c r="N13" s="287"/>
      <c r="O13" s="287"/>
      <c r="P13" s="287"/>
      <c r="Q13" s="287"/>
      <c r="R13" s="287"/>
      <c r="S13" s="287"/>
      <c r="T13" s="287"/>
      <c r="U13" s="287"/>
      <c r="V13" s="287"/>
      <c r="W13" s="287"/>
      <c r="X13" s="287"/>
    </row>
    <row r="14" spans="2:24" ht="17.399999999999999" customHeight="1" x14ac:dyDescent="0.35">
      <c r="B14" s="287"/>
      <c r="C14" s="287"/>
      <c r="D14" s="287"/>
      <c r="E14" s="287"/>
      <c r="F14" s="287"/>
      <c r="G14" s="287"/>
      <c r="H14" s="287"/>
      <c r="I14" s="287"/>
      <c r="J14" s="287"/>
      <c r="K14" s="287"/>
      <c r="L14" s="287"/>
      <c r="M14" s="287"/>
      <c r="N14" s="287"/>
      <c r="O14" s="287"/>
      <c r="P14" s="287"/>
      <c r="Q14" s="287"/>
      <c r="R14" s="287"/>
      <c r="S14" s="287"/>
      <c r="T14" s="287"/>
      <c r="U14" s="287"/>
      <c r="V14" s="287"/>
      <c r="W14" s="287"/>
      <c r="X14" s="287"/>
    </row>
    <row r="15" spans="2:24" ht="17.399999999999999" customHeight="1" x14ac:dyDescent="0.35">
      <c r="B15" s="287"/>
      <c r="C15" s="287"/>
      <c r="D15" s="287"/>
      <c r="E15" s="287"/>
      <c r="F15" s="287"/>
      <c r="G15" s="287"/>
      <c r="H15" s="287"/>
      <c r="I15" s="287"/>
      <c r="J15" s="287"/>
      <c r="K15" s="287"/>
      <c r="L15" s="287"/>
      <c r="M15" s="287"/>
      <c r="N15" s="287"/>
      <c r="O15" s="287"/>
      <c r="P15" s="287"/>
      <c r="Q15" s="287"/>
      <c r="R15" s="287"/>
      <c r="S15" s="287"/>
      <c r="T15" s="287"/>
      <c r="U15" s="287"/>
      <c r="V15" s="287"/>
      <c r="W15" s="287"/>
      <c r="X15" s="287"/>
    </row>
    <row r="16" spans="2:24" ht="44.15" customHeight="1" x14ac:dyDescent="0.35">
      <c r="B16" s="287"/>
      <c r="C16" s="287"/>
      <c r="D16" s="287"/>
      <c r="E16" s="287"/>
      <c r="F16" s="287"/>
      <c r="G16" s="287"/>
      <c r="H16" s="287"/>
      <c r="I16" s="287"/>
      <c r="J16" s="287"/>
      <c r="K16" s="287"/>
      <c r="L16" s="287"/>
      <c r="M16" s="287"/>
      <c r="N16" s="287"/>
      <c r="O16" s="287"/>
      <c r="P16" s="287"/>
      <c r="Q16" s="287"/>
      <c r="R16" s="287"/>
      <c r="S16" s="287"/>
      <c r="T16" s="287"/>
      <c r="U16" s="287"/>
      <c r="V16" s="287"/>
      <c r="W16" s="287"/>
      <c r="X16" s="287"/>
    </row>
    <row r="17" spans="1:24" ht="17.399999999999999" customHeight="1" x14ac:dyDescent="0.35">
      <c r="B17" s="78"/>
      <c r="C17" s="78"/>
      <c r="D17" s="78"/>
      <c r="E17" s="78"/>
      <c r="F17" s="78"/>
      <c r="G17" s="78"/>
      <c r="H17" s="78"/>
      <c r="I17" s="78"/>
      <c r="J17" s="78"/>
      <c r="K17" s="78"/>
      <c r="L17" s="78"/>
      <c r="M17" s="78"/>
      <c r="N17" s="78"/>
      <c r="O17" s="78"/>
      <c r="P17" s="78"/>
      <c r="Q17" s="78"/>
      <c r="R17" s="78"/>
      <c r="S17" s="78"/>
      <c r="T17" s="78"/>
      <c r="U17" s="78"/>
      <c r="V17" s="78"/>
      <c r="W17" s="78"/>
      <c r="X17" s="78"/>
    </row>
    <row r="18" spans="1:24" ht="17.399999999999999" customHeight="1" x14ac:dyDescent="0.35">
      <c r="A18" s="64" t="s">
        <v>265</v>
      </c>
      <c r="B18" s="105" t="s">
        <v>5</v>
      </c>
      <c r="C18" s="78"/>
      <c r="D18" s="78"/>
      <c r="E18" s="78"/>
      <c r="F18" s="78"/>
      <c r="G18" s="78"/>
      <c r="H18" s="78"/>
      <c r="I18" s="78"/>
      <c r="J18" s="78"/>
      <c r="K18" s="78"/>
      <c r="L18" s="78"/>
      <c r="M18" s="78"/>
      <c r="N18" s="78"/>
      <c r="O18" s="78"/>
      <c r="P18" s="78"/>
      <c r="Q18" s="78"/>
      <c r="R18" s="78"/>
      <c r="S18" s="78"/>
      <c r="T18" s="78"/>
      <c r="U18" s="78"/>
      <c r="V18" s="78"/>
      <c r="W18" s="78"/>
      <c r="X18" s="78"/>
    </row>
    <row r="19" spans="1:24" ht="17.399999999999999" customHeight="1" thickBot="1" x14ac:dyDescent="0.4">
      <c r="B19" s="105"/>
      <c r="C19" s="78"/>
      <c r="D19" s="78"/>
      <c r="E19" s="78"/>
      <c r="F19" s="78"/>
      <c r="G19" s="78"/>
      <c r="H19" s="78"/>
      <c r="I19" s="78"/>
      <c r="J19" s="78"/>
      <c r="K19" s="78"/>
      <c r="L19" s="78"/>
      <c r="M19" s="78"/>
      <c r="N19" s="78"/>
      <c r="O19" s="78"/>
      <c r="P19" s="78"/>
      <c r="Q19" s="78"/>
      <c r="R19" s="78"/>
      <c r="S19" s="78"/>
      <c r="T19" s="78"/>
      <c r="U19" s="78"/>
      <c r="V19" s="78"/>
      <c r="W19" s="78"/>
      <c r="X19" s="78"/>
    </row>
    <row r="20" spans="1:24" ht="16.399999999999999" customHeight="1" thickBot="1" x14ac:dyDescent="0.4">
      <c r="B20" s="78"/>
      <c r="C20" s="300" t="s">
        <v>6</v>
      </c>
      <c r="D20" s="301"/>
      <c r="E20" s="301"/>
      <c r="F20" s="301"/>
      <c r="G20" s="301"/>
      <c r="H20" s="300" t="s">
        <v>7</v>
      </c>
      <c r="I20" s="301"/>
      <c r="J20" s="301"/>
      <c r="K20" s="301"/>
      <c r="L20" s="302"/>
      <c r="M20" s="300" t="s">
        <v>8</v>
      </c>
      <c r="N20" s="301"/>
      <c r="O20" s="301"/>
      <c r="P20" s="301"/>
      <c r="Q20" s="301"/>
      <c r="R20" s="302"/>
      <c r="S20" s="300" t="s">
        <v>9</v>
      </c>
      <c r="T20" s="301"/>
      <c r="U20" s="301"/>
      <c r="V20" s="301"/>
      <c r="W20" s="301"/>
      <c r="X20" s="302"/>
    </row>
    <row r="21" spans="1:24" s="106" customFormat="1" ht="62.5" x14ac:dyDescent="0.3">
      <c r="B21" s="191" t="s">
        <v>10</v>
      </c>
      <c r="C21" s="11" t="s">
        <v>11</v>
      </c>
      <c r="D21" s="10" t="s">
        <v>12</v>
      </c>
      <c r="E21" s="10" t="s">
        <v>13</v>
      </c>
      <c r="F21" s="10" t="s">
        <v>14</v>
      </c>
      <c r="G21" s="190" t="s">
        <v>15</v>
      </c>
      <c r="H21" s="32" t="s">
        <v>11</v>
      </c>
      <c r="I21" s="4" t="s">
        <v>12</v>
      </c>
      <c r="J21" s="4" t="s">
        <v>13</v>
      </c>
      <c r="K21" s="4" t="s">
        <v>14</v>
      </c>
      <c r="L21" s="276" t="s">
        <v>15</v>
      </c>
      <c r="M21" s="277" t="s">
        <v>16</v>
      </c>
      <c r="N21" s="278" t="s">
        <v>17</v>
      </c>
      <c r="O21" s="278" t="s">
        <v>18</v>
      </c>
      <c r="P21" s="278" t="s">
        <v>19</v>
      </c>
      <c r="Q21" s="278" t="s">
        <v>20</v>
      </c>
      <c r="R21" s="261" t="s">
        <v>21</v>
      </c>
      <c r="S21" s="277" t="s">
        <v>16</v>
      </c>
      <c r="T21" s="278" t="s">
        <v>17</v>
      </c>
      <c r="U21" s="278" t="s">
        <v>18</v>
      </c>
      <c r="V21" s="278" t="s">
        <v>19</v>
      </c>
      <c r="W21" s="278" t="s">
        <v>20</v>
      </c>
      <c r="X21" s="261" t="s">
        <v>21</v>
      </c>
    </row>
    <row r="22" spans="1:24" s="107" customFormat="1" ht="15.65" customHeight="1" x14ac:dyDescent="0.35">
      <c r="B22" s="192" t="s">
        <v>22</v>
      </c>
      <c r="C22" s="148"/>
      <c r="D22" s="149"/>
      <c r="E22" s="149"/>
      <c r="F22" s="149"/>
      <c r="G22" s="149"/>
      <c r="H22" s="148"/>
      <c r="I22" s="149"/>
      <c r="J22" s="149"/>
      <c r="K22" s="149"/>
      <c r="L22" s="149"/>
      <c r="M22" s="148"/>
      <c r="N22" s="149"/>
      <c r="O22" s="149"/>
      <c r="P22" s="149"/>
      <c r="Q22" s="149"/>
      <c r="R22" s="150"/>
      <c r="S22" s="148"/>
      <c r="T22" s="149"/>
      <c r="U22" s="149"/>
      <c r="V22" s="149"/>
      <c r="W22" s="149"/>
      <c r="X22" s="150"/>
    </row>
    <row r="23" spans="1:24" s="114" customFormat="1" x14ac:dyDescent="0.35">
      <c r="B23" s="193" t="s">
        <v>23</v>
      </c>
      <c r="C23" s="108">
        <v>12623</v>
      </c>
      <c r="D23" s="109">
        <v>105682</v>
      </c>
      <c r="E23" s="109">
        <v>105682</v>
      </c>
      <c r="F23" s="109">
        <v>118547</v>
      </c>
      <c r="G23" s="157">
        <f>IF(F23=0,"NA",C23/F23)</f>
        <v>0.10648097379098585</v>
      </c>
      <c r="H23" s="111">
        <v>116239.39</v>
      </c>
      <c r="I23" s="109">
        <v>232515</v>
      </c>
      <c r="J23" s="109">
        <f>155291+71888</f>
        <v>227179</v>
      </c>
      <c r="K23" s="109">
        <v>500938</v>
      </c>
      <c r="L23" s="157">
        <f>IF(K23=0,"NA",H23/K23)</f>
        <v>0.23204346645692681</v>
      </c>
      <c r="M23" s="112">
        <f>SUM(N23:O23)</f>
        <v>4415834.49</v>
      </c>
      <c r="N23" s="113">
        <v>2208586.8199999998</v>
      </c>
      <c r="O23" s="113">
        <v>2207247.67</v>
      </c>
      <c r="P23" s="113">
        <v>30343708.919999998</v>
      </c>
      <c r="Q23" s="113">
        <v>30307860.380000003</v>
      </c>
      <c r="R23" s="110">
        <f>IF(Q23=0,"NA",(M23/Q23))</f>
        <v>0.14569931478613998</v>
      </c>
      <c r="S23" s="112">
        <f>SUM(T23:U23)</f>
        <v>259750.68</v>
      </c>
      <c r="T23" s="113">
        <v>124891.96</v>
      </c>
      <c r="U23" s="113">
        <v>134858.72</v>
      </c>
      <c r="V23" s="113">
        <f>1121242.71+265083.92</f>
        <v>1386326.63</v>
      </c>
      <c r="W23" s="113">
        <v>1316564.22</v>
      </c>
      <c r="X23" s="110">
        <f>IF(W23=0,"NA",(S23/W23))</f>
        <v>0.19729434846710325</v>
      </c>
    </row>
    <row r="24" spans="1:24" s="114" customFormat="1" x14ac:dyDescent="0.35">
      <c r="B24" s="193" t="s">
        <v>24</v>
      </c>
      <c r="C24" s="108">
        <v>10641</v>
      </c>
      <c r="D24" s="109">
        <v>21072</v>
      </c>
      <c r="E24" s="109">
        <v>21072</v>
      </c>
      <c r="F24" s="109">
        <v>24943</v>
      </c>
      <c r="G24" s="157">
        <f t="shared" ref="G24:G72" si="0">IF(F24=0,"NA",C24/F24)</f>
        <v>0.42661267690333959</v>
      </c>
      <c r="H24" s="111">
        <v>28996.93</v>
      </c>
      <c r="I24" s="109">
        <v>12820</v>
      </c>
      <c r="J24" s="109">
        <v>90290</v>
      </c>
      <c r="K24" s="109">
        <v>12820</v>
      </c>
      <c r="L24" s="157">
        <f t="shared" ref="L24:L72" si="1">IF(K24=0,"NA",H24/K24)</f>
        <v>2.2618510140405617</v>
      </c>
      <c r="M24" s="112">
        <f t="shared" ref="M24:M72" si="2">SUM(N24:O24)</f>
        <v>1077053.96</v>
      </c>
      <c r="N24" s="113">
        <v>960961.5</v>
      </c>
      <c r="O24" s="113">
        <v>116092.45999999999</v>
      </c>
      <c r="P24" s="113">
        <v>4013370.9401345178</v>
      </c>
      <c r="Q24" s="113">
        <v>4069745.34</v>
      </c>
      <c r="R24" s="110">
        <f t="shared" ref="R24:R72" si="3">IF(Q24=0,"NA",(M24/Q24))</f>
        <v>0.26464898169770984</v>
      </c>
      <c r="S24" s="112">
        <f t="shared" ref="S24:S72" si="4">SUM(T24:U24)</f>
        <v>10115.51</v>
      </c>
      <c r="T24" s="113">
        <v>6048</v>
      </c>
      <c r="U24" s="113">
        <v>4067.51</v>
      </c>
      <c r="V24" s="113">
        <v>113154.31</v>
      </c>
      <c r="W24" s="113">
        <v>115015.99</v>
      </c>
      <c r="X24" s="110">
        <f t="shared" ref="X24:X72" si="5">IF(W24=0,"NA",(S24/W24))</f>
        <v>8.794872782471376E-2</v>
      </c>
    </row>
    <row r="25" spans="1:24" s="114" customFormat="1" x14ac:dyDescent="0.35">
      <c r="B25" s="193" t="s">
        <v>25</v>
      </c>
      <c r="C25" s="108">
        <v>0</v>
      </c>
      <c r="D25" s="109">
        <v>455</v>
      </c>
      <c r="E25" s="109">
        <v>455</v>
      </c>
      <c r="F25" s="109">
        <v>455</v>
      </c>
      <c r="G25" s="157">
        <f t="shared" si="0"/>
        <v>0</v>
      </c>
      <c r="H25" s="111">
        <v>0</v>
      </c>
      <c r="I25" s="109">
        <v>77453</v>
      </c>
      <c r="J25" s="109">
        <v>0</v>
      </c>
      <c r="K25" s="109">
        <v>77453</v>
      </c>
      <c r="L25" s="157">
        <f t="shared" si="1"/>
        <v>0</v>
      </c>
      <c r="M25" s="112">
        <f t="shared" si="2"/>
        <v>0</v>
      </c>
      <c r="N25" s="113">
        <v>0</v>
      </c>
      <c r="O25" s="113">
        <v>0</v>
      </c>
      <c r="P25" s="113">
        <v>103918.25</v>
      </c>
      <c r="Q25" s="113">
        <v>103918</v>
      </c>
      <c r="R25" s="110">
        <f t="shared" si="3"/>
        <v>0</v>
      </c>
      <c r="S25" s="112">
        <f t="shared" si="4"/>
        <v>1094.58</v>
      </c>
      <c r="T25" s="113">
        <v>0</v>
      </c>
      <c r="U25" s="113">
        <v>1094.58</v>
      </c>
      <c r="V25" s="113">
        <v>154510.57</v>
      </c>
      <c r="W25" s="113">
        <v>158233.97</v>
      </c>
      <c r="X25" s="110">
        <f t="shared" si="5"/>
        <v>6.9174779600107358E-3</v>
      </c>
    </row>
    <row r="26" spans="1:24" s="114" customFormat="1" x14ac:dyDescent="0.35">
      <c r="B26" s="193" t="s">
        <v>26</v>
      </c>
      <c r="C26" s="108">
        <v>5607</v>
      </c>
      <c r="D26" s="109">
        <v>35000</v>
      </c>
      <c r="E26" s="109">
        <v>35000</v>
      </c>
      <c r="F26" s="109">
        <v>39277</v>
      </c>
      <c r="G26" s="157">
        <f t="shared" si="0"/>
        <v>0.1427553020851898</v>
      </c>
      <c r="H26" s="111">
        <v>8609.36</v>
      </c>
      <c r="I26" s="109">
        <v>836000</v>
      </c>
      <c r="J26" s="109">
        <v>745051</v>
      </c>
      <c r="K26" s="109">
        <v>1248628</v>
      </c>
      <c r="L26" s="157">
        <f t="shared" si="1"/>
        <v>6.8950560134803966E-3</v>
      </c>
      <c r="M26" s="112">
        <f t="shared" si="2"/>
        <v>2055646.5</v>
      </c>
      <c r="N26" s="113">
        <v>1156950.57</v>
      </c>
      <c r="O26" s="113">
        <v>898695.93</v>
      </c>
      <c r="P26" s="113">
        <v>11628522.029999999</v>
      </c>
      <c r="Q26" s="113">
        <v>12808407.939999999</v>
      </c>
      <c r="R26" s="110">
        <f t="shared" si="3"/>
        <v>0.16049196040831287</v>
      </c>
      <c r="S26" s="112">
        <f t="shared" si="4"/>
        <v>329718.38</v>
      </c>
      <c r="T26" s="113">
        <v>25697.25</v>
      </c>
      <c r="U26" s="113">
        <v>304021.13</v>
      </c>
      <c r="V26" s="113">
        <v>2290896.23</v>
      </c>
      <c r="W26" s="113">
        <v>3066308.1100000003</v>
      </c>
      <c r="X26" s="110">
        <f t="shared" si="5"/>
        <v>0.10752943545519957</v>
      </c>
    </row>
    <row r="27" spans="1:24" s="114" customFormat="1" x14ac:dyDescent="0.35">
      <c r="B27" s="193" t="s">
        <v>27</v>
      </c>
      <c r="C27" s="108">
        <v>1403</v>
      </c>
      <c r="D27" s="109">
        <v>4743</v>
      </c>
      <c r="E27" s="109">
        <v>4743</v>
      </c>
      <c r="F27" s="109">
        <v>5976</v>
      </c>
      <c r="G27" s="157">
        <f t="shared" si="0"/>
        <v>0.23477242302543508</v>
      </c>
      <c r="H27" s="111">
        <v>0</v>
      </c>
      <c r="I27" s="109">
        <v>52000</v>
      </c>
      <c r="J27" s="109">
        <v>59610</v>
      </c>
      <c r="K27" s="109">
        <v>56331</v>
      </c>
      <c r="L27" s="157">
        <f t="shared" si="1"/>
        <v>0</v>
      </c>
      <c r="M27" s="112">
        <f t="shared" si="2"/>
        <v>444064.71</v>
      </c>
      <c r="N27" s="113">
        <v>61000</v>
      </c>
      <c r="O27" s="113">
        <v>383064.71</v>
      </c>
      <c r="P27" s="113">
        <v>1453882.23</v>
      </c>
      <c r="Q27" s="113">
        <v>1299044.3400000001</v>
      </c>
      <c r="R27" s="110">
        <f t="shared" si="3"/>
        <v>0.34183953259055039</v>
      </c>
      <c r="S27" s="112">
        <f t="shared" si="4"/>
        <v>75484.63</v>
      </c>
      <c r="T27" s="113">
        <v>0</v>
      </c>
      <c r="U27" s="113">
        <v>75484.63</v>
      </c>
      <c r="V27" s="113">
        <v>553147.6</v>
      </c>
      <c r="W27" s="113">
        <v>342841.1</v>
      </c>
      <c r="X27" s="110">
        <f t="shared" si="5"/>
        <v>0.22017380646602758</v>
      </c>
    </row>
    <row r="28" spans="1:24" s="114" customFormat="1" x14ac:dyDescent="0.35">
      <c r="B28" s="193" t="s">
        <v>28</v>
      </c>
      <c r="C28" s="108">
        <v>5826</v>
      </c>
      <c r="D28" s="109">
        <v>15131</v>
      </c>
      <c r="E28" s="109">
        <v>15131</v>
      </c>
      <c r="F28" s="109">
        <v>19967</v>
      </c>
      <c r="G28" s="157">
        <f t="shared" si="0"/>
        <v>0.2917814393749687</v>
      </c>
      <c r="H28" s="111">
        <v>0</v>
      </c>
      <c r="I28" s="109">
        <v>0</v>
      </c>
      <c r="J28" s="109">
        <v>0</v>
      </c>
      <c r="K28" s="109">
        <v>0</v>
      </c>
      <c r="L28" s="157" t="str">
        <f t="shared" si="1"/>
        <v>NA</v>
      </c>
      <c r="M28" s="112">
        <f t="shared" si="2"/>
        <v>31466.17</v>
      </c>
      <c r="N28" s="113">
        <v>9065.25</v>
      </c>
      <c r="O28" s="113">
        <v>22400.92</v>
      </c>
      <c r="P28" s="113">
        <f>260496.92+1257558.31</f>
        <v>1518055.23</v>
      </c>
      <c r="Q28" s="113">
        <v>1464087.23</v>
      </c>
      <c r="R28" s="110">
        <f t="shared" si="3"/>
        <v>2.1492004953830517E-2</v>
      </c>
      <c r="S28" s="112">
        <f t="shared" si="4"/>
        <v>0</v>
      </c>
      <c r="T28" s="113">
        <v>0</v>
      </c>
      <c r="U28" s="113">
        <v>0</v>
      </c>
      <c r="V28" s="113">
        <v>0</v>
      </c>
      <c r="W28" s="113">
        <v>0</v>
      </c>
      <c r="X28" s="110" t="str">
        <f t="shared" si="5"/>
        <v>NA</v>
      </c>
    </row>
    <row r="29" spans="1:24" s="114" customFormat="1" x14ac:dyDescent="0.35">
      <c r="B29" s="193" t="s">
        <v>29</v>
      </c>
      <c r="C29" s="108">
        <v>0</v>
      </c>
      <c r="D29" s="109">
        <v>269</v>
      </c>
      <c r="E29" s="109">
        <v>269</v>
      </c>
      <c r="F29" s="109">
        <v>296</v>
      </c>
      <c r="G29" s="157">
        <f t="shared" si="0"/>
        <v>0</v>
      </c>
      <c r="H29" s="111">
        <v>0</v>
      </c>
      <c r="I29" s="109">
        <v>0</v>
      </c>
      <c r="J29" s="109">
        <v>0</v>
      </c>
      <c r="K29" s="109">
        <v>0</v>
      </c>
      <c r="L29" s="157" t="str">
        <f t="shared" si="1"/>
        <v>NA</v>
      </c>
      <c r="M29" s="112">
        <f t="shared" si="2"/>
        <v>323.63</v>
      </c>
      <c r="N29" s="113">
        <v>0</v>
      </c>
      <c r="O29" s="113">
        <v>323.63</v>
      </c>
      <c r="P29" s="113">
        <v>240650</v>
      </c>
      <c r="Q29" s="113">
        <v>241902.76</v>
      </c>
      <c r="R29" s="110">
        <f t="shared" si="3"/>
        <v>1.3378516226933499E-3</v>
      </c>
      <c r="S29" s="112">
        <f t="shared" si="4"/>
        <v>0</v>
      </c>
      <c r="T29" s="113">
        <v>0</v>
      </c>
      <c r="U29" s="113">
        <v>0</v>
      </c>
      <c r="V29" s="113">
        <v>0</v>
      </c>
      <c r="W29" s="113">
        <v>10500</v>
      </c>
      <c r="X29" s="110">
        <f t="shared" si="5"/>
        <v>0</v>
      </c>
    </row>
    <row r="30" spans="1:24" s="114" customFormat="1" x14ac:dyDescent="0.35">
      <c r="B30" s="193"/>
      <c r="C30" s="115"/>
      <c r="D30" s="109"/>
      <c r="E30" s="109"/>
      <c r="F30" s="109"/>
      <c r="G30" s="157"/>
      <c r="H30" s="116"/>
      <c r="I30" s="117"/>
      <c r="J30" s="117"/>
      <c r="K30" s="117"/>
      <c r="L30" s="157"/>
      <c r="M30" s="118"/>
      <c r="N30" s="119"/>
      <c r="O30" s="119"/>
      <c r="P30" s="119"/>
      <c r="Q30" s="119"/>
      <c r="R30" s="110"/>
      <c r="S30" s="118"/>
      <c r="T30" s="119"/>
      <c r="U30" s="119"/>
      <c r="V30" s="119"/>
      <c r="W30" s="119"/>
      <c r="X30" s="110"/>
    </row>
    <row r="31" spans="1:24" s="107" customFormat="1" x14ac:dyDescent="0.35">
      <c r="B31" s="194" t="s">
        <v>30</v>
      </c>
      <c r="C31" s="18">
        <f>SUM(C23:C30)</f>
        <v>36100</v>
      </c>
      <c r="D31" s="19">
        <f>SUM(D23:D30)</f>
        <v>182352</v>
      </c>
      <c r="E31" s="19">
        <f>SUM(E23:E30)</f>
        <v>182352</v>
      </c>
      <c r="F31" s="19">
        <f>SUM(F23:F30)</f>
        <v>209461</v>
      </c>
      <c r="G31" s="158">
        <f t="shared" si="0"/>
        <v>0.17234711951150811</v>
      </c>
      <c r="H31" s="18">
        <f>SUM(H23:H30)</f>
        <v>153845.68</v>
      </c>
      <c r="I31" s="19">
        <f>SUM(I23:I30)</f>
        <v>1210788</v>
      </c>
      <c r="J31" s="19">
        <f>SUM(J23:J30)</f>
        <v>1122130</v>
      </c>
      <c r="K31" s="19">
        <f>SUM(K23:K30)</f>
        <v>1896170</v>
      </c>
      <c r="L31" s="158">
        <f t="shared" ref="L31" si="6">IF(K31=0,"NA",H31/K31)</f>
        <v>8.1134961527711116E-2</v>
      </c>
      <c r="M31" s="25">
        <f t="shared" si="2"/>
        <v>8024389.459999999</v>
      </c>
      <c r="N31" s="29">
        <f>SUM(N23:N30)</f>
        <v>4396564.1399999997</v>
      </c>
      <c r="O31" s="29">
        <f>SUM(O23:O30)</f>
        <v>3627825.32</v>
      </c>
      <c r="P31" s="29">
        <f>SUM(P23:P30)</f>
        <v>49302107.600134507</v>
      </c>
      <c r="Q31" s="29">
        <f>SUM(Q23:Q30)</f>
        <v>50294965.989999995</v>
      </c>
      <c r="R31" s="13">
        <f t="shared" si="3"/>
        <v>0.15954657294321395</v>
      </c>
      <c r="S31" s="25">
        <f t="shared" si="4"/>
        <v>676163.78</v>
      </c>
      <c r="T31" s="29">
        <f>SUM(T23:T30)</f>
        <v>156637.21000000002</v>
      </c>
      <c r="U31" s="29">
        <f>SUM(U23:U30)</f>
        <v>519526.57</v>
      </c>
      <c r="V31" s="29">
        <f>SUM(V23:V30)</f>
        <v>4498035.34</v>
      </c>
      <c r="W31" s="29">
        <f>SUM(W23:W30)</f>
        <v>5009463.3899999997</v>
      </c>
      <c r="X31" s="13">
        <f t="shared" si="5"/>
        <v>0.13497728745752946</v>
      </c>
    </row>
    <row r="32" spans="1:24" x14ac:dyDescent="0.35">
      <c r="B32" s="195" t="s">
        <v>31</v>
      </c>
      <c r="C32" s="16">
        <v>31908</v>
      </c>
      <c r="D32" s="17">
        <v>152335.7938953535</v>
      </c>
      <c r="E32" s="17">
        <v>152335.7938953535</v>
      </c>
      <c r="F32" s="17">
        <v>169768</v>
      </c>
      <c r="G32" s="159">
        <f t="shared" si="0"/>
        <v>0.18795061495688234</v>
      </c>
      <c r="H32" s="33">
        <v>122067.68</v>
      </c>
      <c r="I32" s="24">
        <v>1408388</v>
      </c>
      <c r="J32" s="24">
        <v>1408388</v>
      </c>
      <c r="K32" s="24">
        <v>1408388</v>
      </c>
      <c r="L32" s="159">
        <f t="shared" si="1"/>
        <v>8.667191143349702E-2</v>
      </c>
      <c r="M32" s="34">
        <f t="shared" si="2"/>
        <v>6934680.8499999996</v>
      </c>
      <c r="N32" s="28">
        <v>3825927.92</v>
      </c>
      <c r="O32" s="28">
        <v>3108752.93</v>
      </c>
      <c r="P32" s="28">
        <v>42955075.593373418</v>
      </c>
      <c r="Q32" s="28">
        <v>41985860.174852371</v>
      </c>
      <c r="R32" s="12">
        <f t="shared" si="3"/>
        <v>0.16516705436354404</v>
      </c>
      <c r="S32" s="34">
        <f t="shared" si="4"/>
        <v>507217.48</v>
      </c>
      <c r="T32" s="28">
        <v>121444.3</v>
      </c>
      <c r="U32" s="28">
        <v>385773.18</v>
      </c>
      <c r="V32" s="28">
        <v>3085142.0782404458</v>
      </c>
      <c r="W32" s="28">
        <v>3004677.229488234</v>
      </c>
      <c r="X32" s="12">
        <f t="shared" si="5"/>
        <v>0.16880930671092109</v>
      </c>
    </row>
    <row r="33" spans="2:24" x14ac:dyDescent="0.35">
      <c r="B33" s="195" t="s">
        <v>32</v>
      </c>
      <c r="C33" s="16">
        <v>4192</v>
      </c>
      <c r="D33" s="17">
        <v>30016.206104646484</v>
      </c>
      <c r="E33" s="17">
        <v>30016.206104646484</v>
      </c>
      <c r="F33" s="17">
        <v>39693</v>
      </c>
      <c r="G33" s="159">
        <f t="shared" si="0"/>
        <v>0.10561056105610561</v>
      </c>
      <c r="H33" s="33">
        <v>31778</v>
      </c>
      <c r="I33" s="24">
        <v>487782</v>
      </c>
      <c r="J33" s="24">
        <v>487782</v>
      </c>
      <c r="K33" s="24">
        <v>487782</v>
      </c>
      <c r="L33" s="159">
        <f t="shared" si="1"/>
        <v>6.5147955439110089E-2</v>
      </c>
      <c r="M33" s="34">
        <f t="shared" si="2"/>
        <v>1089708.6099999999</v>
      </c>
      <c r="N33" s="28">
        <v>570636.22</v>
      </c>
      <c r="O33" s="28">
        <v>519072.39</v>
      </c>
      <c r="P33" s="28">
        <v>6347032.0063238721</v>
      </c>
      <c r="Q33" s="28">
        <v>8309105.815147629</v>
      </c>
      <c r="R33" s="12">
        <f t="shared" si="3"/>
        <v>0.13114631516828731</v>
      </c>
      <c r="S33" s="34">
        <f t="shared" si="4"/>
        <v>168946.30000000002</v>
      </c>
      <c r="T33" s="28">
        <v>35192.910000000003</v>
      </c>
      <c r="U33" s="28">
        <v>133753.39000000001</v>
      </c>
      <c r="V33" s="28">
        <v>1412893.2568542052</v>
      </c>
      <c r="W33" s="28">
        <v>2004786.1605117654</v>
      </c>
      <c r="X33" s="12">
        <f t="shared" si="5"/>
        <v>8.4271481581293828E-2</v>
      </c>
    </row>
    <row r="34" spans="2:24" s="107" customFormat="1" ht="15.65" customHeight="1" x14ac:dyDescent="0.35">
      <c r="B34" s="196" t="s">
        <v>33</v>
      </c>
      <c r="C34" s="141"/>
      <c r="D34" s="142"/>
      <c r="E34" s="142"/>
      <c r="F34" s="142"/>
      <c r="G34" s="160"/>
      <c r="H34" s="144"/>
      <c r="I34" s="145"/>
      <c r="J34" s="142"/>
      <c r="K34" s="142"/>
      <c r="L34" s="160"/>
      <c r="M34" s="146"/>
      <c r="N34" s="147"/>
      <c r="O34" s="147"/>
      <c r="P34" s="147"/>
      <c r="Q34" s="147"/>
      <c r="R34" s="143"/>
      <c r="S34" s="146"/>
      <c r="T34" s="147"/>
      <c r="U34" s="147"/>
      <c r="V34" s="147"/>
      <c r="W34" s="147"/>
      <c r="X34" s="143"/>
    </row>
    <row r="35" spans="2:24" s="114" customFormat="1" x14ac:dyDescent="0.35">
      <c r="B35" s="193" t="s">
        <v>34</v>
      </c>
      <c r="C35" s="115">
        <v>23</v>
      </c>
      <c r="D35" s="117">
        <v>274.79886165948835</v>
      </c>
      <c r="E35" s="117">
        <v>274.79886165948835</v>
      </c>
      <c r="F35" s="117">
        <v>419</v>
      </c>
      <c r="G35" s="161">
        <f t="shared" si="0"/>
        <v>5.4892601431980909E-2</v>
      </c>
      <c r="H35" s="116">
        <v>3117</v>
      </c>
      <c r="I35" s="117">
        <v>77121</v>
      </c>
      <c r="J35" s="117">
        <v>62872</v>
      </c>
      <c r="K35" s="117">
        <v>37292</v>
      </c>
      <c r="L35" s="161">
        <f t="shared" si="1"/>
        <v>8.3583610425828597E-2</v>
      </c>
      <c r="M35" s="118">
        <f t="shared" si="2"/>
        <v>81184.790000000008</v>
      </c>
      <c r="N35" s="119">
        <v>18775</v>
      </c>
      <c r="O35" s="119">
        <v>62409.79</v>
      </c>
      <c r="P35" s="119">
        <v>574566.12719999999</v>
      </c>
      <c r="Q35" s="119">
        <v>445410.98</v>
      </c>
      <c r="R35" s="120">
        <f t="shared" si="3"/>
        <v>0.18226939533461886</v>
      </c>
      <c r="S35" s="118">
        <f t="shared" si="4"/>
        <v>38132.880000000005</v>
      </c>
      <c r="T35" s="119">
        <v>18688</v>
      </c>
      <c r="U35" s="119">
        <v>19444.88</v>
      </c>
      <c r="V35" s="119">
        <v>374686.57</v>
      </c>
      <c r="W35" s="119">
        <v>341302.28</v>
      </c>
      <c r="X35" s="120">
        <f t="shared" si="5"/>
        <v>0.11172758646675317</v>
      </c>
    </row>
    <row r="36" spans="2:24" s="114" customFormat="1" x14ac:dyDescent="0.35">
      <c r="B36" s="193" t="s">
        <v>35</v>
      </c>
      <c r="C36" s="115">
        <v>640</v>
      </c>
      <c r="D36" s="117">
        <v>1301.5521461027975</v>
      </c>
      <c r="E36" s="117">
        <v>1301.5521461027975</v>
      </c>
      <c r="F36" s="117">
        <v>1261</v>
      </c>
      <c r="G36" s="161">
        <f t="shared" si="0"/>
        <v>0.50753370340999204</v>
      </c>
      <c r="H36" s="116">
        <v>7875</v>
      </c>
      <c r="I36" s="117">
        <v>0</v>
      </c>
      <c r="J36" s="117">
        <v>0</v>
      </c>
      <c r="K36" s="117">
        <v>0</v>
      </c>
      <c r="L36" s="161" t="str">
        <f t="shared" si="1"/>
        <v>NA</v>
      </c>
      <c r="M36" s="118">
        <f t="shared" si="2"/>
        <v>304035.05</v>
      </c>
      <c r="N36" s="119">
        <v>199270</v>
      </c>
      <c r="O36" s="119">
        <v>104765.05</v>
      </c>
      <c r="P36" s="119">
        <v>833860.65551465843</v>
      </c>
      <c r="Q36" s="119">
        <v>845428.32000000007</v>
      </c>
      <c r="R36" s="120">
        <f t="shared" si="3"/>
        <v>0.35962250472044743</v>
      </c>
      <c r="S36" s="118">
        <f t="shared" si="4"/>
        <v>7909.76</v>
      </c>
      <c r="T36" s="119">
        <v>7330</v>
      </c>
      <c r="U36" s="119">
        <v>579.76</v>
      </c>
      <c r="V36" s="119">
        <v>0</v>
      </c>
      <c r="W36" s="119">
        <v>0</v>
      </c>
      <c r="X36" s="120" t="str">
        <f t="shared" si="5"/>
        <v>NA</v>
      </c>
    </row>
    <row r="37" spans="2:24" s="114" customFormat="1" x14ac:dyDescent="0.35">
      <c r="B37" s="193" t="s">
        <v>36</v>
      </c>
      <c r="C37" s="115">
        <v>0</v>
      </c>
      <c r="D37" s="117">
        <v>7809.6162879328567</v>
      </c>
      <c r="E37" s="117">
        <v>7809.6162879328567</v>
      </c>
      <c r="F37" s="117">
        <v>1187</v>
      </c>
      <c r="G37" s="161">
        <f t="shared" si="0"/>
        <v>0</v>
      </c>
      <c r="H37" s="116">
        <v>0</v>
      </c>
      <c r="I37" s="117">
        <v>54276</v>
      </c>
      <c r="J37" s="117">
        <v>50938</v>
      </c>
      <c r="K37" s="117">
        <v>17523</v>
      </c>
      <c r="L37" s="161">
        <f t="shared" si="1"/>
        <v>0</v>
      </c>
      <c r="M37" s="118">
        <f t="shared" si="2"/>
        <v>78985.89</v>
      </c>
      <c r="N37" s="119">
        <v>0</v>
      </c>
      <c r="O37" s="119">
        <v>78985.89</v>
      </c>
      <c r="P37" s="119">
        <f>429379.62+460728+2128906.39</f>
        <v>3019014.0100000002</v>
      </c>
      <c r="Q37" s="119">
        <v>794372.06</v>
      </c>
      <c r="R37" s="120">
        <f t="shared" si="3"/>
        <v>9.9431858164799991E-2</v>
      </c>
      <c r="S37" s="118">
        <f t="shared" si="4"/>
        <v>4950.4799999999996</v>
      </c>
      <c r="T37" s="119">
        <v>0</v>
      </c>
      <c r="U37" s="119">
        <v>4950.4799999999996</v>
      </c>
      <c r="V37" s="119">
        <f>152713+256744.19</f>
        <v>409457.19</v>
      </c>
      <c r="W37" s="119">
        <v>61509.490000000005</v>
      </c>
      <c r="X37" s="120">
        <f t="shared" si="5"/>
        <v>8.0483190480038103E-2</v>
      </c>
    </row>
    <row r="38" spans="2:24" s="114" customFormat="1" x14ac:dyDescent="0.35">
      <c r="B38" s="193" t="s">
        <v>37</v>
      </c>
      <c r="C38" s="115">
        <v>0</v>
      </c>
      <c r="D38" s="117">
        <v>2017.3933822927072</v>
      </c>
      <c r="E38" s="117">
        <v>2017.3933822927072</v>
      </c>
      <c r="F38" s="117">
        <v>2017</v>
      </c>
      <c r="G38" s="161">
        <f t="shared" si="0"/>
        <v>0</v>
      </c>
      <c r="H38" s="116">
        <v>0</v>
      </c>
      <c r="I38" s="117">
        <v>51962</v>
      </c>
      <c r="J38" s="117">
        <v>53665</v>
      </c>
      <c r="K38" s="117">
        <v>54946</v>
      </c>
      <c r="L38" s="161">
        <f t="shared" si="1"/>
        <v>0</v>
      </c>
      <c r="M38" s="118">
        <f t="shared" si="2"/>
        <v>2616.6</v>
      </c>
      <c r="N38" s="119">
        <v>0</v>
      </c>
      <c r="O38" s="119">
        <v>2616.6</v>
      </c>
      <c r="P38" s="119">
        <v>870396.95</v>
      </c>
      <c r="Q38" s="119">
        <v>881283.89</v>
      </c>
      <c r="R38" s="120">
        <f t="shared" si="3"/>
        <v>2.9690773083347749E-3</v>
      </c>
      <c r="S38" s="118">
        <f t="shared" si="4"/>
        <v>177.59</v>
      </c>
      <c r="T38" s="119">
        <v>0</v>
      </c>
      <c r="U38" s="119">
        <v>177.59</v>
      </c>
      <c r="V38" s="119">
        <v>117205.88</v>
      </c>
      <c r="W38" s="119">
        <v>117887.62</v>
      </c>
      <c r="X38" s="120">
        <f t="shared" si="5"/>
        <v>1.5064346875439509E-3</v>
      </c>
    </row>
    <row r="39" spans="2:24" s="114" customFormat="1" x14ac:dyDescent="0.35">
      <c r="B39" s="193" t="s">
        <v>38</v>
      </c>
      <c r="C39" s="115">
        <v>12435</v>
      </c>
      <c r="D39" s="117">
        <v>69337.223892573616</v>
      </c>
      <c r="E39" s="117">
        <v>69337.223892573616</v>
      </c>
      <c r="F39" s="117">
        <v>58582</v>
      </c>
      <c r="G39" s="161">
        <f t="shared" si="0"/>
        <v>0.2122665665221399</v>
      </c>
      <c r="H39" s="116">
        <v>18368</v>
      </c>
      <c r="I39" s="117">
        <v>721271</v>
      </c>
      <c r="J39" s="117">
        <v>822872</v>
      </c>
      <c r="K39" s="117">
        <v>515956</v>
      </c>
      <c r="L39" s="161">
        <f t="shared" si="1"/>
        <v>3.5599934878167906E-2</v>
      </c>
      <c r="M39" s="118">
        <f t="shared" si="2"/>
        <v>1080359.52</v>
      </c>
      <c r="N39" s="119">
        <v>273396</v>
      </c>
      <c r="O39" s="119">
        <v>806963.52</v>
      </c>
      <c r="P39" s="119">
        <f>7966058.74+294819.01+350000</f>
        <v>8610877.75</v>
      </c>
      <c r="Q39" s="119">
        <v>8553231.6799999997</v>
      </c>
      <c r="R39" s="120">
        <f t="shared" si="3"/>
        <v>0.12631009663004944</v>
      </c>
      <c r="S39" s="118">
        <f t="shared" si="4"/>
        <v>111747.14</v>
      </c>
      <c r="T39" s="119">
        <v>24337</v>
      </c>
      <c r="U39" s="119">
        <v>87410.14</v>
      </c>
      <c r="V39" s="119">
        <f>417221.41+417221.41+268299.5</f>
        <v>1102742.3199999998</v>
      </c>
      <c r="W39" s="119">
        <v>1047834.9</v>
      </c>
      <c r="X39" s="120">
        <f t="shared" si="5"/>
        <v>0.10664575115793527</v>
      </c>
    </row>
    <row r="40" spans="2:24" s="114" customFormat="1" x14ac:dyDescent="0.35">
      <c r="B40" s="193" t="s">
        <v>39</v>
      </c>
      <c r="C40" s="115">
        <v>0</v>
      </c>
      <c r="D40" s="117">
        <v>2740.8622912999999</v>
      </c>
      <c r="E40" s="117">
        <v>2740.8622912999999</v>
      </c>
      <c r="F40" s="117">
        <v>2001</v>
      </c>
      <c r="G40" s="161">
        <f t="shared" si="0"/>
        <v>0</v>
      </c>
      <c r="H40" s="116">
        <v>0</v>
      </c>
      <c r="I40" s="117">
        <v>64354</v>
      </c>
      <c r="J40" s="117">
        <v>64354</v>
      </c>
      <c r="K40" s="117">
        <v>64354</v>
      </c>
      <c r="L40" s="161">
        <f t="shared" si="1"/>
        <v>0</v>
      </c>
      <c r="M40" s="118">
        <f t="shared" si="2"/>
        <v>769.46</v>
      </c>
      <c r="N40" s="119">
        <v>0</v>
      </c>
      <c r="O40" s="119">
        <v>769.46</v>
      </c>
      <c r="P40" s="119">
        <v>450109.4</v>
      </c>
      <c r="Q40" s="119">
        <v>454872.02</v>
      </c>
      <c r="R40" s="120">
        <f t="shared" si="3"/>
        <v>1.6915966825130286E-3</v>
      </c>
      <c r="S40" s="118">
        <f t="shared" si="4"/>
        <v>0</v>
      </c>
      <c r="T40" s="119">
        <v>0</v>
      </c>
      <c r="U40" s="119">
        <v>0</v>
      </c>
      <c r="V40" s="119">
        <v>61934.6</v>
      </c>
      <c r="W40" s="119">
        <v>51548.6</v>
      </c>
      <c r="X40" s="120">
        <f t="shared" si="5"/>
        <v>0</v>
      </c>
    </row>
    <row r="41" spans="2:24" s="114" customFormat="1" x14ac:dyDescent="0.35">
      <c r="B41" s="193" t="s">
        <v>40</v>
      </c>
      <c r="C41" s="115">
        <v>139</v>
      </c>
      <c r="D41" s="117">
        <v>3486.6051517357473</v>
      </c>
      <c r="E41" s="117">
        <v>3486.6051517357473</v>
      </c>
      <c r="F41" s="117">
        <v>1198</v>
      </c>
      <c r="G41" s="161">
        <f t="shared" si="0"/>
        <v>0.11602671118530884</v>
      </c>
      <c r="H41" s="116">
        <v>0</v>
      </c>
      <c r="I41" s="117">
        <v>51591</v>
      </c>
      <c r="J41" s="117">
        <v>51828</v>
      </c>
      <c r="K41" s="117">
        <v>35104</v>
      </c>
      <c r="L41" s="161">
        <f t="shared" si="1"/>
        <v>0</v>
      </c>
      <c r="M41" s="118">
        <f t="shared" si="2"/>
        <v>328302.95999999996</v>
      </c>
      <c r="N41" s="119">
        <v>195000</v>
      </c>
      <c r="O41" s="119">
        <v>133302.96</v>
      </c>
      <c r="P41" s="119">
        <v>2829943.25</v>
      </c>
      <c r="Q41" s="119">
        <v>1201692.8799999999</v>
      </c>
      <c r="R41" s="120">
        <f t="shared" si="3"/>
        <v>0.27320038710722827</v>
      </c>
      <c r="S41" s="118">
        <f t="shared" si="4"/>
        <v>11807.81</v>
      </c>
      <c r="T41" s="119">
        <v>0</v>
      </c>
      <c r="U41" s="119">
        <v>11807.81</v>
      </c>
      <c r="V41" s="119">
        <v>408181.52</v>
      </c>
      <c r="W41" s="119">
        <v>188655.87</v>
      </c>
      <c r="X41" s="120">
        <f t="shared" si="5"/>
        <v>6.2589147106845919E-2</v>
      </c>
    </row>
    <row r="42" spans="2:24" s="114" customFormat="1" x14ac:dyDescent="0.35">
      <c r="B42" s="193"/>
      <c r="C42" s="115"/>
      <c r="D42" s="117"/>
      <c r="E42" s="117"/>
      <c r="F42" s="117"/>
      <c r="G42" s="161"/>
      <c r="H42" s="116"/>
      <c r="I42" s="117"/>
      <c r="J42" s="117"/>
      <c r="K42" s="117"/>
      <c r="L42" s="161"/>
      <c r="M42" s="118"/>
      <c r="N42" s="119"/>
      <c r="O42" s="119"/>
      <c r="P42" s="119"/>
      <c r="Q42" s="119"/>
      <c r="R42" s="120"/>
      <c r="S42" s="118"/>
      <c r="T42" s="119"/>
      <c r="U42" s="119"/>
      <c r="V42" s="119"/>
      <c r="W42" s="119"/>
      <c r="X42" s="120"/>
    </row>
    <row r="43" spans="2:24" s="107" customFormat="1" x14ac:dyDescent="0.35">
      <c r="B43" s="194" t="s">
        <v>41</v>
      </c>
      <c r="C43" s="18">
        <f>SUM(C35:C42)</f>
        <v>13237</v>
      </c>
      <c r="D43" s="19">
        <f>SUM(D35:D42)</f>
        <v>86968.052013597204</v>
      </c>
      <c r="E43" s="19">
        <f>SUM(E35:E42)</f>
        <v>86968.052013597204</v>
      </c>
      <c r="F43" s="19">
        <f>SUM(F35:F42)</f>
        <v>66665</v>
      </c>
      <c r="G43" s="158">
        <f t="shared" si="0"/>
        <v>0.19855996399909998</v>
      </c>
      <c r="H43" s="18">
        <f>SUM(H35:H42)</f>
        <v>29360</v>
      </c>
      <c r="I43" s="19">
        <f>SUM(I35:I42)</f>
        <v>1020575</v>
      </c>
      <c r="J43" s="19">
        <f>SUM(J35:J42)</f>
        <v>1106529</v>
      </c>
      <c r="K43" s="19">
        <f>SUM(K35:K42)</f>
        <v>725175</v>
      </c>
      <c r="L43" s="158">
        <f t="shared" ref="L43" si="7">IF(K43=0,"NA",H43/K43)</f>
        <v>4.0486779053331957E-2</v>
      </c>
      <c r="M43" s="25">
        <f t="shared" si="2"/>
        <v>1876254.27</v>
      </c>
      <c r="N43" s="29">
        <f>SUM(N35:N42)</f>
        <v>686441</v>
      </c>
      <c r="O43" s="29">
        <f>SUM(O35:O42)</f>
        <v>1189813.27</v>
      </c>
      <c r="P43" s="29">
        <f>SUM(P35:P42)</f>
        <v>17188768.142714657</v>
      </c>
      <c r="Q43" s="29">
        <f>SUM(Q35:Q42)</f>
        <v>13176291.829999998</v>
      </c>
      <c r="R43" s="13">
        <f t="shared" si="3"/>
        <v>0.14239622909141353</v>
      </c>
      <c r="S43" s="25">
        <f t="shared" si="4"/>
        <v>174725.66</v>
      </c>
      <c r="T43" s="29">
        <f>SUM(T35:T42)</f>
        <v>50355</v>
      </c>
      <c r="U43" s="29">
        <f>SUM(U35:U42)</f>
        <v>124370.66</v>
      </c>
      <c r="V43" s="29">
        <f>SUM(V35:V42)</f>
        <v>2474208.08</v>
      </c>
      <c r="W43" s="29">
        <f>SUM(W35:W42)</f>
        <v>1808738.7600000002</v>
      </c>
      <c r="X43" s="13">
        <f t="shared" si="5"/>
        <v>9.6600826976251664E-2</v>
      </c>
    </row>
    <row r="44" spans="2:24" s="107" customFormat="1" ht="15.65" customHeight="1" x14ac:dyDescent="0.35">
      <c r="B44" s="196" t="s">
        <v>42</v>
      </c>
      <c r="C44" s="141"/>
      <c r="D44" s="142"/>
      <c r="E44" s="142"/>
      <c r="F44" s="142"/>
      <c r="G44" s="160"/>
      <c r="H44" s="144"/>
      <c r="I44" s="145"/>
      <c r="J44" s="142"/>
      <c r="K44" s="142"/>
      <c r="L44" s="160"/>
      <c r="M44" s="146">
        <f t="shared" si="2"/>
        <v>0</v>
      </c>
      <c r="N44" s="147"/>
      <c r="O44" s="147"/>
      <c r="P44" s="147"/>
      <c r="Q44" s="147"/>
      <c r="R44" s="143"/>
      <c r="S44" s="146">
        <f t="shared" si="4"/>
        <v>0</v>
      </c>
      <c r="T44" s="147"/>
      <c r="U44" s="147"/>
      <c r="V44" s="147"/>
      <c r="W44" s="147"/>
      <c r="X44" s="143"/>
    </row>
    <row r="45" spans="2:24" s="114" customFormat="1" x14ac:dyDescent="0.35">
      <c r="B45" s="193" t="s">
        <v>43</v>
      </c>
      <c r="C45" s="115">
        <v>117</v>
      </c>
      <c r="D45" s="117">
        <v>1924.9779792992497</v>
      </c>
      <c r="E45" s="117">
        <v>1924.9779792992497</v>
      </c>
      <c r="F45" s="117">
        <v>1456</v>
      </c>
      <c r="G45" s="161">
        <f t="shared" si="0"/>
        <v>8.0357142857142863E-2</v>
      </c>
      <c r="H45" s="116">
        <v>8271</v>
      </c>
      <c r="I45" s="117">
        <v>213643</v>
      </c>
      <c r="J45" s="117">
        <v>213781</v>
      </c>
      <c r="K45" s="117">
        <v>205933</v>
      </c>
      <c r="L45" s="161">
        <f t="shared" si="1"/>
        <v>4.0163548338537289E-2</v>
      </c>
      <c r="M45" s="118">
        <f t="shared" si="2"/>
        <v>487378.42</v>
      </c>
      <c r="N45" s="119">
        <v>171003</v>
      </c>
      <c r="O45" s="119">
        <v>316375.42</v>
      </c>
      <c r="P45" s="119">
        <v>2692670.3615793586</v>
      </c>
      <c r="Q45" s="119">
        <v>2104641</v>
      </c>
      <c r="R45" s="120">
        <f t="shared" si="3"/>
        <v>0.23157318516554604</v>
      </c>
      <c r="S45" s="118">
        <f t="shared" si="4"/>
        <v>170515.86</v>
      </c>
      <c r="T45" s="119">
        <v>78609</v>
      </c>
      <c r="U45" s="119">
        <v>91906.86</v>
      </c>
      <c r="V45" s="119">
        <v>1814092.3793653848</v>
      </c>
      <c r="W45" s="119">
        <v>1981392.31</v>
      </c>
      <c r="X45" s="120">
        <f t="shared" si="5"/>
        <v>8.6058605930493387E-2</v>
      </c>
    </row>
    <row r="46" spans="2:24" s="114" customFormat="1" x14ac:dyDescent="0.35">
      <c r="B46" s="193" t="s">
        <v>44</v>
      </c>
      <c r="C46" s="115">
        <v>2347</v>
      </c>
      <c r="D46" s="117">
        <v>3554.9964165248834</v>
      </c>
      <c r="E46" s="117">
        <v>3554.9964165248834</v>
      </c>
      <c r="F46" s="117">
        <v>5303</v>
      </c>
      <c r="G46" s="161">
        <f t="shared" si="0"/>
        <v>0.44257967188383934</v>
      </c>
      <c r="H46" s="116">
        <v>32922</v>
      </c>
      <c r="I46" s="117">
        <v>423311</v>
      </c>
      <c r="J46" s="117">
        <v>606916</v>
      </c>
      <c r="K46" s="117">
        <v>364257</v>
      </c>
      <c r="L46" s="161">
        <f t="shared" si="1"/>
        <v>9.0381241815531338E-2</v>
      </c>
      <c r="M46" s="118">
        <f t="shared" si="2"/>
        <v>2336319</v>
      </c>
      <c r="N46" s="119">
        <v>811489</v>
      </c>
      <c r="O46" s="119">
        <v>1524830</v>
      </c>
      <c r="P46" s="119">
        <v>10740454.4804</v>
      </c>
      <c r="Q46" s="119">
        <v>11246497</v>
      </c>
      <c r="R46" s="120">
        <f t="shared" si="3"/>
        <v>0.20773748483638951</v>
      </c>
      <c r="S46" s="118">
        <f t="shared" si="4"/>
        <v>478205.59</v>
      </c>
      <c r="T46" s="119">
        <v>205006</v>
      </c>
      <c r="U46" s="119">
        <v>273199.59000000003</v>
      </c>
      <c r="V46" s="119">
        <v>3675458.0525039998</v>
      </c>
      <c r="W46" s="119">
        <v>4275092.91</v>
      </c>
      <c r="X46" s="120">
        <f t="shared" si="5"/>
        <v>0.11185852566652171</v>
      </c>
    </row>
    <row r="47" spans="2:24" s="114" customFormat="1" x14ac:dyDescent="0.35">
      <c r="B47" s="193" t="s">
        <v>45</v>
      </c>
      <c r="C47" s="115">
        <v>673</v>
      </c>
      <c r="D47" s="117">
        <v>4698.8177486990626</v>
      </c>
      <c r="E47" s="117">
        <v>4698.8177486990626</v>
      </c>
      <c r="F47" s="117">
        <v>4214</v>
      </c>
      <c r="G47" s="161">
        <f t="shared" si="0"/>
        <v>0.15970574276222116</v>
      </c>
      <c r="H47" s="116">
        <v>0</v>
      </c>
      <c r="I47" s="117">
        <v>32208</v>
      </c>
      <c r="J47" s="117">
        <v>32373</v>
      </c>
      <c r="K47" s="117">
        <v>41353</v>
      </c>
      <c r="L47" s="161">
        <f t="shared" si="1"/>
        <v>0</v>
      </c>
      <c r="M47" s="118">
        <f t="shared" si="2"/>
        <v>1184637.23</v>
      </c>
      <c r="N47" s="119">
        <v>615536</v>
      </c>
      <c r="O47" s="119">
        <v>569101.23</v>
      </c>
      <c r="P47" s="119">
        <v>3468162.24767206</v>
      </c>
      <c r="Q47" s="119">
        <v>5214254.1100000003</v>
      </c>
      <c r="R47" s="120">
        <f t="shared" si="3"/>
        <v>0.22719207867680999</v>
      </c>
      <c r="S47" s="118">
        <f t="shared" si="4"/>
        <v>35090.089999999997</v>
      </c>
      <c r="T47" s="119">
        <v>0</v>
      </c>
      <c r="U47" s="119">
        <v>35090.089999999997</v>
      </c>
      <c r="V47" s="119">
        <v>630989.74080000003</v>
      </c>
      <c r="W47" s="119">
        <v>323726.87</v>
      </c>
      <c r="X47" s="120">
        <f t="shared" si="5"/>
        <v>0.10839412248973956</v>
      </c>
    </row>
    <row r="48" spans="2:24" s="114" customFormat="1" x14ac:dyDescent="0.35">
      <c r="B48" s="193" t="s">
        <v>46</v>
      </c>
      <c r="C48" s="115">
        <v>1508</v>
      </c>
      <c r="D48" s="117">
        <v>43986.002902213855</v>
      </c>
      <c r="E48" s="117">
        <v>43986.002902213855</v>
      </c>
      <c r="F48" s="117">
        <v>38337</v>
      </c>
      <c r="G48" s="161">
        <f t="shared" si="0"/>
        <v>3.9335367921329266E-2</v>
      </c>
      <c r="H48" s="116">
        <v>6612</v>
      </c>
      <c r="I48" s="117">
        <v>220885</v>
      </c>
      <c r="J48" s="117">
        <v>245439</v>
      </c>
      <c r="K48" s="117">
        <v>181975</v>
      </c>
      <c r="L48" s="161">
        <f t="shared" si="1"/>
        <v>3.6334661354581674E-2</v>
      </c>
      <c r="M48" s="118">
        <f t="shared" si="2"/>
        <v>372792.57999999996</v>
      </c>
      <c r="N48" s="119">
        <v>117170</v>
      </c>
      <c r="O48" s="119">
        <v>255622.58</v>
      </c>
      <c r="P48" s="119">
        <v>2650372.0320000001</v>
      </c>
      <c r="Q48" s="119">
        <v>3448849.66</v>
      </c>
      <c r="R48" s="120">
        <f t="shared" si="3"/>
        <v>0.10809186156290732</v>
      </c>
      <c r="S48" s="118">
        <f t="shared" si="4"/>
        <v>32712.15</v>
      </c>
      <c r="T48" s="119">
        <v>10430</v>
      </c>
      <c r="U48" s="119">
        <v>22282.15</v>
      </c>
      <c r="V48" s="119">
        <v>638110.08000000007</v>
      </c>
      <c r="W48" s="119">
        <v>308316.58</v>
      </c>
      <c r="X48" s="120">
        <f t="shared" si="5"/>
        <v>0.10609922437515362</v>
      </c>
    </row>
    <row r="49" spans="2:24" s="114" customFormat="1" x14ac:dyDescent="0.35">
      <c r="B49" s="193" t="s">
        <v>47</v>
      </c>
      <c r="C49" s="115">
        <v>1524</v>
      </c>
      <c r="D49" s="117">
        <v>1095.6597524010444</v>
      </c>
      <c r="E49" s="117">
        <v>1095.6597524010444</v>
      </c>
      <c r="F49" s="117">
        <v>1337</v>
      </c>
      <c r="G49" s="161">
        <f t="shared" si="0"/>
        <v>1.1398653702318624</v>
      </c>
      <c r="H49" s="116">
        <v>0</v>
      </c>
      <c r="I49" s="117">
        <v>33719</v>
      </c>
      <c r="J49" s="117">
        <v>36355</v>
      </c>
      <c r="K49" s="117">
        <v>39493</v>
      </c>
      <c r="L49" s="161">
        <f t="shared" si="1"/>
        <v>0</v>
      </c>
      <c r="M49" s="118">
        <f t="shared" si="2"/>
        <v>1260.6400000000001</v>
      </c>
      <c r="N49" s="119">
        <v>0</v>
      </c>
      <c r="O49" s="119">
        <v>1260.6400000000001</v>
      </c>
      <c r="P49" s="119">
        <v>576504</v>
      </c>
      <c r="Q49" s="119">
        <v>581947.44999999995</v>
      </c>
      <c r="R49" s="120">
        <f t="shared" si="3"/>
        <v>2.1662437046506521E-3</v>
      </c>
      <c r="S49" s="118">
        <f t="shared" si="4"/>
        <v>105.21</v>
      </c>
      <c r="T49" s="119">
        <v>0</v>
      </c>
      <c r="U49" s="119">
        <v>105.21</v>
      </c>
      <c r="V49" s="119">
        <v>59927.175000000003</v>
      </c>
      <c r="W49" s="119">
        <v>60381.41</v>
      </c>
      <c r="X49" s="120">
        <f t="shared" si="5"/>
        <v>1.7424237029244594E-3</v>
      </c>
    </row>
    <row r="50" spans="2:24" s="114" customFormat="1" x14ac:dyDescent="0.35">
      <c r="B50" s="193" t="s">
        <v>48</v>
      </c>
      <c r="C50" s="115">
        <v>0</v>
      </c>
      <c r="D50" s="117">
        <v>5075.1194378910686</v>
      </c>
      <c r="E50" s="117">
        <v>5075.1194378910686</v>
      </c>
      <c r="F50" s="117">
        <v>4899</v>
      </c>
      <c r="G50" s="161">
        <f t="shared" si="0"/>
        <v>0</v>
      </c>
      <c r="H50" s="116">
        <v>0</v>
      </c>
      <c r="I50" s="117">
        <v>112307</v>
      </c>
      <c r="J50" s="117">
        <v>510484</v>
      </c>
      <c r="K50" s="117">
        <v>510307</v>
      </c>
      <c r="L50" s="161">
        <f t="shared" si="1"/>
        <v>0</v>
      </c>
      <c r="M50" s="118">
        <f t="shared" si="2"/>
        <v>6735.96</v>
      </c>
      <c r="N50" s="119">
        <v>0</v>
      </c>
      <c r="O50" s="119">
        <v>6735.96</v>
      </c>
      <c r="P50" s="119">
        <v>1685426.7606219216</v>
      </c>
      <c r="Q50" s="119">
        <v>1941865.94</v>
      </c>
      <c r="R50" s="120">
        <f t="shared" si="3"/>
        <v>3.4688079445896252E-3</v>
      </c>
      <c r="S50" s="118">
        <f t="shared" si="4"/>
        <v>282.8</v>
      </c>
      <c r="T50" s="119">
        <v>0</v>
      </c>
      <c r="U50" s="119">
        <v>282.8</v>
      </c>
      <c r="V50" s="119">
        <v>141429.66581366656</v>
      </c>
      <c r="W50" s="119">
        <v>142566.04</v>
      </c>
      <c r="X50" s="120">
        <f t="shared" si="5"/>
        <v>1.9836421071946727E-3</v>
      </c>
    </row>
    <row r="51" spans="2:24" s="114" customFormat="1" x14ac:dyDescent="0.35">
      <c r="B51" s="193"/>
      <c r="C51" s="115"/>
      <c r="D51" s="117"/>
      <c r="E51" s="117"/>
      <c r="F51" s="117"/>
      <c r="G51" s="161"/>
      <c r="H51" s="116"/>
      <c r="I51" s="117"/>
      <c r="J51" s="117"/>
      <c r="K51" s="117"/>
      <c r="L51" s="161"/>
      <c r="M51" s="118"/>
      <c r="N51" s="119"/>
      <c r="O51" s="119"/>
      <c r="P51" s="119"/>
      <c r="Q51" s="119"/>
      <c r="R51" s="120"/>
      <c r="S51" s="118"/>
      <c r="T51" s="119"/>
      <c r="U51" s="119"/>
      <c r="V51" s="119"/>
      <c r="W51" s="119"/>
      <c r="X51" s="120"/>
    </row>
    <row r="52" spans="2:24" s="107" customFormat="1" ht="15.75" customHeight="1" x14ac:dyDescent="0.35">
      <c r="B52" s="194" t="s">
        <v>49</v>
      </c>
      <c r="C52" s="18">
        <f>SUM(C45:C51)</f>
        <v>6169</v>
      </c>
      <c r="D52" s="19">
        <f>SUM(D45:D51)</f>
        <v>60335.574237029163</v>
      </c>
      <c r="E52" s="19">
        <f>SUM(E45:E51)</f>
        <v>60335.574237029163</v>
      </c>
      <c r="F52" s="19">
        <f>SUM(F45:F51)</f>
        <v>55546</v>
      </c>
      <c r="G52" s="158">
        <f t="shared" si="0"/>
        <v>0.11106110250963165</v>
      </c>
      <c r="H52" s="18">
        <f>SUM(H45:H51)</f>
        <v>47805</v>
      </c>
      <c r="I52" s="19">
        <f>SUM(I45:I51)</f>
        <v>1036073</v>
      </c>
      <c r="J52" s="19">
        <f>SUM(J45:J51)</f>
        <v>1645348</v>
      </c>
      <c r="K52" s="19">
        <f>SUM(K45:K51)</f>
        <v>1343318</v>
      </c>
      <c r="L52" s="158">
        <f t="shared" ref="L52" si="8">IF(K52=0,"NA",H52/K52)</f>
        <v>3.5587254842114821E-2</v>
      </c>
      <c r="M52" s="25">
        <f t="shared" si="2"/>
        <v>4389123.83</v>
      </c>
      <c r="N52" s="29">
        <f>SUM(N45:N51)</f>
        <v>1715198</v>
      </c>
      <c r="O52" s="29">
        <f t="shared" ref="O52:Q52" si="9">SUM(O45:O51)</f>
        <v>2673925.83</v>
      </c>
      <c r="P52" s="29">
        <f t="shared" si="9"/>
        <v>21813589.882273339</v>
      </c>
      <c r="Q52" s="29">
        <f t="shared" si="9"/>
        <v>24538055.16</v>
      </c>
      <c r="R52" s="13">
        <f t="shared" si="3"/>
        <v>0.17887007757464018</v>
      </c>
      <c r="S52" s="25">
        <f t="shared" si="4"/>
        <v>716911.70000000007</v>
      </c>
      <c r="T52" s="29">
        <f>SUM(T45:T51)</f>
        <v>294045</v>
      </c>
      <c r="U52" s="29">
        <f t="shared" ref="U52" si="10">SUM(U45:U51)</f>
        <v>422866.70000000007</v>
      </c>
      <c r="V52" s="29">
        <f t="shared" ref="V52" si="11">SUM(V45:V51)</f>
        <v>6960007.0934830513</v>
      </c>
      <c r="W52" s="29">
        <f t="shared" ref="W52" si="12">SUM(W45:W51)</f>
        <v>7091476.120000001</v>
      </c>
      <c r="X52" s="13">
        <f t="shared" si="5"/>
        <v>0.10109484793696238</v>
      </c>
    </row>
    <row r="53" spans="2:24" s="107" customFormat="1" ht="15.65" customHeight="1" x14ac:dyDescent="0.35">
      <c r="B53" s="196" t="s">
        <v>50</v>
      </c>
      <c r="C53" s="141"/>
      <c r="D53" s="142"/>
      <c r="E53" s="142"/>
      <c r="F53" s="142"/>
      <c r="G53" s="160"/>
      <c r="H53" s="144"/>
      <c r="I53" s="145"/>
      <c r="J53" s="142"/>
      <c r="K53" s="142"/>
      <c r="L53" s="160"/>
      <c r="M53" s="146"/>
      <c r="N53" s="147"/>
      <c r="O53" s="147"/>
      <c r="P53" s="147"/>
      <c r="Q53" s="147"/>
      <c r="R53" s="143"/>
      <c r="S53" s="146"/>
      <c r="T53" s="147"/>
      <c r="U53" s="147"/>
      <c r="V53" s="147"/>
      <c r="W53" s="147"/>
      <c r="X53" s="143"/>
    </row>
    <row r="54" spans="2:24" s="126" customFormat="1" x14ac:dyDescent="0.35">
      <c r="B54" s="197" t="str">
        <f t="shared" ref="B54:X54" si="13">B24</f>
        <v>Midstream Lighting &amp; HVAC</v>
      </c>
      <c r="C54" s="121">
        <f t="shared" si="13"/>
        <v>10641</v>
      </c>
      <c r="D54" s="122">
        <f t="shared" si="13"/>
        <v>21072</v>
      </c>
      <c r="E54" s="122">
        <f t="shared" si="13"/>
        <v>21072</v>
      </c>
      <c r="F54" s="122">
        <f t="shared" si="13"/>
        <v>24943</v>
      </c>
      <c r="G54" s="162">
        <f t="shared" si="13"/>
        <v>0.42661267690333959</v>
      </c>
      <c r="H54" s="121">
        <f t="shared" si="13"/>
        <v>28996.93</v>
      </c>
      <c r="I54" s="122">
        <f t="shared" si="13"/>
        <v>12820</v>
      </c>
      <c r="J54" s="122">
        <f t="shared" si="13"/>
        <v>90290</v>
      </c>
      <c r="K54" s="122">
        <f t="shared" si="13"/>
        <v>12820</v>
      </c>
      <c r="L54" s="162">
        <f t="shared" si="13"/>
        <v>2.2618510140405617</v>
      </c>
      <c r="M54" s="124">
        <f t="shared" si="13"/>
        <v>1077053.96</v>
      </c>
      <c r="N54" s="125">
        <f t="shared" si="13"/>
        <v>960961.5</v>
      </c>
      <c r="O54" s="125">
        <f t="shared" si="13"/>
        <v>116092.45999999999</v>
      </c>
      <c r="P54" s="125">
        <f t="shared" si="13"/>
        <v>4013370.9401345178</v>
      </c>
      <c r="Q54" s="125">
        <f t="shared" si="13"/>
        <v>4069745.34</v>
      </c>
      <c r="R54" s="123">
        <f t="shared" si="13"/>
        <v>0.26464898169770984</v>
      </c>
      <c r="S54" s="124">
        <f t="shared" si="13"/>
        <v>10115.51</v>
      </c>
      <c r="T54" s="125">
        <f t="shared" si="13"/>
        <v>6048</v>
      </c>
      <c r="U54" s="125">
        <f t="shared" si="13"/>
        <v>4067.51</v>
      </c>
      <c r="V54" s="125">
        <f t="shared" si="13"/>
        <v>113154.31</v>
      </c>
      <c r="W54" s="125">
        <f t="shared" si="13"/>
        <v>115015.99</v>
      </c>
      <c r="X54" s="123">
        <f t="shared" si="13"/>
        <v>8.794872782471376E-2</v>
      </c>
    </row>
    <row r="55" spans="2:24" s="126" customFormat="1" x14ac:dyDescent="0.35">
      <c r="B55" s="197" t="str">
        <f t="shared" ref="B55:X55" si="14">B36</f>
        <v>Market Rate Single Family Midstream HVAC</v>
      </c>
      <c r="C55" s="121">
        <f t="shared" si="14"/>
        <v>640</v>
      </c>
      <c r="D55" s="122">
        <f t="shared" si="14"/>
        <v>1301.5521461027975</v>
      </c>
      <c r="E55" s="122">
        <f t="shared" si="14"/>
        <v>1301.5521461027975</v>
      </c>
      <c r="F55" s="122">
        <f t="shared" si="14"/>
        <v>1261</v>
      </c>
      <c r="G55" s="162">
        <f t="shared" si="14"/>
        <v>0.50753370340999204</v>
      </c>
      <c r="H55" s="121">
        <f t="shared" si="14"/>
        <v>7875</v>
      </c>
      <c r="I55" s="122">
        <f t="shared" si="14"/>
        <v>0</v>
      </c>
      <c r="J55" s="122">
        <f t="shared" si="14"/>
        <v>0</v>
      </c>
      <c r="K55" s="122">
        <f t="shared" si="14"/>
        <v>0</v>
      </c>
      <c r="L55" s="162" t="str">
        <f t="shared" si="14"/>
        <v>NA</v>
      </c>
      <c r="M55" s="124">
        <f t="shared" si="14"/>
        <v>304035.05</v>
      </c>
      <c r="N55" s="125">
        <f t="shared" si="14"/>
        <v>199270</v>
      </c>
      <c r="O55" s="125">
        <f t="shared" si="14"/>
        <v>104765.05</v>
      </c>
      <c r="P55" s="125">
        <f t="shared" si="14"/>
        <v>833860.65551465843</v>
      </c>
      <c r="Q55" s="125">
        <f t="shared" si="14"/>
        <v>845428.32000000007</v>
      </c>
      <c r="R55" s="123">
        <f t="shared" si="14"/>
        <v>0.35962250472044743</v>
      </c>
      <c r="S55" s="124">
        <f t="shared" si="14"/>
        <v>7909.76</v>
      </c>
      <c r="T55" s="125">
        <f t="shared" si="14"/>
        <v>7330</v>
      </c>
      <c r="U55" s="125">
        <f t="shared" si="14"/>
        <v>579.76</v>
      </c>
      <c r="V55" s="125">
        <f t="shared" si="14"/>
        <v>0</v>
      </c>
      <c r="W55" s="125">
        <f t="shared" si="14"/>
        <v>0</v>
      </c>
      <c r="X55" s="123" t="str">
        <f t="shared" si="14"/>
        <v>NA</v>
      </c>
    </row>
    <row r="56" spans="2:24" s="126" customFormat="1" x14ac:dyDescent="0.35">
      <c r="B56" s="198" t="str">
        <f t="shared" ref="B56:X56" si="15">B38</f>
        <v>Direct Distribution Efficient Products Initiative - School Kits</v>
      </c>
      <c r="C56" s="121">
        <f t="shared" si="15"/>
        <v>0</v>
      </c>
      <c r="D56" s="122">
        <f t="shared" si="15"/>
        <v>2017.3933822927072</v>
      </c>
      <c r="E56" s="122">
        <f t="shared" si="15"/>
        <v>2017.3933822927072</v>
      </c>
      <c r="F56" s="122">
        <f t="shared" si="15"/>
        <v>2017</v>
      </c>
      <c r="G56" s="162">
        <f t="shared" si="15"/>
        <v>0</v>
      </c>
      <c r="H56" s="121">
        <f t="shared" si="15"/>
        <v>0</v>
      </c>
      <c r="I56" s="122">
        <f t="shared" si="15"/>
        <v>51962</v>
      </c>
      <c r="J56" s="122">
        <f t="shared" si="15"/>
        <v>53665</v>
      </c>
      <c r="K56" s="122">
        <f t="shared" si="15"/>
        <v>54946</v>
      </c>
      <c r="L56" s="162">
        <f t="shared" si="15"/>
        <v>0</v>
      </c>
      <c r="M56" s="124">
        <f t="shared" si="15"/>
        <v>2616.6</v>
      </c>
      <c r="N56" s="125">
        <f t="shared" si="15"/>
        <v>0</v>
      </c>
      <c r="O56" s="125">
        <f t="shared" si="15"/>
        <v>2616.6</v>
      </c>
      <c r="P56" s="125">
        <f t="shared" si="15"/>
        <v>870396.95</v>
      </c>
      <c r="Q56" s="125">
        <f t="shared" si="15"/>
        <v>881283.89</v>
      </c>
      <c r="R56" s="123">
        <f t="shared" si="15"/>
        <v>2.9690773083347749E-3</v>
      </c>
      <c r="S56" s="124">
        <f t="shared" si="15"/>
        <v>177.59</v>
      </c>
      <c r="T56" s="125">
        <f t="shared" si="15"/>
        <v>0</v>
      </c>
      <c r="U56" s="125">
        <f t="shared" si="15"/>
        <v>177.59</v>
      </c>
      <c r="V56" s="125">
        <f t="shared" si="15"/>
        <v>117205.88</v>
      </c>
      <c r="W56" s="125">
        <f t="shared" si="15"/>
        <v>117887.62</v>
      </c>
      <c r="X56" s="123">
        <f t="shared" si="15"/>
        <v>1.5064346875439509E-3</v>
      </c>
    </row>
    <row r="57" spans="2:24" s="126" customFormat="1" x14ac:dyDescent="0.35">
      <c r="B57" s="198" t="str">
        <f>B49</f>
        <v>IQ Community Kits</v>
      </c>
      <c r="C57" s="121">
        <f t="shared" ref="C57:X57" si="16">C49</f>
        <v>1524</v>
      </c>
      <c r="D57" s="122">
        <f t="shared" si="16"/>
        <v>1095.6597524010444</v>
      </c>
      <c r="E57" s="122">
        <f t="shared" si="16"/>
        <v>1095.6597524010444</v>
      </c>
      <c r="F57" s="122">
        <f t="shared" si="16"/>
        <v>1337</v>
      </c>
      <c r="G57" s="162">
        <f t="shared" si="16"/>
        <v>1.1398653702318624</v>
      </c>
      <c r="H57" s="121">
        <f t="shared" si="16"/>
        <v>0</v>
      </c>
      <c r="I57" s="122">
        <f t="shared" si="16"/>
        <v>33719</v>
      </c>
      <c r="J57" s="122">
        <f t="shared" si="16"/>
        <v>36355</v>
      </c>
      <c r="K57" s="122">
        <f t="shared" si="16"/>
        <v>39493</v>
      </c>
      <c r="L57" s="162">
        <f t="shared" si="16"/>
        <v>0</v>
      </c>
      <c r="M57" s="124">
        <f t="shared" si="16"/>
        <v>1260.6400000000001</v>
      </c>
      <c r="N57" s="125">
        <f t="shared" si="16"/>
        <v>0</v>
      </c>
      <c r="O57" s="125">
        <f t="shared" si="16"/>
        <v>1260.6400000000001</v>
      </c>
      <c r="P57" s="125">
        <f t="shared" si="16"/>
        <v>576504</v>
      </c>
      <c r="Q57" s="125">
        <f t="shared" si="16"/>
        <v>581947.44999999995</v>
      </c>
      <c r="R57" s="123">
        <f t="shared" si="16"/>
        <v>2.1662437046506521E-3</v>
      </c>
      <c r="S57" s="124">
        <f t="shared" si="16"/>
        <v>105.21</v>
      </c>
      <c r="T57" s="125">
        <f t="shared" si="16"/>
        <v>0</v>
      </c>
      <c r="U57" s="125">
        <f t="shared" si="16"/>
        <v>105.21</v>
      </c>
      <c r="V57" s="125">
        <f t="shared" si="16"/>
        <v>59927.175000000003</v>
      </c>
      <c r="W57" s="125">
        <f t="shared" si="16"/>
        <v>60381.41</v>
      </c>
      <c r="X57" s="123">
        <f t="shared" si="16"/>
        <v>1.7424237029244594E-3</v>
      </c>
    </row>
    <row r="58" spans="2:24" s="126" customFormat="1" x14ac:dyDescent="0.35">
      <c r="B58" s="198" t="str">
        <f>B50</f>
        <v>IQ Smart Savers</v>
      </c>
      <c r="C58" s="121">
        <f t="shared" ref="C58:X58" si="17">C50</f>
        <v>0</v>
      </c>
      <c r="D58" s="122">
        <f t="shared" si="17"/>
        <v>5075.1194378910686</v>
      </c>
      <c r="E58" s="122">
        <f t="shared" si="17"/>
        <v>5075.1194378910686</v>
      </c>
      <c r="F58" s="122">
        <f t="shared" si="17"/>
        <v>4899</v>
      </c>
      <c r="G58" s="162">
        <f t="shared" si="17"/>
        <v>0</v>
      </c>
      <c r="H58" s="121">
        <f t="shared" si="17"/>
        <v>0</v>
      </c>
      <c r="I58" s="122">
        <f t="shared" si="17"/>
        <v>112307</v>
      </c>
      <c r="J58" s="122">
        <f t="shared" si="17"/>
        <v>510484</v>
      </c>
      <c r="K58" s="122">
        <f t="shared" si="17"/>
        <v>510307</v>
      </c>
      <c r="L58" s="162">
        <f t="shared" si="17"/>
        <v>0</v>
      </c>
      <c r="M58" s="124">
        <f t="shared" si="17"/>
        <v>6735.96</v>
      </c>
      <c r="N58" s="125">
        <f t="shared" si="17"/>
        <v>0</v>
      </c>
      <c r="O58" s="125">
        <f t="shared" si="17"/>
        <v>6735.96</v>
      </c>
      <c r="P58" s="125">
        <f t="shared" si="17"/>
        <v>1685426.7606219216</v>
      </c>
      <c r="Q58" s="125">
        <f t="shared" si="17"/>
        <v>1941865.94</v>
      </c>
      <c r="R58" s="123">
        <f t="shared" si="17"/>
        <v>3.4688079445896252E-3</v>
      </c>
      <c r="S58" s="124">
        <f t="shared" si="17"/>
        <v>282.8</v>
      </c>
      <c r="T58" s="125">
        <f t="shared" si="17"/>
        <v>0</v>
      </c>
      <c r="U58" s="125">
        <f t="shared" si="17"/>
        <v>282.8</v>
      </c>
      <c r="V58" s="125">
        <f t="shared" si="17"/>
        <v>141429.66581366656</v>
      </c>
      <c r="W58" s="125">
        <f t="shared" si="17"/>
        <v>142566.04</v>
      </c>
      <c r="X58" s="123">
        <f t="shared" si="17"/>
        <v>1.9836421071946727E-3</v>
      </c>
    </row>
    <row r="59" spans="2:24" s="126" customFormat="1" x14ac:dyDescent="0.35">
      <c r="B59" s="193" t="s">
        <v>51</v>
      </c>
      <c r="C59" s="115">
        <v>0</v>
      </c>
      <c r="D59" s="117">
        <v>996.33701283875155</v>
      </c>
      <c r="E59" s="117">
        <v>996.33701283875155</v>
      </c>
      <c r="F59" s="117">
        <v>996.33701283875155</v>
      </c>
      <c r="G59" s="274">
        <f t="shared" si="0"/>
        <v>0</v>
      </c>
      <c r="H59" s="116">
        <v>0</v>
      </c>
      <c r="I59" s="117">
        <v>42392.367165071424</v>
      </c>
      <c r="J59" s="117">
        <v>42806</v>
      </c>
      <c r="K59" s="117">
        <v>42927.839099999997</v>
      </c>
      <c r="L59" s="274">
        <f t="shared" si="1"/>
        <v>0</v>
      </c>
      <c r="M59" s="118">
        <f t="shared" si="2"/>
        <v>0</v>
      </c>
      <c r="N59" s="119">
        <v>0</v>
      </c>
      <c r="O59" s="119">
        <v>0</v>
      </c>
      <c r="P59" s="119">
        <v>1089672.9299999997</v>
      </c>
      <c r="Q59" s="119">
        <v>1089672.9299999997</v>
      </c>
      <c r="R59" s="275">
        <f t="shared" si="3"/>
        <v>0</v>
      </c>
      <c r="S59" s="118">
        <f t="shared" si="4"/>
        <v>0</v>
      </c>
      <c r="T59" s="119">
        <v>0</v>
      </c>
      <c r="U59" s="119">
        <v>0</v>
      </c>
      <c r="V59" s="119">
        <v>266287.12300750928</v>
      </c>
      <c r="W59" s="119">
        <v>266287.12300750928</v>
      </c>
      <c r="X59" s="275">
        <f t="shared" si="5"/>
        <v>0</v>
      </c>
    </row>
    <row r="60" spans="2:24" s="126" customFormat="1" x14ac:dyDescent="0.35">
      <c r="B60" s="193" t="s">
        <v>52</v>
      </c>
      <c r="C60" s="115">
        <v>0</v>
      </c>
      <c r="D60" s="117">
        <v>341.7</v>
      </c>
      <c r="E60" s="117">
        <v>341.7</v>
      </c>
      <c r="F60" s="117">
        <v>341.7</v>
      </c>
      <c r="G60" s="274">
        <f t="shared" si="0"/>
        <v>0</v>
      </c>
      <c r="H60" s="116">
        <v>0</v>
      </c>
      <c r="I60" s="117">
        <v>960</v>
      </c>
      <c r="J60" s="117">
        <v>960</v>
      </c>
      <c r="K60" s="117">
        <v>960</v>
      </c>
      <c r="L60" s="274">
        <f t="shared" si="1"/>
        <v>0</v>
      </c>
      <c r="M60" s="118">
        <f t="shared" si="2"/>
        <v>0</v>
      </c>
      <c r="N60" s="119">
        <v>0</v>
      </c>
      <c r="O60" s="119">
        <v>0</v>
      </c>
      <c r="P60" s="119">
        <v>30000.000000000004</v>
      </c>
      <c r="Q60" s="119">
        <v>30000.000000000004</v>
      </c>
      <c r="R60" s="275">
        <f t="shared" si="3"/>
        <v>0</v>
      </c>
      <c r="S60" s="118">
        <f t="shared" si="4"/>
        <v>0</v>
      </c>
      <c r="T60" s="119">
        <v>0</v>
      </c>
      <c r="U60" s="119">
        <v>0</v>
      </c>
      <c r="V60" s="119">
        <v>1848.9817641561558</v>
      </c>
      <c r="W60" s="119">
        <v>1848.9817641561558</v>
      </c>
      <c r="X60" s="275">
        <f t="shared" si="5"/>
        <v>0</v>
      </c>
    </row>
    <row r="61" spans="2:24" s="126" customFormat="1" x14ac:dyDescent="0.35">
      <c r="B61" s="193" t="s">
        <v>53</v>
      </c>
      <c r="C61" s="115">
        <v>0</v>
      </c>
      <c r="D61" s="117">
        <v>201.19550231726905</v>
      </c>
      <c r="E61" s="117">
        <v>201.19550231726905</v>
      </c>
      <c r="F61" s="117">
        <v>201.19550231726905</v>
      </c>
      <c r="G61" s="274">
        <f t="shared" si="0"/>
        <v>0</v>
      </c>
      <c r="H61" s="116">
        <v>0</v>
      </c>
      <c r="I61" s="117">
        <v>23875.15695880571</v>
      </c>
      <c r="J61" s="117">
        <v>27541</v>
      </c>
      <c r="K61" s="117">
        <v>23875.15695880571</v>
      </c>
      <c r="L61" s="274">
        <f t="shared" si="1"/>
        <v>0</v>
      </c>
      <c r="M61" s="118">
        <f t="shared" si="2"/>
        <v>0</v>
      </c>
      <c r="N61" s="119">
        <v>0</v>
      </c>
      <c r="O61" s="119">
        <v>0</v>
      </c>
      <c r="P61" s="119">
        <v>199691.57959644435</v>
      </c>
      <c r="Q61" s="119">
        <v>199691.57959644435</v>
      </c>
      <c r="R61" s="275">
        <f t="shared" si="3"/>
        <v>0</v>
      </c>
      <c r="S61" s="118">
        <f t="shared" si="4"/>
        <v>0</v>
      </c>
      <c r="T61" s="119">
        <v>0</v>
      </c>
      <c r="U61" s="119">
        <v>0</v>
      </c>
      <c r="V61" s="119">
        <v>37199.554127287935</v>
      </c>
      <c r="W61" s="119">
        <v>37199.554127287935</v>
      </c>
      <c r="X61" s="275">
        <f t="shared" si="5"/>
        <v>0</v>
      </c>
    </row>
    <row r="62" spans="2:24" s="126" customFormat="1" x14ac:dyDescent="0.35">
      <c r="B62" s="193" t="s">
        <v>54</v>
      </c>
      <c r="C62" s="127">
        <v>0</v>
      </c>
      <c r="D62" s="117">
        <v>112.07855080607848</v>
      </c>
      <c r="E62" s="117">
        <v>112.07855080607848</v>
      </c>
      <c r="F62" s="117">
        <v>112.07855080607848</v>
      </c>
      <c r="G62" s="274">
        <f t="shared" si="0"/>
        <v>0</v>
      </c>
      <c r="H62" s="116">
        <v>0</v>
      </c>
      <c r="I62" s="117">
        <v>34595.003924999997</v>
      </c>
      <c r="J62" s="117">
        <v>30751</v>
      </c>
      <c r="K62" s="117">
        <v>34595.003924999997</v>
      </c>
      <c r="L62" s="274">
        <f t="shared" si="1"/>
        <v>0</v>
      </c>
      <c r="M62" s="118">
        <f t="shared" si="2"/>
        <v>0</v>
      </c>
      <c r="N62" s="119">
        <v>0</v>
      </c>
      <c r="O62" s="119">
        <v>0</v>
      </c>
      <c r="P62" s="119">
        <v>57500</v>
      </c>
      <c r="Q62" s="119">
        <v>57500</v>
      </c>
      <c r="R62" s="275">
        <f t="shared" si="3"/>
        <v>0</v>
      </c>
      <c r="S62" s="118">
        <f t="shared" si="4"/>
        <v>0</v>
      </c>
      <c r="T62" s="119">
        <v>0</v>
      </c>
      <c r="U62" s="119">
        <v>0</v>
      </c>
      <c r="V62" s="119">
        <v>0</v>
      </c>
      <c r="W62" s="119">
        <v>0</v>
      </c>
      <c r="X62" s="275" t="str">
        <f t="shared" si="5"/>
        <v>NA</v>
      </c>
    </row>
    <row r="63" spans="2:24" s="126" customFormat="1" x14ac:dyDescent="0.35">
      <c r="B63" s="193" t="s">
        <v>55</v>
      </c>
      <c r="C63" s="127">
        <v>0</v>
      </c>
      <c r="D63" s="117">
        <v>4046.7376528451841</v>
      </c>
      <c r="E63" s="117">
        <v>4046.7376528451841</v>
      </c>
      <c r="F63" s="117">
        <v>4032</v>
      </c>
      <c r="G63" s="274">
        <f t="shared" si="0"/>
        <v>0</v>
      </c>
      <c r="H63" s="116">
        <v>0</v>
      </c>
      <c r="I63" s="117">
        <v>0</v>
      </c>
      <c r="J63" s="117">
        <v>0</v>
      </c>
      <c r="K63" s="117">
        <v>0</v>
      </c>
      <c r="L63" s="274" t="str">
        <f t="shared" si="1"/>
        <v>NA</v>
      </c>
      <c r="M63" s="118">
        <f t="shared" si="2"/>
        <v>0</v>
      </c>
      <c r="N63" s="119">
        <v>0</v>
      </c>
      <c r="O63" s="119">
        <v>0</v>
      </c>
      <c r="P63" s="119">
        <v>1214021.2958535552</v>
      </c>
      <c r="Q63" s="119">
        <v>1214021.2958535552</v>
      </c>
      <c r="R63" s="275">
        <f t="shared" si="3"/>
        <v>0</v>
      </c>
      <c r="S63" s="118">
        <f t="shared" si="4"/>
        <v>0</v>
      </c>
      <c r="T63" s="119">
        <v>0</v>
      </c>
      <c r="U63" s="119">
        <v>0</v>
      </c>
      <c r="V63" s="119">
        <v>183569.27110104664</v>
      </c>
      <c r="W63" s="119">
        <v>183569.27110104664</v>
      </c>
      <c r="X63" s="275">
        <f t="shared" si="5"/>
        <v>0</v>
      </c>
    </row>
    <row r="64" spans="2:24" s="114" customFormat="1" x14ac:dyDescent="0.35">
      <c r="B64" s="193"/>
      <c r="C64" s="127"/>
      <c r="D64" s="117"/>
      <c r="E64" s="117"/>
      <c r="F64" s="117"/>
      <c r="G64" s="161"/>
      <c r="H64" s="116"/>
      <c r="I64" s="117"/>
      <c r="J64" s="117"/>
      <c r="K64" s="117"/>
      <c r="L64" s="161"/>
      <c r="M64" s="118"/>
      <c r="N64" s="119"/>
      <c r="O64" s="119"/>
      <c r="P64" s="119"/>
      <c r="Q64" s="119"/>
      <c r="R64" s="120"/>
      <c r="S64" s="118"/>
      <c r="T64" s="119"/>
      <c r="U64" s="119"/>
      <c r="V64" s="119"/>
      <c r="W64" s="119"/>
      <c r="X64" s="120"/>
    </row>
    <row r="65" spans="2:24" s="107" customFormat="1" x14ac:dyDescent="0.35">
      <c r="B65" s="194" t="s">
        <v>56</v>
      </c>
      <c r="C65" s="151">
        <f>SUM(C54:C64)</f>
        <v>12805</v>
      </c>
      <c r="D65" s="152">
        <f>SUM(D54:D64)</f>
        <v>36259.7734374949</v>
      </c>
      <c r="E65" s="152">
        <f>SUM(E54:E64)</f>
        <v>36259.7734374949</v>
      </c>
      <c r="F65" s="152">
        <f>SUM(F54:F64)</f>
        <v>40140.311065962102</v>
      </c>
      <c r="G65" s="163">
        <f t="shared" si="0"/>
        <v>0.31900599820857628</v>
      </c>
      <c r="H65" s="151">
        <f>SUM(H54:H64)</f>
        <v>36871.93</v>
      </c>
      <c r="I65" s="152">
        <f>SUM(I54:I64)</f>
        <v>312630.52804887714</v>
      </c>
      <c r="J65" s="152">
        <f>SUM(J54:J64)</f>
        <v>792852</v>
      </c>
      <c r="K65" s="152">
        <f>SUM(K54:K64)</f>
        <v>719923.9999838057</v>
      </c>
      <c r="L65" s="163">
        <f t="shared" ref="L65" si="18">IF(K65=0,"NA",H65/K65)</f>
        <v>5.1216420067714666E-2</v>
      </c>
      <c r="M65" s="154">
        <f t="shared" si="2"/>
        <v>1391702.21</v>
      </c>
      <c r="N65" s="155">
        <f>SUM(N54:N64)</f>
        <v>1160231.5</v>
      </c>
      <c r="O65" s="155">
        <f>SUM(O54:O64)</f>
        <v>231470.71000000002</v>
      </c>
      <c r="P65" s="155">
        <f>SUM(P54:P64)</f>
        <v>10570445.111721098</v>
      </c>
      <c r="Q65" s="155">
        <f>SUM(Q54:Q64)</f>
        <v>10911156.745449999</v>
      </c>
      <c r="R65" s="153">
        <f t="shared" si="3"/>
        <v>0.12754854892725703</v>
      </c>
      <c r="S65" s="154">
        <f t="shared" si="4"/>
        <v>18590.870000000003</v>
      </c>
      <c r="T65" s="155">
        <f>SUM(T54:T64)</f>
        <v>13378</v>
      </c>
      <c r="U65" s="155">
        <f>SUM(U54:U64)</f>
        <v>5212.8700000000008</v>
      </c>
      <c r="V65" s="155">
        <f>SUM(V54:V64)</f>
        <v>920621.96081366646</v>
      </c>
      <c r="W65" s="155">
        <f>SUM(W54:W64)</f>
        <v>924755.99</v>
      </c>
      <c r="X65" s="153">
        <f t="shared" si="5"/>
        <v>2.0103541043297275E-2</v>
      </c>
    </row>
    <row r="66" spans="2:24" s="107" customFormat="1" x14ac:dyDescent="0.35">
      <c r="B66" s="196" t="s">
        <v>57</v>
      </c>
      <c r="C66" s="141"/>
      <c r="D66" s="142"/>
      <c r="E66" s="142"/>
      <c r="F66" s="142"/>
      <c r="G66" s="160"/>
      <c r="H66" s="144"/>
      <c r="I66" s="145"/>
      <c r="J66" s="142"/>
      <c r="K66" s="142"/>
      <c r="L66" s="160"/>
      <c r="M66" s="146"/>
      <c r="N66" s="147"/>
      <c r="O66" s="147"/>
      <c r="P66" s="147"/>
      <c r="Q66" s="147"/>
      <c r="R66" s="143"/>
      <c r="S66" s="146"/>
      <c r="T66" s="147"/>
      <c r="U66" s="147"/>
      <c r="V66" s="147"/>
      <c r="W66" s="147"/>
      <c r="X66" s="143"/>
    </row>
    <row r="67" spans="2:24" s="114" customFormat="1" ht="15.9" customHeight="1" x14ac:dyDescent="0.35">
      <c r="B67" s="199"/>
      <c r="C67" s="128"/>
      <c r="D67" s="129"/>
      <c r="E67" s="129"/>
      <c r="F67" s="129"/>
      <c r="G67" s="156"/>
      <c r="H67" s="116"/>
      <c r="I67" s="117"/>
      <c r="J67" s="129"/>
      <c r="K67" s="129"/>
      <c r="L67" s="156"/>
      <c r="M67" s="118"/>
      <c r="N67" s="131"/>
      <c r="O67" s="131"/>
      <c r="P67" s="131"/>
      <c r="Q67" s="131"/>
      <c r="R67" s="130"/>
      <c r="S67" s="118"/>
      <c r="T67" s="131"/>
      <c r="U67" s="131"/>
      <c r="V67" s="131"/>
      <c r="W67" s="131"/>
      <c r="X67" s="130"/>
    </row>
    <row r="68" spans="2:24" s="114" customFormat="1" ht="15.9" customHeight="1" x14ac:dyDescent="0.35">
      <c r="B68" s="200"/>
      <c r="C68" s="127"/>
      <c r="D68" s="117"/>
      <c r="E68" s="117"/>
      <c r="F68" s="117"/>
      <c r="G68" s="161"/>
      <c r="H68" s="116"/>
      <c r="I68" s="117"/>
      <c r="J68" s="117"/>
      <c r="K68" s="117"/>
      <c r="L68" s="161"/>
      <c r="M68" s="118"/>
      <c r="N68" s="119"/>
      <c r="O68" s="119"/>
      <c r="P68" s="119"/>
      <c r="Q68" s="119"/>
      <c r="R68" s="120"/>
      <c r="S68" s="118"/>
      <c r="T68" s="119"/>
      <c r="U68" s="119"/>
      <c r="V68" s="119"/>
      <c r="W68" s="119"/>
      <c r="X68" s="120"/>
    </row>
    <row r="69" spans="2:24" s="107" customFormat="1" x14ac:dyDescent="0.35">
      <c r="B69" s="201" t="s">
        <v>58</v>
      </c>
      <c r="C69" s="18">
        <f>SUM(C67:C68)</f>
        <v>0</v>
      </c>
      <c r="D69" s="19">
        <f>SUM(D67:D68)</f>
        <v>0</v>
      </c>
      <c r="E69" s="19">
        <f>SUM(E67:E68)</f>
        <v>0</v>
      </c>
      <c r="F69" s="19">
        <f>SUM(F67:F68)</f>
        <v>0</v>
      </c>
      <c r="G69" s="158" t="str">
        <f t="shared" si="0"/>
        <v>NA</v>
      </c>
      <c r="H69" s="18">
        <f>SUM(H67:H68)</f>
        <v>0</v>
      </c>
      <c r="I69" s="19">
        <f>SUM(I67:I68)</f>
        <v>0</v>
      </c>
      <c r="J69" s="19">
        <f>SUM(J67:J68)</f>
        <v>0</v>
      </c>
      <c r="K69" s="19">
        <f>SUM(K67:K68)</f>
        <v>0</v>
      </c>
      <c r="L69" s="158" t="str">
        <f t="shared" ref="L69" si="19">IF(K69=0,"NA",H69/K69)</f>
        <v>NA</v>
      </c>
      <c r="M69" s="25">
        <f t="shared" si="2"/>
        <v>0</v>
      </c>
      <c r="N69" s="29">
        <f>SUM(N67:N68)</f>
        <v>0</v>
      </c>
      <c r="O69" s="29">
        <f t="shared" ref="O69:Q69" si="20">SUM(O67:O68)</f>
        <v>0</v>
      </c>
      <c r="P69" s="29">
        <f t="shared" si="20"/>
        <v>0</v>
      </c>
      <c r="Q69" s="29">
        <f t="shared" si="20"/>
        <v>0</v>
      </c>
      <c r="R69" s="13" t="str">
        <f t="shared" si="3"/>
        <v>NA</v>
      </c>
      <c r="S69" s="25">
        <f t="shared" si="4"/>
        <v>0</v>
      </c>
      <c r="T69" s="29">
        <f>SUM(T67:T68)</f>
        <v>0</v>
      </c>
      <c r="U69" s="29">
        <f t="shared" ref="U69" si="21">SUM(U67:U68)</f>
        <v>0</v>
      </c>
      <c r="V69" s="29">
        <f t="shared" ref="V69" si="22">SUM(V67:V68)</f>
        <v>0</v>
      </c>
      <c r="W69" s="29">
        <f t="shared" ref="W69" si="23">SUM(W67:W68)</f>
        <v>0</v>
      </c>
      <c r="X69" s="13" t="str">
        <f t="shared" si="5"/>
        <v>NA</v>
      </c>
    </row>
    <row r="70" spans="2:24" s="107" customFormat="1" x14ac:dyDescent="0.35">
      <c r="B70" s="201" t="s">
        <v>59</v>
      </c>
      <c r="C70" s="20">
        <v>0</v>
      </c>
      <c r="D70" s="21">
        <v>18096.71</v>
      </c>
      <c r="E70" s="21">
        <v>18096.71</v>
      </c>
      <c r="F70" s="21">
        <v>15779</v>
      </c>
      <c r="G70" s="164">
        <f t="shared" si="0"/>
        <v>0</v>
      </c>
      <c r="H70" s="20">
        <v>0</v>
      </c>
      <c r="I70" s="21"/>
      <c r="J70" s="21">
        <v>-617635</v>
      </c>
      <c r="K70" s="21">
        <v>-538542</v>
      </c>
      <c r="L70" s="164">
        <f t="shared" si="1"/>
        <v>0</v>
      </c>
      <c r="M70" s="26">
        <f t="shared" si="2"/>
        <v>0</v>
      </c>
      <c r="N70" s="30"/>
      <c r="O70" s="30"/>
      <c r="P70" s="30"/>
      <c r="Q70" s="30"/>
      <c r="R70" s="15" t="str">
        <f t="shared" si="3"/>
        <v>NA</v>
      </c>
      <c r="S70" s="26">
        <f t="shared" si="4"/>
        <v>0</v>
      </c>
      <c r="T70" s="30"/>
      <c r="U70" s="30"/>
      <c r="V70" s="30"/>
      <c r="W70" s="30"/>
      <c r="X70" s="15" t="str">
        <f t="shared" si="5"/>
        <v>NA</v>
      </c>
    </row>
    <row r="71" spans="2:24" s="107" customFormat="1" x14ac:dyDescent="0.35">
      <c r="B71" s="201" t="s">
        <v>60</v>
      </c>
      <c r="C71" s="18">
        <v>21296</v>
      </c>
      <c r="D71" s="19">
        <v>73292</v>
      </c>
      <c r="E71" s="19">
        <v>73292</v>
      </c>
      <c r="F71" s="19">
        <v>78500</v>
      </c>
      <c r="G71" s="158">
        <f t="shared" si="0"/>
        <v>0.27128662420382166</v>
      </c>
      <c r="H71" s="18">
        <v>0</v>
      </c>
      <c r="I71" s="19">
        <v>0</v>
      </c>
      <c r="J71" s="19">
        <v>0</v>
      </c>
      <c r="K71" s="19">
        <v>0</v>
      </c>
      <c r="L71" s="158" t="str">
        <f t="shared" si="1"/>
        <v>NA</v>
      </c>
      <c r="M71" s="25">
        <f t="shared" si="2"/>
        <v>0</v>
      </c>
      <c r="N71" s="29"/>
      <c r="O71" s="29"/>
      <c r="P71" s="29"/>
      <c r="Q71" s="29"/>
      <c r="R71" s="13" t="str">
        <f t="shared" si="3"/>
        <v>NA</v>
      </c>
      <c r="S71" s="25">
        <f t="shared" si="4"/>
        <v>0</v>
      </c>
      <c r="T71" s="29"/>
      <c r="U71" s="29"/>
      <c r="V71" s="29"/>
      <c r="W71" s="29"/>
      <c r="X71" s="13" t="str">
        <f t="shared" si="5"/>
        <v>NA</v>
      </c>
    </row>
    <row r="72" spans="2:24" s="107" customFormat="1" ht="38.4" customHeight="1" thickBot="1" x14ac:dyDescent="0.4">
      <c r="B72" s="202" t="s">
        <v>61</v>
      </c>
      <c r="C72" s="22">
        <f>SUM(C31,C43,C52,C59:C64,C69,C70,C71)</f>
        <v>76802</v>
      </c>
      <c r="D72" s="23">
        <f>SUM(D31,D43,D52,D59:D64,D69,D70,D71)</f>
        <v>426742.38496943371</v>
      </c>
      <c r="E72" s="23">
        <f>SUM(E31,E43,E52,E59:E64,E69,E70,E71)</f>
        <v>426742.38496943371</v>
      </c>
      <c r="F72" s="23">
        <f>SUM(F31,F43,F52,F59:F64,F69,F70,F71)</f>
        <v>431634.31106596213</v>
      </c>
      <c r="G72" s="14">
        <f t="shared" si="0"/>
        <v>0.17793302810040779</v>
      </c>
      <c r="H72" s="22">
        <f>SUM(H31,H43,H52,H59:H64,H69,H70,H71)</f>
        <v>231010.68</v>
      </c>
      <c r="I72" s="23">
        <f>SUM(I31,I43,I52,I59:I64,I69,I70,I71)</f>
        <v>3369258.5280488771</v>
      </c>
      <c r="J72" s="23">
        <f>SUM(J31,J43,J52,J59:J64,J69,J70,J71)</f>
        <v>3358430</v>
      </c>
      <c r="K72" s="23">
        <f>SUM(K31,K43,K52,K59:K64,K69,K70,K71)</f>
        <v>3528478.9999838057</v>
      </c>
      <c r="L72" s="165">
        <f t="shared" si="1"/>
        <v>6.5470328717008155E-2</v>
      </c>
      <c r="M72" s="27">
        <f t="shared" si="2"/>
        <v>14289767.559999999</v>
      </c>
      <c r="N72" s="31">
        <f>SUM(N31,N43,N52,N59:N64,N69:N71)</f>
        <v>6798203.1399999997</v>
      </c>
      <c r="O72" s="31">
        <f>SUM(O31,O43,O52,O59:O64,O69:O71)</f>
        <v>7491564.4199999999</v>
      </c>
      <c r="P72" s="31">
        <f>SUM(P31,P43,P52,P59:P64,P69:P71)</f>
        <v>90895351.430572495</v>
      </c>
      <c r="Q72" s="31">
        <f>SUM(Q31,Q43,Q52,Q59:Q64,Q69:Q71)</f>
        <v>90600198.785449997</v>
      </c>
      <c r="R72" s="14">
        <f t="shared" si="3"/>
        <v>0.15772335769195767</v>
      </c>
      <c r="S72" s="27">
        <f t="shared" si="4"/>
        <v>1567801.1400000001</v>
      </c>
      <c r="T72" s="31">
        <f>SUM(T31,T43,T52,T59:T64,T69:T71)</f>
        <v>501037.21</v>
      </c>
      <c r="U72" s="31">
        <f>SUM(U31,U43,U52,U59:U64,U69:U71)</f>
        <v>1066763.9300000002</v>
      </c>
      <c r="V72" s="31">
        <f>SUM(V31,V43,V52,V59:V64,V69:V71)</f>
        <v>14421155.443483051</v>
      </c>
      <c r="W72" s="31">
        <f>SUM(W31,W43,W52,W59:W64,W69:W71)</f>
        <v>14398583.200000001</v>
      </c>
      <c r="X72" s="14">
        <f t="shared" si="5"/>
        <v>0.1088857923187887</v>
      </c>
    </row>
    <row r="73" spans="2:24" ht="18" customHeight="1" x14ac:dyDescent="0.35">
      <c r="B73" s="132"/>
      <c r="C73" s="133"/>
      <c r="D73" s="134"/>
      <c r="E73" s="135"/>
      <c r="F73" s="135"/>
      <c r="G73" s="136"/>
      <c r="H73" s="136"/>
      <c r="I73" s="136"/>
      <c r="J73" s="136"/>
      <c r="K73" s="136"/>
      <c r="L73" s="136"/>
      <c r="M73" s="136"/>
      <c r="N73" s="136"/>
      <c r="O73" s="279"/>
      <c r="P73" s="136"/>
      <c r="Q73" s="136"/>
      <c r="R73" s="136"/>
      <c r="S73" s="137"/>
      <c r="T73" s="137"/>
      <c r="U73" s="137"/>
      <c r="V73" s="137"/>
      <c r="W73" s="137"/>
      <c r="X73" s="136"/>
    </row>
    <row r="74" spans="2:24" x14ac:dyDescent="0.35">
      <c r="B74" s="133"/>
      <c r="C74" s="133"/>
      <c r="D74" s="138"/>
      <c r="E74" s="138"/>
      <c r="F74" s="138"/>
      <c r="G74" s="136"/>
      <c r="H74" s="136"/>
      <c r="I74" s="136"/>
      <c r="J74" s="136"/>
      <c r="K74" s="136"/>
      <c r="L74" s="136"/>
      <c r="M74" s="136"/>
      <c r="N74" s="136"/>
      <c r="O74" s="136"/>
      <c r="P74" s="136"/>
      <c r="Q74" s="136"/>
      <c r="R74" s="136"/>
      <c r="S74" s="137"/>
      <c r="T74" s="137"/>
      <c r="U74" s="137"/>
      <c r="V74" s="137"/>
      <c r="W74" s="137"/>
      <c r="X74" s="136"/>
    </row>
    <row r="75" spans="2:24" x14ac:dyDescent="0.35">
      <c r="B75" s="139" t="s">
        <v>62</v>
      </c>
      <c r="C75" s="139"/>
      <c r="W75" s="140"/>
    </row>
    <row r="76" spans="2:24" x14ac:dyDescent="0.35">
      <c r="B76" s="294" t="s">
        <v>63</v>
      </c>
      <c r="C76" s="295"/>
      <c r="D76" s="295"/>
      <c r="E76" s="295"/>
      <c r="F76" s="295"/>
      <c r="G76" s="295"/>
      <c r="H76" s="295"/>
      <c r="I76" s="295"/>
      <c r="J76" s="295"/>
      <c r="K76" s="295"/>
      <c r="L76" s="295"/>
      <c r="M76" s="295"/>
      <c r="N76" s="295"/>
      <c r="O76" s="295"/>
      <c r="P76" s="295"/>
      <c r="Q76" s="295"/>
      <c r="R76" s="295"/>
      <c r="S76" s="295"/>
      <c r="T76" s="295"/>
      <c r="U76" s="295"/>
      <c r="V76" s="295"/>
      <c r="W76" s="295"/>
      <c r="X76" s="296"/>
    </row>
    <row r="77" spans="2:24" ht="17.399999999999999" customHeight="1" x14ac:dyDescent="0.35">
      <c r="B77" s="297" t="s">
        <v>64</v>
      </c>
      <c r="C77" s="298"/>
      <c r="D77" s="298"/>
      <c r="E77" s="298"/>
      <c r="F77" s="298"/>
      <c r="G77" s="298"/>
      <c r="H77" s="298"/>
      <c r="I77" s="298"/>
      <c r="J77" s="298"/>
      <c r="K77" s="298"/>
      <c r="L77" s="298"/>
      <c r="M77" s="298"/>
      <c r="N77" s="298"/>
      <c r="O77" s="298"/>
      <c r="P77" s="298"/>
      <c r="Q77" s="298"/>
      <c r="R77" s="298"/>
      <c r="S77" s="298"/>
      <c r="T77" s="298"/>
      <c r="U77" s="298"/>
      <c r="V77" s="298"/>
      <c r="W77" s="298"/>
      <c r="X77" s="299"/>
    </row>
    <row r="78" spans="2:24" x14ac:dyDescent="0.35">
      <c r="B78" s="288" t="s">
        <v>65</v>
      </c>
      <c r="C78" s="289"/>
      <c r="D78" s="289"/>
      <c r="E78" s="289"/>
      <c r="F78" s="289"/>
      <c r="G78" s="289"/>
      <c r="H78" s="289"/>
      <c r="I78" s="289"/>
      <c r="J78" s="289"/>
      <c r="K78" s="289"/>
      <c r="L78" s="289"/>
      <c r="M78" s="289"/>
      <c r="N78" s="289"/>
      <c r="O78" s="289"/>
      <c r="P78" s="289"/>
      <c r="Q78" s="289"/>
      <c r="R78" s="289"/>
      <c r="S78" s="289"/>
      <c r="T78" s="289"/>
      <c r="U78" s="289"/>
      <c r="V78" s="289"/>
      <c r="W78" s="289"/>
      <c r="X78" s="290"/>
    </row>
    <row r="79" spans="2:24" x14ac:dyDescent="0.35">
      <c r="B79" s="291"/>
      <c r="C79" s="292"/>
      <c r="D79" s="292"/>
      <c r="E79" s="292"/>
      <c r="F79" s="292"/>
      <c r="G79" s="292"/>
      <c r="H79" s="292"/>
      <c r="I79" s="292"/>
      <c r="J79" s="292"/>
      <c r="K79" s="292"/>
      <c r="L79" s="292"/>
      <c r="M79" s="292"/>
      <c r="N79" s="292"/>
      <c r="O79" s="292"/>
      <c r="P79" s="292"/>
      <c r="Q79" s="292"/>
      <c r="R79" s="292"/>
      <c r="S79" s="292"/>
      <c r="T79" s="292"/>
      <c r="U79" s="292"/>
      <c r="V79" s="292"/>
      <c r="W79" s="292"/>
      <c r="X79" s="293"/>
    </row>
    <row r="80" spans="2:24" ht="30.65" customHeight="1" x14ac:dyDescent="0.35">
      <c r="B80" s="280" t="s">
        <v>66</v>
      </c>
      <c r="C80" s="280"/>
      <c r="D80" s="280"/>
      <c r="E80" s="280"/>
      <c r="F80" s="280"/>
      <c r="G80" s="280"/>
      <c r="H80" s="280"/>
      <c r="I80" s="280"/>
      <c r="J80" s="280"/>
      <c r="K80" s="280"/>
      <c r="L80" s="280"/>
      <c r="M80" s="280"/>
      <c r="N80" s="280"/>
      <c r="O80" s="280"/>
      <c r="P80" s="280"/>
      <c r="Q80" s="280"/>
      <c r="R80" s="280"/>
      <c r="S80" s="280"/>
      <c r="T80" s="280"/>
      <c r="U80" s="280"/>
      <c r="V80" s="280"/>
      <c r="W80" s="280"/>
      <c r="X80" s="280"/>
    </row>
  </sheetData>
  <mergeCells count="10">
    <mergeCell ref="B80:X80"/>
    <mergeCell ref="B5:X6"/>
    <mergeCell ref="B8:X16"/>
    <mergeCell ref="B78:X79"/>
    <mergeCell ref="B76:X76"/>
    <mergeCell ref="B77:X77"/>
    <mergeCell ref="C20:G20"/>
    <mergeCell ref="H20:L20"/>
    <mergeCell ref="M20:R20"/>
    <mergeCell ref="S20:X20"/>
  </mergeCells>
  <printOptions headings="1"/>
  <pageMargins left="0.7" right="0.7" top="0.75" bottom="0.75" header="0.3" footer="0.3"/>
  <pageSetup scale="44" orientation="portrait" r:id="rId1"/>
  <ignoredErrors>
    <ignoredError sqref="G52 G43 G31 G69 G72 G59:G65" formula="1"/>
    <ignoredError sqref="M23:M29 M32:M41 M59:M63 S23:S29 S32:S41 S45:S50 S59:S63 M42:M5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0"/>
  <sheetViews>
    <sheetView zoomScale="85" zoomScaleNormal="85" workbookViewId="0"/>
  </sheetViews>
  <sheetFormatPr defaultColWidth="9.08984375" defaultRowHeight="14.5" x14ac:dyDescent="0.35"/>
  <cols>
    <col min="1" max="1" width="3.453125" style="64" customWidth="1"/>
    <col min="2" max="2" width="87" style="166" bestFit="1" customWidth="1"/>
    <col min="3" max="3" width="19.36328125" style="166" customWidth="1"/>
    <col min="4" max="7" width="19.36328125" style="64" customWidth="1"/>
    <col min="8" max="16384" width="9.08984375" style="64"/>
  </cols>
  <sheetData>
    <row r="1" spans="1:5" x14ac:dyDescent="0.35">
      <c r="A1" s="64" t="s">
        <v>265</v>
      </c>
      <c r="B1" s="65" t="s">
        <v>0</v>
      </c>
    </row>
    <row r="2" spans="1:5" x14ac:dyDescent="0.35">
      <c r="B2" s="65" t="s">
        <v>67</v>
      </c>
    </row>
    <row r="3" spans="1:5" x14ac:dyDescent="0.35">
      <c r="B3" s="65" t="s">
        <v>68</v>
      </c>
    </row>
    <row r="4" spans="1:5" x14ac:dyDescent="0.35">
      <c r="B4" s="65"/>
    </row>
    <row r="5" spans="1:5" ht="37.5" customHeight="1" x14ac:dyDescent="0.35">
      <c r="B5" s="303" t="s">
        <v>69</v>
      </c>
      <c r="C5" s="304"/>
      <c r="D5" s="304"/>
      <c r="E5" s="305"/>
    </row>
    <row r="6" spans="1:5" ht="37.5" customHeight="1" x14ac:dyDescent="0.35">
      <c r="B6" s="306"/>
      <c r="C6" s="307"/>
      <c r="D6" s="307"/>
      <c r="E6" s="308"/>
    </row>
    <row r="7" spans="1:5" ht="18.75" customHeight="1" x14ac:dyDescent="0.35">
      <c r="B7" s="309"/>
      <c r="C7" s="310"/>
      <c r="D7" s="310"/>
      <c r="E7" s="311"/>
    </row>
    <row r="9" spans="1:5" x14ac:dyDescent="0.35">
      <c r="B9" s="65" t="s">
        <v>70</v>
      </c>
    </row>
    <row r="10" spans="1:5" x14ac:dyDescent="0.35">
      <c r="B10" s="65"/>
    </row>
    <row r="11" spans="1:5" ht="37.5" x14ac:dyDescent="0.35">
      <c r="B11" s="35" t="s">
        <v>71</v>
      </c>
      <c r="C11" s="36" t="s">
        <v>72</v>
      </c>
      <c r="D11" s="36" t="s">
        <v>73</v>
      </c>
      <c r="E11" s="36" t="s">
        <v>74</v>
      </c>
    </row>
    <row r="12" spans="1:5" s="67" customFormat="1" ht="21" customHeight="1" x14ac:dyDescent="0.35">
      <c r="B12" s="182" t="s">
        <v>75</v>
      </c>
      <c r="C12" s="183"/>
      <c r="D12" s="183"/>
      <c r="E12" s="184"/>
    </row>
    <row r="13" spans="1:5" x14ac:dyDescent="0.35">
      <c r="B13" s="167" t="s">
        <v>76</v>
      </c>
      <c r="C13" s="168">
        <f>'1- Ex Ante Results'!M32</f>
        <v>6934680.8499999996</v>
      </c>
      <c r="D13" s="168">
        <f>'1- Ex Ante Results'!S32</f>
        <v>507217.48</v>
      </c>
      <c r="E13" s="168">
        <f>SUM(C13:D13)</f>
        <v>7441898.3300000001</v>
      </c>
    </row>
    <row r="14" spans="1:5" x14ac:dyDescent="0.35">
      <c r="B14" s="169" t="s">
        <v>77</v>
      </c>
      <c r="C14" s="170">
        <f>'1- Ex Ante Results'!M33</f>
        <v>1089708.6099999999</v>
      </c>
      <c r="D14" s="170">
        <f>'1- Ex Ante Results'!S33</f>
        <v>168946.30000000002</v>
      </c>
      <c r="E14" s="168">
        <f t="shared" ref="E14:E17" si="0">SUM(C14:D14)</f>
        <v>1258654.9099999999</v>
      </c>
    </row>
    <row r="15" spans="1:5" x14ac:dyDescent="0.35">
      <c r="B15" s="169" t="s">
        <v>33</v>
      </c>
      <c r="C15" s="170">
        <f>'1- Ex Ante Results'!M43</f>
        <v>1876254.27</v>
      </c>
      <c r="D15" s="170">
        <f>'1- Ex Ante Results'!S43</f>
        <v>174725.66</v>
      </c>
      <c r="E15" s="168">
        <f t="shared" si="0"/>
        <v>2050979.93</v>
      </c>
    </row>
    <row r="16" spans="1:5" x14ac:dyDescent="0.35">
      <c r="B16" s="169" t="s">
        <v>42</v>
      </c>
      <c r="C16" s="170">
        <f>'1- Ex Ante Results'!M52</f>
        <v>4389123.83</v>
      </c>
      <c r="D16" s="170">
        <f>'1- Ex Ante Results'!S52</f>
        <v>716911.70000000007</v>
      </c>
      <c r="E16" s="168">
        <f t="shared" si="0"/>
        <v>5106035.53</v>
      </c>
    </row>
    <row r="17" spans="2:7" x14ac:dyDescent="0.35">
      <c r="B17" s="171" t="s">
        <v>78</v>
      </c>
      <c r="C17" s="172">
        <f>'1- Ex Ante Results'!M65</f>
        <v>1391702.21</v>
      </c>
      <c r="D17" s="172">
        <f>'1- Ex Ante Results'!S65</f>
        <v>18590.870000000003</v>
      </c>
      <c r="E17" s="173">
        <f t="shared" si="0"/>
        <v>1410293.08</v>
      </c>
    </row>
    <row r="18" spans="2:7" s="67" customFormat="1" ht="21.65" customHeight="1" x14ac:dyDescent="0.35">
      <c r="B18" s="37" t="s">
        <v>79</v>
      </c>
      <c r="C18" s="38">
        <f>SUM(C13:C16)</f>
        <v>14289767.559999999</v>
      </c>
      <c r="D18" s="38">
        <f t="shared" ref="D18:E18" si="1">SUM(D13:D16)</f>
        <v>1567801.1400000001</v>
      </c>
      <c r="E18" s="38">
        <f t="shared" si="1"/>
        <v>15857568.699999999</v>
      </c>
    </row>
    <row r="19" spans="2:7" s="67" customFormat="1" ht="29.4" customHeight="1" x14ac:dyDescent="0.35">
      <c r="B19" s="185" t="s">
        <v>80</v>
      </c>
      <c r="C19" s="186"/>
      <c r="D19" s="186"/>
      <c r="E19" s="187"/>
    </row>
    <row r="20" spans="2:7" x14ac:dyDescent="0.35">
      <c r="B20" s="174" t="s">
        <v>81</v>
      </c>
      <c r="C20" s="175">
        <f>'1- Ex Ante Results'!M69</f>
        <v>0</v>
      </c>
      <c r="D20" s="175">
        <f>'1- Ex Ante Results'!S67</f>
        <v>0</v>
      </c>
      <c r="E20" s="176">
        <f>SUM(C20:D20)</f>
        <v>0</v>
      </c>
    </row>
    <row r="21" spans="2:7" x14ac:dyDescent="0.35">
      <c r="B21" s="169" t="s">
        <v>82</v>
      </c>
      <c r="C21" s="170">
        <v>109791.16</v>
      </c>
      <c r="D21" s="170">
        <v>14971.52</v>
      </c>
      <c r="E21" s="176">
        <f t="shared" ref="E21:E23" si="2">SUM(C21:D21)</f>
        <v>124762.68000000001</v>
      </c>
    </row>
    <row r="22" spans="2:7" x14ac:dyDescent="0.35">
      <c r="B22" s="177" t="s">
        <v>83</v>
      </c>
      <c r="C22" s="170">
        <v>649232.53</v>
      </c>
      <c r="D22" s="170">
        <v>93048.17</v>
      </c>
      <c r="E22" s="176">
        <f t="shared" si="2"/>
        <v>742280.70000000007</v>
      </c>
    </row>
    <row r="23" spans="2:7" x14ac:dyDescent="0.35">
      <c r="B23" s="169" t="s">
        <v>84</v>
      </c>
      <c r="C23" s="170">
        <v>984155.45</v>
      </c>
      <c r="D23" s="170">
        <v>122136</v>
      </c>
      <c r="E23" s="176">
        <f t="shared" si="2"/>
        <v>1106291.45</v>
      </c>
    </row>
    <row r="24" spans="2:7" s="67" customFormat="1" ht="23.4" customHeight="1" x14ac:dyDescent="0.35">
      <c r="B24" s="6" t="s">
        <v>85</v>
      </c>
      <c r="C24" s="39">
        <f>SUM(C20:C23)</f>
        <v>1743179.1400000001</v>
      </c>
      <c r="D24" s="39">
        <f t="shared" ref="D24:E24" si="3">SUM(D20:D23)</f>
        <v>230155.69</v>
      </c>
      <c r="E24" s="39">
        <f t="shared" si="3"/>
        <v>1973334.83</v>
      </c>
    </row>
    <row r="25" spans="2:7" s="67" customFormat="1" ht="32.4" customHeight="1" x14ac:dyDescent="0.35">
      <c r="B25" s="188" t="s">
        <v>86</v>
      </c>
      <c r="C25" s="189">
        <f>SUM(C18,C24)</f>
        <v>16032946.699999999</v>
      </c>
      <c r="D25" s="189">
        <f t="shared" ref="D25:E25" si="4">SUM(D18,D24)</f>
        <v>1797956.83</v>
      </c>
      <c r="E25" s="189">
        <f t="shared" si="4"/>
        <v>17830903.530000001</v>
      </c>
    </row>
    <row r="26" spans="2:7" x14ac:dyDescent="0.35">
      <c r="B26" s="179"/>
      <c r="C26" s="179"/>
    </row>
    <row r="27" spans="2:7" s="67" customFormat="1" ht="17.399999999999999" customHeight="1" x14ac:dyDescent="0.35">
      <c r="B27" s="180"/>
      <c r="C27" s="180"/>
    </row>
    <row r="28" spans="2:7" s="67" customFormat="1" ht="20.149999999999999" customHeight="1" x14ac:dyDescent="0.35">
      <c r="B28" s="63" t="s">
        <v>87</v>
      </c>
      <c r="C28" s="180"/>
    </row>
    <row r="29" spans="2:7" ht="42" customHeight="1" x14ac:dyDescent="0.35">
      <c r="B29" s="5" t="s">
        <v>88</v>
      </c>
      <c r="C29" s="36" t="s">
        <v>72</v>
      </c>
      <c r="D29" s="36" t="s">
        <v>73</v>
      </c>
      <c r="E29" s="36" t="s">
        <v>74</v>
      </c>
      <c r="F29" s="5" t="s">
        <v>89</v>
      </c>
      <c r="G29" s="4" t="s">
        <v>21</v>
      </c>
    </row>
    <row r="30" spans="2:7" s="67" customFormat="1" ht="35.4" customHeight="1" x14ac:dyDescent="0.35">
      <c r="B30" s="178" t="s">
        <v>86</v>
      </c>
      <c r="C30" s="181">
        <f>C25</f>
        <v>16032946.699999999</v>
      </c>
      <c r="D30" s="181">
        <f t="shared" ref="D30:E30" si="5">D25</f>
        <v>1797956.83</v>
      </c>
      <c r="E30" s="181">
        <f t="shared" si="5"/>
        <v>17830903.530000001</v>
      </c>
      <c r="F30" s="181">
        <v>122617722</v>
      </c>
      <c r="G30" s="273">
        <f>E30/F30</f>
        <v>0.14541864943470406</v>
      </c>
    </row>
  </sheetData>
  <mergeCells count="1">
    <mergeCell ref="B5:E7"/>
  </mergeCells>
  <printOptions headings="1"/>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42"/>
  <sheetViews>
    <sheetView zoomScale="70" zoomScaleNormal="70" workbookViewId="0"/>
  </sheetViews>
  <sheetFormatPr defaultColWidth="9.08984375" defaultRowHeight="14.5" x14ac:dyDescent="0.35"/>
  <cols>
    <col min="1" max="1" width="3.54296875" style="64" customWidth="1"/>
    <col min="2" max="2" width="18.90625" style="67" customWidth="1"/>
    <col min="3" max="3" width="22.36328125" style="64" customWidth="1"/>
    <col min="4" max="4" width="24.08984375" style="64" customWidth="1"/>
    <col min="5" max="5" width="18.90625" style="64" customWidth="1"/>
    <col min="6" max="6" width="18.54296875" style="64" customWidth="1"/>
    <col min="7" max="7" width="19.453125" style="64" customWidth="1"/>
    <col min="8" max="8" width="22" style="64" bestFit="1" customWidth="1"/>
    <col min="9" max="12" width="19.453125" style="64" customWidth="1"/>
    <col min="13" max="13" width="3.453125" style="64" customWidth="1"/>
    <col min="14" max="14" width="31.90625" style="64" customWidth="1"/>
    <col min="15" max="17" width="16.6328125" style="64" customWidth="1"/>
    <col min="18" max="20" width="19.08984375" style="64" bestFit="1" customWidth="1"/>
    <col min="21" max="23" width="16.6328125" style="64" customWidth="1"/>
    <col min="24" max="24" width="21.08984375" style="64" bestFit="1" customWidth="1"/>
    <col min="25" max="16384" width="9.08984375" style="64"/>
  </cols>
  <sheetData>
    <row r="1" spans="1:24" x14ac:dyDescent="0.35">
      <c r="A1" s="64" t="s">
        <v>265</v>
      </c>
      <c r="B1" s="63" t="s">
        <v>0</v>
      </c>
    </row>
    <row r="2" spans="1:24" x14ac:dyDescent="0.35">
      <c r="B2" s="63" t="s">
        <v>90</v>
      </c>
    </row>
    <row r="3" spans="1:24" x14ac:dyDescent="0.35">
      <c r="B3" s="65" t="s">
        <v>68</v>
      </c>
    </row>
    <row r="4" spans="1:24" x14ac:dyDescent="0.35">
      <c r="B4" s="63"/>
    </row>
    <row r="5" spans="1:24" ht="14.4" customHeight="1" x14ac:dyDescent="0.35">
      <c r="B5" s="315" t="s">
        <v>91</v>
      </c>
      <c r="C5" s="315"/>
      <c r="D5" s="315"/>
      <c r="E5" s="315"/>
      <c r="F5" s="315"/>
      <c r="G5" s="315"/>
      <c r="H5" s="66"/>
      <c r="I5" s="66"/>
      <c r="J5" s="66"/>
      <c r="K5" s="66"/>
      <c r="L5" s="66"/>
    </row>
    <row r="6" spans="1:24" x14ac:dyDescent="0.35">
      <c r="B6" s="315"/>
      <c r="C6" s="315"/>
      <c r="D6" s="315"/>
      <c r="E6" s="315"/>
      <c r="F6" s="315"/>
      <c r="G6" s="315"/>
      <c r="H6" s="66"/>
      <c r="I6" s="66"/>
      <c r="J6" s="66"/>
      <c r="K6" s="66"/>
      <c r="L6" s="66"/>
    </row>
    <row r="7" spans="1:24" x14ac:dyDescent="0.35">
      <c r="B7" s="315"/>
      <c r="C7" s="315"/>
      <c r="D7" s="315"/>
      <c r="E7" s="315"/>
      <c r="F7" s="315"/>
      <c r="G7" s="315"/>
      <c r="H7" s="66"/>
      <c r="I7" s="66"/>
      <c r="J7" s="66"/>
      <c r="K7" s="66"/>
      <c r="L7" s="66"/>
    </row>
    <row r="8" spans="1:24" x14ac:dyDescent="0.35">
      <c r="B8" s="315"/>
      <c r="C8" s="315"/>
      <c r="D8" s="315"/>
      <c r="E8" s="315"/>
      <c r="F8" s="315"/>
      <c r="G8" s="315"/>
      <c r="H8" s="66"/>
      <c r="I8" s="66"/>
      <c r="J8" s="66"/>
      <c r="K8" s="66"/>
      <c r="L8" s="66"/>
    </row>
    <row r="9" spans="1:24" x14ac:dyDescent="0.35">
      <c r="B9" s="315"/>
      <c r="C9" s="315"/>
      <c r="D9" s="315"/>
      <c r="E9" s="315"/>
      <c r="F9" s="315"/>
      <c r="G9" s="315"/>
      <c r="H9" s="66"/>
      <c r="I9" s="66"/>
      <c r="J9" s="66"/>
      <c r="K9" s="66"/>
      <c r="L9" s="66"/>
    </row>
    <row r="11" spans="1:24" ht="18" x14ac:dyDescent="0.4">
      <c r="B11" s="68" t="s">
        <v>92</v>
      </c>
      <c r="C11" s="68"/>
      <c r="D11" s="69"/>
      <c r="E11" s="69"/>
      <c r="F11" s="69"/>
      <c r="G11" s="69"/>
      <c r="H11" s="69"/>
      <c r="I11" s="69"/>
      <c r="J11" s="69"/>
      <c r="K11" s="69"/>
      <c r="L11" s="69"/>
      <c r="N11" s="70" t="s">
        <v>93</v>
      </c>
    </row>
    <row r="12" spans="1:24" ht="18.5" thickBot="1" x14ac:dyDescent="0.45">
      <c r="B12" s="68"/>
      <c r="C12" s="68"/>
      <c r="D12" s="69"/>
      <c r="E12" s="69"/>
      <c r="F12" s="69"/>
      <c r="G12" s="69"/>
      <c r="H12" s="69"/>
      <c r="I12" s="69"/>
      <c r="J12" s="69"/>
      <c r="K12" s="69"/>
      <c r="L12" s="69"/>
      <c r="N12" s="70"/>
    </row>
    <row r="13" spans="1:24" ht="33" customHeight="1" thickBot="1" x14ac:dyDescent="0.4">
      <c r="C13" s="320" t="s">
        <v>94</v>
      </c>
      <c r="D13" s="321"/>
      <c r="E13" s="321"/>
      <c r="F13" s="321"/>
      <c r="G13" s="322"/>
      <c r="H13" s="320" t="s">
        <v>95</v>
      </c>
      <c r="I13" s="321"/>
      <c r="J13" s="321"/>
      <c r="K13" s="321"/>
      <c r="L13" s="322"/>
      <c r="N13" s="312" t="s">
        <v>94</v>
      </c>
      <c r="O13" s="313"/>
      <c r="P13" s="313"/>
      <c r="Q13" s="313"/>
      <c r="R13" s="313"/>
      <c r="S13" s="313"/>
      <c r="T13" s="313"/>
      <c r="U13" s="313"/>
      <c r="V13" s="313"/>
      <c r="W13" s="313"/>
      <c r="X13" s="314"/>
    </row>
    <row r="14" spans="1:24" s="67" customFormat="1" ht="42.5" thickBot="1" x14ac:dyDescent="0.4">
      <c r="B14" s="88" t="s">
        <v>96</v>
      </c>
      <c r="C14" s="89" t="s">
        <v>97</v>
      </c>
      <c r="D14" s="90" t="s">
        <v>98</v>
      </c>
      <c r="E14" s="90" t="s">
        <v>99</v>
      </c>
      <c r="F14" s="90" t="s">
        <v>100</v>
      </c>
      <c r="G14" s="91" t="s">
        <v>101</v>
      </c>
      <c r="H14" s="89" t="s">
        <v>97</v>
      </c>
      <c r="I14" s="90" t="s">
        <v>102</v>
      </c>
      <c r="J14" s="90" t="s">
        <v>103</v>
      </c>
      <c r="K14" s="90" t="s">
        <v>104</v>
      </c>
      <c r="L14" s="91" t="s">
        <v>101</v>
      </c>
      <c r="N14" s="101" t="s">
        <v>105</v>
      </c>
      <c r="O14" s="102" t="s">
        <v>106</v>
      </c>
      <c r="P14" s="102" t="s">
        <v>107</v>
      </c>
      <c r="Q14" s="102" t="s">
        <v>108</v>
      </c>
      <c r="R14" s="102" t="s">
        <v>109</v>
      </c>
      <c r="S14" s="102" t="s">
        <v>110</v>
      </c>
      <c r="T14" s="102" t="s">
        <v>111</v>
      </c>
      <c r="U14" s="102" t="s">
        <v>112</v>
      </c>
      <c r="V14" s="102" t="s">
        <v>113</v>
      </c>
      <c r="W14" s="102" t="s">
        <v>114</v>
      </c>
      <c r="X14" s="103" t="s">
        <v>115</v>
      </c>
    </row>
    <row r="15" spans="1:24" ht="33" customHeight="1" x14ac:dyDescent="0.35">
      <c r="B15" s="42" t="s">
        <v>116</v>
      </c>
      <c r="C15" s="47" t="s">
        <v>117</v>
      </c>
      <c r="D15" s="48">
        <v>89955</v>
      </c>
      <c r="E15" s="48">
        <v>55709</v>
      </c>
      <c r="F15" s="48">
        <v>55709</v>
      </c>
      <c r="G15" s="49">
        <f>D15/F15</f>
        <v>1.6147301154212066</v>
      </c>
      <c r="H15" s="60" t="s">
        <v>117</v>
      </c>
      <c r="I15" s="48">
        <v>35193</v>
      </c>
      <c r="J15" s="48"/>
      <c r="K15" s="48">
        <v>0</v>
      </c>
      <c r="L15" s="49" t="s">
        <v>118</v>
      </c>
      <c r="N15" s="98" t="s">
        <v>119</v>
      </c>
      <c r="O15" s="99">
        <v>10283</v>
      </c>
      <c r="P15" s="99">
        <v>20978</v>
      </c>
      <c r="Q15" s="99">
        <v>26536</v>
      </c>
      <c r="R15" s="99">
        <v>37396</v>
      </c>
      <c r="S15" s="99">
        <v>34724</v>
      </c>
      <c r="T15" s="99">
        <v>28336</v>
      </c>
      <c r="U15" s="99">
        <v>33496.606</v>
      </c>
      <c r="V15" s="99">
        <v>18944.617999999999</v>
      </c>
      <c r="W15" s="99">
        <v>40705.535000000003</v>
      </c>
      <c r="X15" s="100">
        <v>15109</v>
      </c>
    </row>
    <row r="16" spans="1:24" s="67" customFormat="1" ht="33" customHeight="1" x14ac:dyDescent="0.35">
      <c r="B16" s="43" t="s">
        <v>120</v>
      </c>
      <c r="C16" s="50" t="s">
        <v>117</v>
      </c>
      <c r="D16" s="51">
        <v>129748</v>
      </c>
      <c r="E16" s="51">
        <v>113186</v>
      </c>
      <c r="F16" s="51">
        <v>113186</v>
      </c>
      <c r="G16" s="52">
        <f t="shared" ref="G16:G30" si="0">D16/F16</f>
        <v>1.1463255172901243</v>
      </c>
      <c r="H16" s="61" t="s">
        <v>117</v>
      </c>
      <c r="I16" s="51">
        <v>1903686</v>
      </c>
      <c r="J16" s="51"/>
      <c r="K16" s="51">
        <v>0</v>
      </c>
      <c r="L16" s="52" t="s">
        <v>118</v>
      </c>
      <c r="N16" s="79" t="s">
        <v>121</v>
      </c>
      <c r="O16" s="81" t="s">
        <v>122</v>
      </c>
      <c r="P16" s="81" t="s">
        <v>122</v>
      </c>
      <c r="Q16" s="81" t="s">
        <v>117</v>
      </c>
      <c r="R16" s="81" t="s">
        <v>117</v>
      </c>
      <c r="S16" s="81" t="s">
        <v>117</v>
      </c>
      <c r="T16" s="81" t="s">
        <v>117</v>
      </c>
      <c r="U16" s="81" t="s">
        <v>117</v>
      </c>
      <c r="V16" s="81" t="s">
        <v>117</v>
      </c>
      <c r="W16" s="81" t="s">
        <v>117</v>
      </c>
      <c r="X16" s="82" t="s">
        <v>117</v>
      </c>
    </row>
    <row r="17" spans="2:24" ht="33" customHeight="1" thickBot="1" x14ac:dyDescent="0.4">
      <c r="B17" s="43" t="s">
        <v>123</v>
      </c>
      <c r="C17" s="50" t="s">
        <v>117</v>
      </c>
      <c r="D17" s="51">
        <v>263374</v>
      </c>
      <c r="E17" s="51">
        <v>181765</v>
      </c>
      <c r="F17" s="51">
        <v>181765</v>
      </c>
      <c r="G17" s="52">
        <f t="shared" si="0"/>
        <v>1.4489808268918658</v>
      </c>
      <c r="H17" s="61" t="s">
        <v>117</v>
      </c>
      <c r="I17" s="51">
        <v>2053110</v>
      </c>
      <c r="J17" s="51"/>
      <c r="K17" s="51">
        <v>0</v>
      </c>
      <c r="L17" s="52" t="s">
        <v>118</v>
      </c>
      <c r="N17" s="83" t="s">
        <v>124</v>
      </c>
      <c r="O17" s="84" t="s">
        <v>125</v>
      </c>
      <c r="P17" s="84" t="s">
        <v>126</v>
      </c>
      <c r="Q17" s="85" t="s">
        <v>127</v>
      </c>
      <c r="R17" s="85" t="s">
        <v>128</v>
      </c>
      <c r="S17" s="85" t="s">
        <v>129</v>
      </c>
      <c r="T17" s="85" t="s">
        <v>130</v>
      </c>
      <c r="U17" s="84" t="s">
        <v>131</v>
      </c>
      <c r="V17" s="86" t="s">
        <v>132</v>
      </c>
      <c r="W17" s="86" t="s">
        <v>132</v>
      </c>
      <c r="X17" s="87"/>
    </row>
    <row r="18" spans="2:24" ht="33" customHeight="1" thickBot="1" x14ac:dyDescent="0.4">
      <c r="B18" s="44" t="s">
        <v>133</v>
      </c>
      <c r="C18" s="53" t="s">
        <v>117</v>
      </c>
      <c r="D18" s="54">
        <f>SUM(D15:D17)</f>
        <v>483077</v>
      </c>
      <c r="E18" s="54">
        <f t="shared" ref="E18:F18" si="1">SUM(E15:E17)</f>
        <v>350660</v>
      </c>
      <c r="F18" s="54">
        <f t="shared" si="1"/>
        <v>350660</v>
      </c>
      <c r="G18" s="55">
        <f t="shared" si="0"/>
        <v>1.3776221981406491</v>
      </c>
      <c r="H18" s="62" t="s">
        <v>117</v>
      </c>
      <c r="I18" s="54">
        <f>SUM(I15:I17)</f>
        <v>3991989</v>
      </c>
      <c r="J18" s="54">
        <f t="shared" ref="J18:K18" si="2">SUM(J15:J17)</f>
        <v>0</v>
      </c>
      <c r="K18" s="54">
        <f t="shared" si="2"/>
        <v>0</v>
      </c>
      <c r="L18" s="55" t="s">
        <v>118</v>
      </c>
      <c r="N18" s="71"/>
    </row>
    <row r="19" spans="2:24" ht="33" customHeight="1" thickBot="1" x14ac:dyDescent="0.4">
      <c r="B19" s="43" t="s">
        <v>134</v>
      </c>
      <c r="C19" s="50" t="s">
        <v>117</v>
      </c>
      <c r="D19" s="51">
        <v>353664</v>
      </c>
      <c r="E19" s="51">
        <v>273534</v>
      </c>
      <c r="F19" s="51">
        <v>273534</v>
      </c>
      <c r="G19" s="52">
        <f t="shared" si="0"/>
        <v>1.2929434732062559</v>
      </c>
      <c r="H19" s="61" t="s">
        <v>117</v>
      </c>
      <c r="I19" s="51">
        <v>5771819</v>
      </c>
      <c r="J19" s="51">
        <v>1881446</v>
      </c>
      <c r="K19" s="51">
        <v>1881446</v>
      </c>
      <c r="L19" s="52">
        <f t="shared" ref="L19:L31" si="3">I19/K19</f>
        <v>3.0677569273845755</v>
      </c>
      <c r="N19" s="312" t="s">
        <v>95</v>
      </c>
      <c r="O19" s="313"/>
      <c r="P19" s="313"/>
      <c r="Q19" s="313"/>
      <c r="R19" s="313"/>
      <c r="S19" s="313"/>
      <c r="T19" s="313"/>
      <c r="U19" s="313"/>
      <c r="V19" s="313"/>
      <c r="W19" s="313"/>
      <c r="X19" s="314"/>
    </row>
    <row r="20" spans="2:24" ht="33" customHeight="1" thickBot="1" x14ac:dyDescent="0.4">
      <c r="B20" s="43" t="s">
        <v>135</v>
      </c>
      <c r="C20" s="50" t="s">
        <v>117</v>
      </c>
      <c r="D20" s="51">
        <v>366726</v>
      </c>
      <c r="E20" s="51">
        <v>245871</v>
      </c>
      <c r="F20" s="51">
        <v>245871</v>
      </c>
      <c r="G20" s="52">
        <f t="shared" si="0"/>
        <v>1.4915382456654098</v>
      </c>
      <c r="H20" s="61" t="s">
        <v>117</v>
      </c>
      <c r="I20" s="51">
        <v>6914780</v>
      </c>
      <c r="J20" s="51">
        <v>3762892</v>
      </c>
      <c r="K20" s="51">
        <v>3762892</v>
      </c>
      <c r="L20" s="52">
        <f t="shared" si="3"/>
        <v>1.8376238276304502</v>
      </c>
      <c r="N20" s="101" t="s">
        <v>105</v>
      </c>
      <c r="O20" s="102" t="s">
        <v>106</v>
      </c>
      <c r="P20" s="102" t="s">
        <v>107</v>
      </c>
      <c r="Q20" s="102" t="s">
        <v>108</v>
      </c>
      <c r="R20" s="102" t="s">
        <v>109</v>
      </c>
      <c r="S20" s="102" t="s">
        <v>110</v>
      </c>
      <c r="T20" s="102" t="s">
        <v>111</v>
      </c>
      <c r="U20" s="102" t="s">
        <v>112</v>
      </c>
      <c r="V20" s="102" t="s">
        <v>113</v>
      </c>
      <c r="W20" s="102" t="s">
        <v>114</v>
      </c>
      <c r="X20" s="103" t="s">
        <v>115</v>
      </c>
    </row>
    <row r="21" spans="2:24" ht="33" customHeight="1" x14ac:dyDescent="0.35">
      <c r="B21" s="43" t="s">
        <v>136</v>
      </c>
      <c r="C21" s="50" t="s">
        <v>117</v>
      </c>
      <c r="D21" s="51">
        <v>304624</v>
      </c>
      <c r="E21" s="51">
        <v>216495</v>
      </c>
      <c r="F21" s="51">
        <v>216495</v>
      </c>
      <c r="G21" s="52">
        <f t="shared" si="0"/>
        <v>1.4070717568535069</v>
      </c>
      <c r="H21" s="61" t="s">
        <v>117</v>
      </c>
      <c r="I21" s="51">
        <v>6296042</v>
      </c>
      <c r="J21" s="51">
        <v>5644338</v>
      </c>
      <c r="K21" s="51">
        <v>5644338</v>
      </c>
      <c r="L21" s="52">
        <f t="shared" si="3"/>
        <v>1.1154615474835137</v>
      </c>
      <c r="N21" s="98" t="s">
        <v>137</v>
      </c>
      <c r="O21" s="99"/>
      <c r="P21" s="99"/>
      <c r="Q21" s="99"/>
      <c r="R21" s="99">
        <v>1157810</v>
      </c>
      <c r="S21" s="99">
        <v>1836138</v>
      </c>
      <c r="T21" s="99">
        <v>2220590</v>
      </c>
      <c r="U21" s="99">
        <v>824815</v>
      </c>
      <c r="V21" s="99">
        <v>651005</v>
      </c>
      <c r="W21" s="99">
        <v>1667500</v>
      </c>
      <c r="X21" s="100">
        <v>316324</v>
      </c>
    </row>
    <row r="22" spans="2:24" ht="33" customHeight="1" x14ac:dyDescent="0.35">
      <c r="B22" s="44" t="s">
        <v>138</v>
      </c>
      <c r="C22" s="53" t="s">
        <v>117</v>
      </c>
      <c r="D22" s="54">
        <f>SUM(D19:D21)</f>
        <v>1025014</v>
      </c>
      <c r="E22" s="54">
        <f t="shared" ref="E22" si="4">SUM(E19:E21)</f>
        <v>735900</v>
      </c>
      <c r="F22" s="54">
        <f t="shared" ref="F22" si="5">SUM(F19:F21)</f>
        <v>735900</v>
      </c>
      <c r="G22" s="55">
        <f t="shared" si="0"/>
        <v>1.3928713140372333</v>
      </c>
      <c r="H22" s="62" t="s">
        <v>117</v>
      </c>
      <c r="I22" s="54">
        <f>SUM(I19:I21)</f>
        <v>18982641</v>
      </c>
      <c r="J22" s="54">
        <f t="shared" ref="J22:K22" si="6">SUM(J19:J21)</f>
        <v>11288676</v>
      </c>
      <c r="K22" s="54">
        <f t="shared" si="6"/>
        <v>11288676</v>
      </c>
      <c r="L22" s="55">
        <f t="shared" si="3"/>
        <v>1.681564870849336</v>
      </c>
      <c r="N22" s="79" t="s">
        <v>121</v>
      </c>
      <c r="O22" s="81"/>
      <c r="P22" s="81"/>
      <c r="Q22" s="81"/>
      <c r="R22" s="81" t="s">
        <v>117</v>
      </c>
      <c r="S22" s="81" t="s">
        <v>117</v>
      </c>
      <c r="T22" s="81" t="s">
        <v>117</v>
      </c>
      <c r="U22" s="81" t="s">
        <v>117</v>
      </c>
      <c r="V22" s="81" t="s">
        <v>117</v>
      </c>
      <c r="W22" s="81" t="s">
        <v>117</v>
      </c>
      <c r="X22" s="82" t="s">
        <v>117</v>
      </c>
    </row>
    <row r="23" spans="2:24" ht="33" customHeight="1" thickBot="1" x14ac:dyDescent="0.4">
      <c r="B23" s="43" t="s">
        <v>139</v>
      </c>
      <c r="C23" s="56" t="s">
        <v>122</v>
      </c>
      <c r="D23" s="51">
        <v>275564</v>
      </c>
      <c r="E23" s="51">
        <v>223445.99405183073</v>
      </c>
      <c r="F23" s="51">
        <v>223408</v>
      </c>
      <c r="G23" s="52">
        <f t="shared" si="0"/>
        <v>1.2334562773043043</v>
      </c>
      <c r="H23" s="92" t="s">
        <v>122</v>
      </c>
      <c r="I23" s="51">
        <v>6515201</v>
      </c>
      <c r="J23" s="51">
        <v>5194921.4161395058</v>
      </c>
      <c r="K23" s="51">
        <v>5066568</v>
      </c>
      <c r="L23" s="52">
        <f t="shared" si="3"/>
        <v>1.2859199758100552</v>
      </c>
      <c r="N23" s="83" t="s">
        <v>124</v>
      </c>
      <c r="O23" s="84"/>
      <c r="P23" s="84"/>
      <c r="Q23" s="85"/>
      <c r="R23" s="85" t="s">
        <v>128</v>
      </c>
      <c r="S23" s="85" t="s">
        <v>129</v>
      </c>
      <c r="T23" s="85" t="s">
        <v>130</v>
      </c>
      <c r="U23" s="84" t="s">
        <v>131</v>
      </c>
      <c r="V23" s="86"/>
      <c r="W23" s="86"/>
      <c r="X23" s="87"/>
    </row>
    <row r="24" spans="2:24" ht="33" customHeight="1" x14ac:dyDescent="0.35">
      <c r="B24" s="43" t="s">
        <v>140</v>
      </c>
      <c r="C24" s="56" t="s">
        <v>122</v>
      </c>
      <c r="D24" s="51">
        <v>211414</v>
      </c>
      <c r="E24" s="51">
        <v>185278</v>
      </c>
      <c r="F24" s="51">
        <v>180913</v>
      </c>
      <c r="G24" s="52">
        <f t="shared" si="0"/>
        <v>1.1685948494580267</v>
      </c>
      <c r="H24" s="92" t="s">
        <v>122</v>
      </c>
      <c r="I24" s="51">
        <v>6836449</v>
      </c>
      <c r="J24" s="51">
        <v>5433379.4147227583</v>
      </c>
      <c r="K24" s="51">
        <v>5369967</v>
      </c>
      <c r="L24" s="52">
        <f t="shared" si="3"/>
        <v>1.2730895739210315</v>
      </c>
    </row>
    <row r="25" spans="2:24" ht="33" customHeight="1" x14ac:dyDescent="0.35">
      <c r="B25" s="43" t="s">
        <v>141</v>
      </c>
      <c r="C25" s="56" t="s">
        <v>122</v>
      </c>
      <c r="D25" s="51">
        <v>197694</v>
      </c>
      <c r="E25" s="51">
        <v>191603</v>
      </c>
      <c r="F25" s="51">
        <v>174349</v>
      </c>
      <c r="G25" s="52">
        <f t="shared" si="0"/>
        <v>1.13389810093548</v>
      </c>
      <c r="H25" s="92" t="s">
        <v>122</v>
      </c>
      <c r="I25" s="51">
        <v>5868915</v>
      </c>
      <c r="J25" s="51">
        <v>5429061.1936935615</v>
      </c>
      <c r="K25" s="51">
        <v>5369967</v>
      </c>
      <c r="L25" s="52">
        <f t="shared" si="3"/>
        <v>1.092914537463638</v>
      </c>
      <c r="N25" s="71" t="s">
        <v>62</v>
      </c>
    </row>
    <row r="26" spans="2:24" ht="33" customHeight="1" x14ac:dyDescent="0.35">
      <c r="B26" s="43" t="s">
        <v>142</v>
      </c>
      <c r="C26" s="56" t="s">
        <v>122</v>
      </c>
      <c r="D26" s="51">
        <v>91233</v>
      </c>
      <c r="E26" s="51">
        <v>77329</v>
      </c>
      <c r="F26" s="51">
        <v>77329</v>
      </c>
      <c r="G26" s="52">
        <f t="shared" si="0"/>
        <v>1.1798031786263885</v>
      </c>
      <c r="H26" s="92" t="s">
        <v>122</v>
      </c>
      <c r="I26" s="51">
        <v>2947129</v>
      </c>
      <c r="J26" s="51">
        <v>2634576</v>
      </c>
      <c r="K26" s="51">
        <v>2634576</v>
      </c>
      <c r="L26" s="52">
        <f t="shared" si="3"/>
        <v>1.1186350289382427</v>
      </c>
      <c r="N26" s="317" t="s">
        <v>143</v>
      </c>
      <c r="O26" s="318"/>
      <c r="P26" s="318"/>
      <c r="Q26" s="318"/>
      <c r="R26" s="318"/>
      <c r="S26" s="318"/>
      <c r="T26" s="318"/>
      <c r="U26" s="318"/>
      <c r="V26" s="318"/>
      <c r="W26" s="319"/>
    </row>
    <row r="27" spans="2:24" ht="33" customHeight="1" x14ac:dyDescent="0.35">
      <c r="B27" s="44" t="s">
        <v>144</v>
      </c>
      <c r="C27" s="53" t="s">
        <v>122</v>
      </c>
      <c r="D27" s="54">
        <f>SUM(D23:D26)</f>
        <v>775905</v>
      </c>
      <c r="E27" s="54">
        <f t="shared" ref="E27:F27" si="7">SUM(E23:E26)</f>
        <v>677655.99405183073</v>
      </c>
      <c r="F27" s="54">
        <f t="shared" si="7"/>
        <v>655999</v>
      </c>
      <c r="G27" s="55">
        <f t="shared" si="0"/>
        <v>1.1827838152192305</v>
      </c>
      <c r="H27" s="93" t="s">
        <v>122</v>
      </c>
      <c r="I27" s="54">
        <f>SUM(I23:I26)</f>
        <v>22167694</v>
      </c>
      <c r="J27" s="54">
        <f t="shared" ref="J27:K27" si="8">SUM(J23:J26)</f>
        <v>18691938.024555825</v>
      </c>
      <c r="K27" s="54">
        <f t="shared" si="8"/>
        <v>18441078</v>
      </c>
      <c r="L27" s="55">
        <f t="shared" si="3"/>
        <v>1.2020823294603493</v>
      </c>
      <c r="N27" s="323" t="s">
        <v>145</v>
      </c>
      <c r="O27" s="324"/>
      <c r="P27" s="324"/>
      <c r="Q27" s="324"/>
      <c r="R27" s="324"/>
      <c r="S27" s="324"/>
      <c r="T27" s="324"/>
      <c r="U27" s="324"/>
      <c r="V27" s="324"/>
      <c r="W27" s="325"/>
    </row>
    <row r="28" spans="2:24" ht="33" customHeight="1" x14ac:dyDescent="0.35">
      <c r="B28" s="45">
        <v>2018</v>
      </c>
      <c r="C28" s="56" t="s">
        <v>122</v>
      </c>
      <c r="D28" s="51">
        <v>377775</v>
      </c>
      <c r="E28" s="51">
        <v>358145</v>
      </c>
      <c r="F28" s="51">
        <v>358145</v>
      </c>
      <c r="G28" s="52">
        <f t="shared" si="0"/>
        <v>1.0548102025715842</v>
      </c>
      <c r="H28" s="92" t="s">
        <v>122</v>
      </c>
      <c r="I28" s="51">
        <v>7353769</v>
      </c>
      <c r="J28" s="51">
        <v>3716492</v>
      </c>
      <c r="K28" s="51">
        <v>3716492</v>
      </c>
      <c r="L28" s="52">
        <f t="shared" si="3"/>
        <v>1.9786855454014163</v>
      </c>
      <c r="N28" s="72"/>
      <c r="O28" s="72"/>
      <c r="P28" s="72"/>
      <c r="Q28" s="72"/>
      <c r="R28" s="72"/>
      <c r="S28" s="72"/>
      <c r="T28" s="72"/>
      <c r="U28" s="72"/>
      <c r="V28" s="72"/>
      <c r="W28" s="72"/>
    </row>
    <row r="29" spans="2:24" ht="33" customHeight="1" x14ac:dyDescent="0.35">
      <c r="B29" s="45">
        <v>2019</v>
      </c>
      <c r="C29" s="56" t="s">
        <v>122</v>
      </c>
      <c r="D29" s="51">
        <v>344447</v>
      </c>
      <c r="E29" s="51">
        <v>356784</v>
      </c>
      <c r="F29" s="51">
        <v>356663</v>
      </c>
      <c r="G29" s="52">
        <f t="shared" si="0"/>
        <v>0.9657491805990529</v>
      </c>
      <c r="H29" s="92" t="s">
        <v>122</v>
      </c>
      <c r="I29" s="51">
        <v>4188155</v>
      </c>
      <c r="J29" s="51">
        <v>3524551</v>
      </c>
      <c r="K29" s="51">
        <v>3524551</v>
      </c>
      <c r="L29" s="52">
        <f t="shared" si="3"/>
        <v>1.1882804362881967</v>
      </c>
      <c r="N29" s="72"/>
      <c r="O29" s="72"/>
      <c r="P29" s="72"/>
      <c r="Q29" s="72"/>
      <c r="R29" s="72"/>
      <c r="S29" s="72"/>
      <c r="T29" s="72"/>
      <c r="U29" s="72"/>
      <c r="V29" s="72"/>
      <c r="W29" s="72"/>
    </row>
    <row r="30" spans="2:24" ht="33" customHeight="1" x14ac:dyDescent="0.35">
      <c r="B30" s="45">
        <v>2020</v>
      </c>
      <c r="C30" s="56" t="s">
        <v>122</v>
      </c>
      <c r="D30" s="51">
        <v>442517</v>
      </c>
      <c r="E30" s="51">
        <v>378765</v>
      </c>
      <c r="F30" s="51">
        <v>370720</v>
      </c>
      <c r="G30" s="52">
        <f t="shared" si="0"/>
        <v>1.193669076391886</v>
      </c>
      <c r="H30" s="92" t="s">
        <v>122</v>
      </c>
      <c r="I30" s="51">
        <v>4296545</v>
      </c>
      <c r="J30" s="51">
        <v>3074613</v>
      </c>
      <c r="K30" s="94">
        <v>3074613</v>
      </c>
      <c r="L30" s="52">
        <f t="shared" si="3"/>
        <v>1.3974262777136504</v>
      </c>
    </row>
    <row r="31" spans="2:24" ht="33" customHeight="1" x14ac:dyDescent="0.35">
      <c r="B31" s="45">
        <v>2021</v>
      </c>
      <c r="C31" s="56" t="s">
        <v>122</v>
      </c>
      <c r="D31" s="51">
        <v>451995</v>
      </c>
      <c r="E31" s="51">
        <v>418850</v>
      </c>
      <c r="F31" s="51">
        <v>404010.85587800015</v>
      </c>
      <c r="G31" s="52">
        <f>D31/F31</f>
        <v>1.1187694425134203</v>
      </c>
      <c r="H31" s="92" t="s">
        <v>122</v>
      </c>
      <c r="I31" s="51">
        <v>3407122</v>
      </c>
      <c r="J31" s="51">
        <v>3129204</v>
      </c>
      <c r="K31" s="94">
        <v>3129204</v>
      </c>
      <c r="L31" s="52">
        <f t="shared" si="3"/>
        <v>1.0888142799255018</v>
      </c>
    </row>
    <row r="32" spans="2:24" ht="33" customHeight="1" x14ac:dyDescent="0.35">
      <c r="B32" s="44" t="s">
        <v>146</v>
      </c>
      <c r="C32" s="53" t="s">
        <v>122</v>
      </c>
      <c r="D32" s="54">
        <f>SUM(D28:D31)</f>
        <v>1616734</v>
      </c>
      <c r="E32" s="54">
        <f t="shared" ref="E32" si="9">SUM(E28:E31)</f>
        <v>1512544</v>
      </c>
      <c r="F32" s="54">
        <f t="shared" ref="F32" si="10">SUM(F28:F31)</f>
        <v>1489538.8558780001</v>
      </c>
      <c r="G32" s="55">
        <f>D32/F32</f>
        <v>1.085392296830703</v>
      </c>
      <c r="H32" s="93" t="s">
        <v>122</v>
      </c>
      <c r="I32" s="95">
        <f>SUM(I28:I31)</f>
        <v>19245591</v>
      </c>
      <c r="J32" s="54">
        <f t="shared" ref="J32:K32" si="11">SUM(J28:J31)</f>
        <v>13444860</v>
      </c>
      <c r="K32" s="54">
        <f t="shared" si="11"/>
        <v>13444860</v>
      </c>
      <c r="L32" s="55">
        <f>I32/K32</f>
        <v>1.4314459949750313</v>
      </c>
    </row>
    <row r="33" spans="2:12" ht="33" customHeight="1" x14ac:dyDescent="0.35">
      <c r="B33" s="45">
        <v>2022</v>
      </c>
      <c r="C33" s="56" t="s">
        <v>147</v>
      </c>
      <c r="D33" s="51">
        <f>'1- Ex Ante Results'!C72</f>
        <v>76802</v>
      </c>
      <c r="E33" s="51">
        <v>431634</v>
      </c>
      <c r="F33" s="51">
        <v>431634</v>
      </c>
      <c r="G33" s="52">
        <f>D33/F33</f>
        <v>0.17793315633152162</v>
      </c>
      <c r="H33" s="92" t="s">
        <v>147</v>
      </c>
      <c r="I33" s="51">
        <f>'1- Ex Ante Results'!H72</f>
        <v>231010.68</v>
      </c>
      <c r="J33" s="51">
        <v>3528479</v>
      </c>
      <c r="K33" s="51">
        <v>3528479</v>
      </c>
      <c r="L33" s="52">
        <f>I33/K33</f>
        <v>6.5470328716707674E-2</v>
      </c>
    </row>
    <row r="34" spans="2:12" ht="33" customHeight="1" x14ac:dyDescent="0.35">
      <c r="B34" s="45">
        <v>2023</v>
      </c>
      <c r="C34" s="56"/>
      <c r="D34" s="51"/>
      <c r="E34" s="51">
        <v>385104</v>
      </c>
      <c r="F34" s="51">
        <v>385104</v>
      </c>
      <c r="G34" s="52">
        <f t="shared" ref="G34:G36" si="12">D34/F34</f>
        <v>0</v>
      </c>
      <c r="H34" s="92"/>
      <c r="I34" s="51"/>
      <c r="J34" s="51">
        <v>3627670</v>
      </c>
      <c r="K34" s="51">
        <v>3627670</v>
      </c>
      <c r="L34" s="52">
        <f t="shared" ref="L34:L36" si="13">I34/K34</f>
        <v>0</v>
      </c>
    </row>
    <row r="35" spans="2:12" ht="33" customHeight="1" x14ac:dyDescent="0.35">
      <c r="B35" s="45">
        <v>2024</v>
      </c>
      <c r="C35" s="56"/>
      <c r="D35" s="51"/>
      <c r="E35" s="51">
        <v>416603</v>
      </c>
      <c r="F35" s="51">
        <v>416603</v>
      </c>
      <c r="G35" s="52">
        <f t="shared" si="12"/>
        <v>0</v>
      </c>
      <c r="H35" s="92"/>
      <c r="I35" s="51"/>
      <c r="J35" s="51">
        <v>3705421</v>
      </c>
      <c r="K35" s="94">
        <v>3705421</v>
      </c>
      <c r="L35" s="52">
        <f t="shared" si="13"/>
        <v>0</v>
      </c>
    </row>
    <row r="36" spans="2:12" ht="33" customHeight="1" x14ac:dyDescent="0.35">
      <c r="B36" s="45">
        <v>2025</v>
      </c>
      <c r="C36" s="56"/>
      <c r="D36" s="51"/>
      <c r="E36" s="51">
        <v>383033</v>
      </c>
      <c r="F36" s="51">
        <v>383033</v>
      </c>
      <c r="G36" s="52">
        <f t="shared" si="12"/>
        <v>0</v>
      </c>
      <c r="H36" s="92"/>
      <c r="I36" s="51"/>
      <c r="J36" s="51">
        <v>3775709</v>
      </c>
      <c r="K36" s="94">
        <v>3775709</v>
      </c>
      <c r="L36" s="52">
        <f t="shared" si="13"/>
        <v>0</v>
      </c>
    </row>
    <row r="37" spans="2:12" ht="33" customHeight="1" thickBot="1" x14ac:dyDescent="0.4">
      <c r="B37" s="46" t="s">
        <v>148</v>
      </c>
      <c r="C37" s="57" t="s">
        <v>147</v>
      </c>
      <c r="D37" s="58">
        <f>SUM(D33:D36)</f>
        <v>76802</v>
      </c>
      <c r="E37" s="58">
        <f t="shared" ref="E37" si="14">SUM(E33:E36)</f>
        <v>1616374</v>
      </c>
      <c r="F37" s="58">
        <f t="shared" ref="F37" si="15">SUM(F33:F36)</f>
        <v>1616374</v>
      </c>
      <c r="G37" s="59">
        <f>D37/F37</f>
        <v>4.75149934359251E-2</v>
      </c>
      <c r="H37" s="96" t="s">
        <v>147</v>
      </c>
      <c r="I37" s="97">
        <f>SUM(I33:I36)</f>
        <v>231010.68</v>
      </c>
      <c r="J37" s="58">
        <f t="shared" ref="J37:K37" si="16">SUM(J33:J36)</f>
        <v>14637279</v>
      </c>
      <c r="K37" s="58">
        <f t="shared" si="16"/>
        <v>14637279</v>
      </c>
      <c r="L37" s="59">
        <f>I37/K37</f>
        <v>1.5782351350958058E-2</v>
      </c>
    </row>
    <row r="38" spans="2:12" ht="14.4" customHeight="1" x14ac:dyDescent="0.35">
      <c r="B38" s="73"/>
      <c r="C38" s="74"/>
      <c r="D38" s="75"/>
      <c r="E38" s="75"/>
      <c r="F38" s="75"/>
      <c r="G38" s="76"/>
      <c r="H38" s="76"/>
      <c r="I38" s="76"/>
      <c r="J38" s="76"/>
      <c r="K38" s="76"/>
      <c r="L38" s="76"/>
    </row>
    <row r="39" spans="2:12" x14ac:dyDescent="0.35">
      <c r="B39" s="71" t="s">
        <v>62</v>
      </c>
    </row>
    <row r="40" spans="2:12" ht="46.4" customHeight="1" x14ac:dyDescent="0.35">
      <c r="B40" s="316" t="s">
        <v>149</v>
      </c>
      <c r="C40" s="316"/>
      <c r="D40" s="316"/>
      <c r="E40" s="316"/>
      <c r="F40" s="316"/>
      <c r="G40" s="316"/>
      <c r="H40" s="77"/>
      <c r="I40" s="77"/>
      <c r="J40" s="77"/>
      <c r="K40" s="77"/>
      <c r="L40" s="77"/>
    </row>
    <row r="41" spans="2:12" ht="42.75" customHeight="1" x14ac:dyDescent="0.35">
      <c r="B41" s="316" t="s">
        <v>150</v>
      </c>
      <c r="C41" s="316"/>
      <c r="D41" s="316"/>
      <c r="E41" s="316"/>
      <c r="F41" s="316"/>
      <c r="G41" s="316"/>
      <c r="H41" s="77"/>
      <c r="I41" s="77"/>
      <c r="J41" s="77"/>
      <c r="K41" s="77"/>
      <c r="L41" s="77"/>
    </row>
    <row r="42" spans="2:12" ht="42" customHeight="1" x14ac:dyDescent="0.35">
      <c r="B42" s="280" t="s">
        <v>151</v>
      </c>
      <c r="C42" s="280"/>
      <c r="D42" s="280"/>
      <c r="E42" s="280"/>
      <c r="F42" s="280"/>
      <c r="G42" s="280"/>
      <c r="H42" s="78"/>
      <c r="I42" s="78"/>
      <c r="J42" s="78"/>
      <c r="K42" s="78"/>
      <c r="L42" s="78"/>
    </row>
  </sheetData>
  <mergeCells count="10">
    <mergeCell ref="N19:X19"/>
    <mergeCell ref="B42:G42"/>
    <mergeCell ref="B5:G9"/>
    <mergeCell ref="B40:G40"/>
    <mergeCell ref="B41:G41"/>
    <mergeCell ref="N26:W26"/>
    <mergeCell ref="H13:L13"/>
    <mergeCell ref="C13:G13"/>
    <mergeCell ref="N27:W27"/>
    <mergeCell ref="N13:X13"/>
  </mergeCells>
  <hyperlinks>
    <hyperlink ref="O17" r:id="rId1" xr:uid="{F55EC2AE-115D-4E52-A5EE-1CD6254A0CD1}"/>
    <hyperlink ref="P17" r:id="rId2" display="Docket 10-0520, Staff Ex. 1.1, p. 12." xr:uid="{A202BF72-5341-40BB-BF2F-DA8232CF1059}"/>
    <hyperlink ref="U17" r:id="rId3" xr:uid="{AE251BDF-4AFD-4580-9734-60A995F2A724}"/>
    <hyperlink ref="V17" r:id="rId4" xr:uid="{D19073C8-6AD3-478E-8B5C-AFAE45412EDA}"/>
    <hyperlink ref="W17" r:id="rId5" xr:uid="{F5ADF5E5-843C-4EA0-8F04-79A4370196C8}"/>
    <hyperlink ref="U23" r:id="rId6" xr:uid="{C5723988-8714-44F7-B449-C0A7FAFD3390}"/>
  </hyperlinks>
  <printOptions headings="1"/>
  <pageMargins left="0.7" right="0.7" top="0.75" bottom="0.75" header="0.3" footer="0.3"/>
  <pageSetup scale="44" orientation="landscape" r:id="rId7"/>
  <ignoredErrors>
    <ignoredError sqref="L19:L37 G15:G30 G32:G3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8"/>
  <sheetViews>
    <sheetView zoomScale="85" zoomScaleNormal="85" workbookViewId="0"/>
  </sheetViews>
  <sheetFormatPr defaultColWidth="9.08984375" defaultRowHeight="14.5" x14ac:dyDescent="0.35"/>
  <cols>
    <col min="1" max="1" width="4.453125" style="64" customWidth="1"/>
    <col min="2" max="2" width="49.90625" style="64" customWidth="1"/>
    <col min="3" max="17" width="12.6328125" style="64" customWidth="1"/>
    <col min="18" max="16384" width="9.08984375" style="64"/>
  </cols>
  <sheetData>
    <row r="1" spans="1:17" x14ac:dyDescent="0.35">
      <c r="A1" s="64" t="s">
        <v>265</v>
      </c>
      <c r="B1" s="65" t="s">
        <v>0</v>
      </c>
    </row>
    <row r="2" spans="1:17" x14ac:dyDescent="0.35">
      <c r="B2" s="65" t="s">
        <v>152</v>
      </c>
    </row>
    <row r="3" spans="1:17" x14ac:dyDescent="0.35">
      <c r="B3" s="65" t="s">
        <v>2</v>
      </c>
    </row>
    <row r="4" spans="1:17" x14ac:dyDescent="0.35">
      <c r="B4" s="65"/>
    </row>
    <row r="5" spans="1:17" ht="22.4" customHeight="1" x14ac:dyDescent="0.35">
      <c r="B5" s="287" t="s">
        <v>153</v>
      </c>
      <c r="C5" s="287"/>
      <c r="D5" s="287"/>
      <c r="E5" s="287"/>
      <c r="F5" s="287"/>
      <c r="G5" s="287"/>
      <c r="H5" s="287"/>
      <c r="I5" s="287"/>
      <c r="J5" s="287"/>
      <c r="K5" s="287"/>
    </row>
    <row r="6" spans="1:17" ht="21" customHeight="1" x14ac:dyDescent="0.35">
      <c r="B6" s="287"/>
      <c r="C6" s="287"/>
      <c r="D6" s="287"/>
      <c r="E6" s="287"/>
      <c r="F6" s="287"/>
      <c r="G6" s="287"/>
      <c r="H6" s="287"/>
      <c r="I6" s="287"/>
      <c r="J6" s="287"/>
      <c r="K6" s="287"/>
    </row>
    <row r="7" spans="1:17" ht="21" customHeight="1" x14ac:dyDescent="0.35">
      <c r="B7" s="287"/>
      <c r="C7" s="287"/>
      <c r="D7" s="287"/>
      <c r="E7" s="287"/>
      <c r="F7" s="287"/>
      <c r="G7" s="287"/>
      <c r="H7" s="287"/>
      <c r="I7" s="287"/>
      <c r="J7" s="287"/>
      <c r="K7" s="287"/>
    </row>
    <row r="8" spans="1:17" x14ac:dyDescent="0.35">
      <c r="B8" s="166"/>
      <c r="C8" s="166"/>
      <c r="D8" s="166"/>
      <c r="E8" s="166"/>
      <c r="F8" s="166"/>
      <c r="G8" s="166"/>
      <c r="H8" s="166"/>
      <c r="I8" s="166"/>
      <c r="J8" s="166"/>
      <c r="K8" s="166"/>
      <c r="L8" s="166"/>
    </row>
    <row r="9" spans="1:17" x14ac:dyDescent="0.35">
      <c r="B9" s="70" t="s">
        <v>154</v>
      </c>
      <c r="C9" s="70"/>
      <c r="D9" s="203"/>
      <c r="E9" s="203"/>
      <c r="F9" s="204"/>
      <c r="G9" s="204"/>
      <c r="H9" s="204"/>
      <c r="I9" s="204"/>
      <c r="J9" s="204"/>
      <c r="K9" s="204"/>
      <c r="L9" s="204"/>
    </row>
    <row r="10" spans="1:17" x14ac:dyDescent="0.35">
      <c r="B10" s="203"/>
      <c r="C10" s="203"/>
      <c r="D10" s="203"/>
      <c r="E10" s="203"/>
      <c r="F10" s="204"/>
      <c r="G10" s="204"/>
      <c r="H10" s="204"/>
      <c r="I10" s="204"/>
      <c r="J10" s="204"/>
      <c r="K10" s="204"/>
      <c r="L10" s="204"/>
    </row>
    <row r="11" spans="1:17" ht="28" x14ac:dyDescent="0.35">
      <c r="B11" s="3" t="s">
        <v>155</v>
      </c>
      <c r="C11" s="2" t="s">
        <v>106</v>
      </c>
      <c r="D11" s="2" t="s">
        <v>107</v>
      </c>
      <c r="E11" s="2" t="s">
        <v>108</v>
      </c>
      <c r="F11" s="2" t="s">
        <v>109</v>
      </c>
      <c r="G11" s="2" t="s">
        <v>110</v>
      </c>
      <c r="H11" s="2" t="s">
        <v>111</v>
      </c>
      <c r="I11" s="2" t="s">
        <v>112</v>
      </c>
      <c r="J11" s="2" t="s">
        <v>113</v>
      </c>
      <c r="K11" s="2" t="s">
        <v>114</v>
      </c>
      <c r="L11" s="1" t="s">
        <v>115</v>
      </c>
      <c r="M11" s="1">
        <v>2018</v>
      </c>
      <c r="N11" s="1">
        <v>2019</v>
      </c>
      <c r="O11" s="1">
        <v>2020</v>
      </c>
      <c r="P11" s="1">
        <v>2021</v>
      </c>
      <c r="Q11" s="1">
        <v>2022</v>
      </c>
    </row>
    <row r="12" spans="1:17" x14ac:dyDescent="0.35">
      <c r="B12" s="205" t="s">
        <v>156</v>
      </c>
      <c r="C12" s="219">
        <v>100238</v>
      </c>
      <c r="D12" s="219">
        <v>150726</v>
      </c>
      <c r="E12" s="219">
        <v>289910</v>
      </c>
      <c r="F12" s="219">
        <v>391060</v>
      </c>
      <c r="G12" s="219">
        <v>401450</v>
      </c>
      <c r="H12" s="219">
        <v>404319</v>
      </c>
      <c r="I12" s="219">
        <v>379998.60600000003</v>
      </c>
      <c r="J12" s="219">
        <v>452177.61800000002</v>
      </c>
      <c r="K12" s="219">
        <v>440264.53500000003</v>
      </c>
      <c r="L12" s="219">
        <v>106342</v>
      </c>
      <c r="M12" s="220">
        <v>377775</v>
      </c>
      <c r="N12" s="220">
        <v>344447</v>
      </c>
      <c r="O12" s="220">
        <v>442517</v>
      </c>
      <c r="P12" s="220">
        <f>'3- Energy'!D31</f>
        <v>451995</v>
      </c>
      <c r="Q12" s="220">
        <f>'1- Ex Ante Results'!C72</f>
        <v>76802</v>
      </c>
    </row>
    <row r="13" spans="1:17" x14ac:dyDescent="0.35">
      <c r="B13" s="205" t="s">
        <v>157</v>
      </c>
      <c r="C13" s="219">
        <v>70883</v>
      </c>
      <c r="D13" s="219">
        <v>106586</v>
      </c>
      <c r="E13" s="219">
        <v>205010</v>
      </c>
      <c r="F13" s="219">
        <v>276538</v>
      </c>
      <c r="G13" s="219">
        <v>283886</v>
      </c>
      <c r="H13" s="219">
        <v>285915</v>
      </c>
      <c r="I13" s="219">
        <v>268717</v>
      </c>
      <c r="J13" s="219">
        <v>306361</v>
      </c>
      <c r="K13" s="219">
        <v>282549</v>
      </c>
      <c r="L13" s="219">
        <v>75200</v>
      </c>
      <c r="M13" s="220">
        <v>267144</v>
      </c>
      <c r="N13" s="220">
        <v>243538</v>
      </c>
      <c r="O13" s="220">
        <v>313509</v>
      </c>
      <c r="P13" s="220">
        <v>312893</v>
      </c>
      <c r="Q13" s="220">
        <v>54428</v>
      </c>
    </row>
    <row r="14" spans="1:17" x14ac:dyDescent="0.35">
      <c r="B14" s="205" t="s">
        <v>158</v>
      </c>
      <c r="C14" s="219">
        <v>15050</v>
      </c>
      <c r="D14" s="219">
        <v>22630</v>
      </c>
      <c r="E14" s="219">
        <v>43527</v>
      </c>
      <c r="F14" s="219">
        <v>58713</v>
      </c>
      <c r="G14" s="219">
        <v>60273</v>
      </c>
      <c r="H14" s="219">
        <v>60704</v>
      </c>
      <c r="I14" s="219">
        <v>57052</v>
      </c>
      <c r="J14" s="219">
        <v>65045</v>
      </c>
      <c r="K14" s="219">
        <v>59989</v>
      </c>
      <c r="L14" s="219">
        <v>15966</v>
      </c>
      <c r="M14" s="220">
        <v>56718</v>
      </c>
      <c r="N14" s="220">
        <v>52615</v>
      </c>
      <c r="O14" s="220">
        <v>68182</v>
      </c>
      <c r="P14" s="220">
        <v>68048</v>
      </c>
      <c r="Q14" s="220">
        <v>11728</v>
      </c>
    </row>
    <row r="15" spans="1:17" x14ac:dyDescent="0.35">
      <c r="B15" s="205" t="s">
        <v>159</v>
      </c>
      <c r="C15" s="219">
        <v>83424</v>
      </c>
      <c r="D15" s="219">
        <v>125443</v>
      </c>
      <c r="E15" s="219">
        <v>241281</v>
      </c>
      <c r="F15" s="219">
        <v>325464</v>
      </c>
      <c r="G15" s="219">
        <v>334111</v>
      </c>
      <c r="H15" s="219">
        <v>336499</v>
      </c>
      <c r="I15" s="219">
        <v>316259</v>
      </c>
      <c r="J15" s="219">
        <v>360563</v>
      </c>
      <c r="K15" s="219">
        <v>332538</v>
      </c>
      <c r="L15" s="219">
        <v>88504</v>
      </c>
      <c r="M15" s="220">
        <v>314408</v>
      </c>
      <c r="N15" s="220">
        <v>318049</v>
      </c>
      <c r="O15" s="220">
        <v>384104</v>
      </c>
      <c r="P15" s="220">
        <v>383350</v>
      </c>
      <c r="Q15" s="220">
        <v>64412</v>
      </c>
    </row>
    <row r="16" spans="1:17" x14ac:dyDescent="0.35">
      <c r="B16" s="205" t="s">
        <v>160</v>
      </c>
      <c r="C16" s="219">
        <v>8488</v>
      </c>
      <c r="D16" s="219">
        <v>12763</v>
      </c>
      <c r="E16" s="219">
        <v>24549</v>
      </c>
      <c r="F16" s="219">
        <v>33114</v>
      </c>
      <c r="G16" s="219">
        <v>33994</v>
      </c>
      <c r="H16" s="219">
        <v>34237</v>
      </c>
      <c r="I16" s="219">
        <v>32178</v>
      </c>
      <c r="J16" s="219">
        <v>36686</v>
      </c>
      <c r="K16" s="219">
        <v>33834</v>
      </c>
      <c r="L16" s="219">
        <v>9005</v>
      </c>
      <c r="M16" s="220">
        <v>31989</v>
      </c>
      <c r="N16" s="220">
        <v>28103</v>
      </c>
      <c r="O16" s="220">
        <v>37754</v>
      </c>
      <c r="P16" s="220">
        <v>37680</v>
      </c>
      <c r="Q16" s="220">
        <v>6856</v>
      </c>
    </row>
    <row r="17" spans="2:17" x14ac:dyDescent="0.35">
      <c r="B17" s="206" t="s">
        <v>161</v>
      </c>
      <c r="C17" s="219" t="s">
        <v>162</v>
      </c>
      <c r="D17" s="219" t="s">
        <v>162</v>
      </c>
      <c r="E17" s="219" t="s">
        <v>162</v>
      </c>
      <c r="F17" s="219" t="s">
        <v>162</v>
      </c>
      <c r="G17" s="219" t="s">
        <v>162</v>
      </c>
      <c r="H17" s="219" t="s">
        <v>162</v>
      </c>
      <c r="I17" s="219" t="s">
        <v>162</v>
      </c>
      <c r="J17" s="219" t="s">
        <v>162</v>
      </c>
      <c r="K17" s="219" t="s">
        <v>162</v>
      </c>
      <c r="L17" s="219" t="s">
        <v>162</v>
      </c>
      <c r="M17" s="221" t="s">
        <v>162</v>
      </c>
      <c r="N17" s="221" t="s">
        <v>163</v>
      </c>
      <c r="O17" s="221" t="s">
        <v>163</v>
      </c>
      <c r="P17" s="221" t="s">
        <v>163</v>
      </c>
      <c r="Q17" s="221" t="s">
        <v>163</v>
      </c>
    </row>
    <row r="18" spans="2:17" s="67" customFormat="1" x14ac:dyDescent="0.35">
      <c r="B18" s="169" t="s">
        <v>164</v>
      </c>
      <c r="C18" s="222" t="s">
        <v>162</v>
      </c>
      <c r="D18" s="222" t="s">
        <v>162</v>
      </c>
      <c r="E18" s="222" t="s">
        <v>162</v>
      </c>
      <c r="F18" s="222" t="s">
        <v>162</v>
      </c>
      <c r="G18" s="222" t="s">
        <v>162</v>
      </c>
      <c r="H18" s="222" t="s">
        <v>162</v>
      </c>
      <c r="I18" s="222" t="s">
        <v>162</v>
      </c>
      <c r="J18" s="222" t="s">
        <v>162</v>
      </c>
      <c r="K18" s="222" t="s">
        <v>162</v>
      </c>
      <c r="L18" s="219" t="s">
        <v>162</v>
      </c>
      <c r="M18" s="221" t="s">
        <v>162</v>
      </c>
      <c r="N18" s="221" t="s">
        <v>163</v>
      </c>
      <c r="O18" s="221" t="s">
        <v>163</v>
      </c>
      <c r="P18" s="221" t="s">
        <v>163</v>
      </c>
      <c r="Q18" s="221" t="s">
        <v>163</v>
      </c>
    </row>
    <row r="19" spans="2:17" s="67" customFormat="1" x14ac:dyDescent="0.35">
      <c r="B19" s="216"/>
      <c r="C19" s="217"/>
      <c r="D19" s="217"/>
      <c r="E19" s="217"/>
      <c r="F19" s="217"/>
      <c r="G19" s="217"/>
      <c r="H19" s="217"/>
      <c r="I19" s="217"/>
      <c r="J19" s="217"/>
      <c r="K19" s="217"/>
      <c r="L19" s="218"/>
    </row>
    <row r="20" spans="2:17" s="67" customFormat="1" ht="28" x14ac:dyDescent="0.35">
      <c r="B20" s="3" t="s">
        <v>165</v>
      </c>
      <c r="C20" s="2" t="s">
        <v>106</v>
      </c>
      <c r="D20" s="2" t="s">
        <v>107</v>
      </c>
      <c r="E20" s="2" t="s">
        <v>108</v>
      </c>
      <c r="F20" s="2" t="s">
        <v>109</v>
      </c>
      <c r="G20" s="2" t="s">
        <v>110</v>
      </c>
      <c r="H20" s="2" t="s">
        <v>111</v>
      </c>
      <c r="I20" s="2" t="s">
        <v>112</v>
      </c>
      <c r="J20" s="2" t="s">
        <v>113</v>
      </c>
      <c r="K20" s="2" t="s">
        <v>114</v>
      </c>
      <c r="L20" s="1" t="s">
        <v>115</v>
      </c>
      <c r="M20" s="1">
        <v>2018</v>
      </c>
      <c r="N20" s="1">
        <v>2019</v>
      </c>
      <c r="O20" s="1">
        <v>2020</v>
      </c>
      <c r="P20" s="1">
        <v>2021</v>
      </c>
      <c r="Q20" s="1">
        <v>2022</v>
      </c>
    </row>
    <row r="21" spans="2:17" s="67" customFormat="1" x14ac:dyDescent="0.35">
      <c r="B21" s="205" t="s">
        <v>156</v>
      </c>
      <c r="C21" s="219">
        <v>35193</v>
      </c>
      <c r="D21" s="219">
        <v>1903686</v>
      </c>
      <c r="E21" s="219">
        <v>2053110</v>
      </c>
      <c r="F21" s="219">
        <v>6929629</v>
      </c>
      <c r="G21" s="219">
        <v>8750918</v>
      </c>
      <c r="H21" s="219">
        <v>8516632</v>
      </c>
      <c r="I21" s="219">
        <v>7340016</v>
      </c>
      <c r="J21" s="219">
        <v>7487454</v>
      </c>
      <c r="K21" s="219">
        <v>7536415</v>
      </c>
      <c r="L21" s="219">
        <v>3263453</v>
      </c>
      <c r="M21" s="220">
        <v>7353769</v>
      </c>
      <c r="N21" s="220">
        <v>4188155</v>
      </c>
      <c r="O21" s="220">
        <v>4296545</v>
      </c>
      <c r="P21" s="220">
        <v>3407122</v>
      </c>
      <c r="Q21" s="220">
        <f>'1- Ex Ante Results'!H72</f>
        <v>231010.68</v>
      </c>
    </row>
    <row r="22" spans="2:17" s="67" customFormat="1" x14ac:dyDescent="0.35">
      <c r="B22" s="205" t="s">
        <v>157</v>
      </c>
      <c r="C22" s="219">
        <v>187</v>
      </c>
      <c r="D22" s="219">
        <v>10093</v>
      </c>
      <c r="E22" s="219">
        <v>10886</v>
      </c>
      <c r="F22" s="219">
        <v>36741</v>
      </c>
      <c r="G22" s="219">
        <v>46397</v>
      </c>
      <c r="H22" s="219">
        <v>45155</v>
      </c>
      <c r="I22" s="219">
        <v>38917</v>
      </c>
      <c r="J22" s="219">
        <v>39616</v>
      </c>
      <c r="K22" s="219">
        <v>39875</v>
      </c>
      <c r="L22" s="219">
        <v>17303</v>
      </c>
      <c r="M22" s="220">
        <v>38990</v>
      </c>
      <c r="N22" s="220">
        <v>22160</v>
      </c>
      <c r="O22" s="220">
        <v>22735</v>
      </c>
      <c r="P22" s="220">
        <v>18229</v>
      </c>
      <c r="Q22" s="220">
        <v>1222</v>
      </c>
    </row>
    <row r="23" spans="2:17" s="67" customFormat="1" x14ac:dyDescent="0.35">
      <c r="B23" s="205" t="s">
        <v>158</v>
      </c>
      <c r="C23" s="219">
        <v>39.6</v>
      </c>
      <c r="D23" s="219">
        <v>2143</v>
      </c>
      <c r="E23" s="219">
        <v>2331</v>
      </c>
      <c r="F23" s="219">
        <v>7801</v>
      </c>
      <c r="G23" s="219">
        <v>9851</v>
      </c>
      <c r="H23" s="219">
        <v>9587</v>
      </c>
      <c r="I23" s="219">
        <v>8263</v>
      </c>
      <c r="J23" s="219">
        <v>8411</v>
      </c>
      <c r="K23" s="219">
        <v>8466</v>
      </c>
      <c r="L23" s="219">
        <v>3674</v>
      </c>
      <c r="M23" s="220">
        <v>8278</v>
      </c>
      <c r="N23" s="220">
        <v>4787</v>
      </c>
      <c r="O23" s="220">
        <v>4944</v>
      </c>
      <c r="P23" s="220">
        <v>3964</v>
      </c>
      <c r="Q23" s="220">
        <v>263</v>
      </c>
    </row>
    <row r="24" spans="2:17" s="67" customFormat="1" x14ac:dyDescent="0.35">
      <c r="B24" s="205" t="s">
        <v>159</v>
      </c>
      <c r="C24" s="219">
        <v>220</v>
      </c>
      <c r="D24" s="219">
        <v>11879</v>
      </c>
      <c r="E24" s="219">
        <v>12811</v>
      </c>
      <c r="F24" s="219">
        <v>43241</v>
      </c>
      <c r="G24" s="219">
        <v>54606</v>
      </c>
      <c r="H24" s="219">
        <v>53144</v>
      </c>
      <c r="I24" s="219">
        <v>45802</v>
      </c>
      <c r="J24" s="219">
        <v>51737</v>
      </c>
      <c r="K24" s="219">
        <v>52075</v>
      </c>
      <c r="L24" s="219">
        <v>20364</v>
      </c>
      <c r="M24" s="220">
        <v>45888</v>
      </c>
      <c r="N24" s="220">
        <v>28939</v>
      </c>
      <c r="O24" s="220">
        <v>27855</v>
      </c>
      <c r="P24" s="220">
        <v>22334</v>
      </c>
      <c r="Q24" s="220">
        <v>1446</v>
      </c>
    </row>
    <row r="25" spans="2:17" s="67" customFormat="1" x14ac:dyDescent="0.35">
      <c r="B25" s="205" t="s">
        <v>160</v>
      </c>
      <c r="C25" s="219">
        <v>22.3</v>
      </c>
      <c r="D25" s="219">
        <v>1209</v>
      </c>
      <c r="E25" s="219">
        <v>1304</v>
      </c>
      <c r="F25" s="219">
        <v>4400</v>
      </c>
      <c r="G25" s="219">
        <v>5556</v>
      </c>
      <c r="H25" s="219">
        <v>5407</v>
      </c>
      <c r="I25" s="219">
        <v>4660</v>
      </c>
      <c r="J25" s="219">
        <v>4571</v>
      </c>
      <c r="K25" s="219">
        <v>4601</v>
      </c>
      <c r="L25" s="219">
        <v>2072</v>
      </c>
      <c r="M25" s="220">
        <v>4669</v>
      </c>
      <c r="N25" s="220">
        <v>2557</v>
      </c>
      <c r="O25" s="220">
        <v>2738</v>
      </c>
      <c r="P25" s="220">
        <v>2195</v>
      </c>
      <c r="Q25" s="220">
        <v>154</v>
      </c>
    </row>
    <row r="26" spans="2:17" s="67" customFormat="1" x14ac:dyDescent="0.35">
      <c r="B26" s="206" t="s">
        <v>161</v>
      </c>
      <c r="C26" s="219" t="s">
        <v>162</v>
      </c>
      <c r="D26" s="219" t="s">
        <v>162</v>
      </c>
      <c r="E26" s="219" t="s">
        <v>162</v>
      </c>
      <c r="F26" s="219" t="s">
        <v>162</v>
      </c>
      <c r="G26" s="219" t="s">
        <v>162</v>
      </c>
      <c r="H26" s="219" t="s">
        <v>162</v>
      </c>
      <c r="I26" s="219" t="s">
        <v>162</v>
      </c>
      <c r="J26" s="219" t="s">
        <v>162</v>
      </c>
      <c r="K26" s="219" t="s">
        <v>162</v>
      </c>
      <c r="L26" s="219" t="s">
        <v>162</v>
      </c>
      <c r="M26" s="221" t="s">
        <v>162</v>
      </c>
      <c r="N26" s="221" t="s">
        <v>163</v>
      </c>
      <c r="O26" s="221" t="s">
        <v>163</v>
      </c>
      <c r="P26" s="221" t="s">
        <v>163</v>
      </c>
      <c r="Q26" s="221" t="s">
        <v>163</v>
      </c>
    </row>
    <row r="27" spans="2:17" s="67" customFormat="1" x14ac:dyDescent="0.35">
      <c r="B27" s="169" t="s">
        <v>164</v>
      </c>
      <c r="C27" s="222" t="s">
        <v>162</v>
      </c>
      <c r="D27" s="222" t="s">
        <v>162</v>
      </c>
      <c r="E27" s="222" t="s">
        <v>162</v>
      </c>
      <c r="F27" s="222" t="s">
        <v>162</v>
      </c>
      <c r="G27" s="222" t="s">
        <v>162</v>
      </c>
      <c r="H27" s="222" t="s">
        <v>162</v>
      </c>
      <c r="I27" s="222" t="s">
        <v>162</v>
      </c>
      <c r="J27" s="222" t="s">
        <v>162</v>
      </c>
      <c r="K27" s="222" t="s">
        <v>162</v>
      </c>
      <c r="L27" s="219" t="s">
        <v>162</v>
      </c>
      <c r="M27" s="221" t="s">
        <v>162</v>
      </c>
      <c r="N27" s="221" t="s">
        <v>163</v>
      </c>
      <c r="O27" s="221" t="s">
        <v>163</v>
      </c>
      <c r="P27" s="221" t="s">
        <v>163</v>
      </c>
      <c r="Q27" s="221" t="s">
        <v>163</v>
      </c>
    </row>
    <row r="28" spans="2:17" s="67" customFormat="1" x14ac:dyDescent="0.35">
      <c r="B28" s="216"/>
      <c r="C28" s="217"/>
      <c r="D28" s="217"/>
      <c r="E28" s="217"/>
      <c r="F28" s="217"/>
      <c r="G28" s="217"/>
      <c r="H28" s="217"/>
      <c r="I28" s="217"/>
      <c r="J28" s="217"/>
      <c r="K28" s="217"/>
      <c r="L28" s="218"/>
    </row>
    <row r="29" spans="2:17" s="67" customFormat="1" ht="28" x14ac:dyDescent="0.35">
      <c r="B29" s="3" t="s">
        <v>166</v>
      </c>
      <c r="C29" s="2" t="s">
        <v>106</v>
      </c>
      <c r="D29" s="2" t="s">
        <v>107</v>
      </c>
      <c r="E29" s="2" t="s">
        <v>108</v>
      </c>
      <c r="F29" s="2" t="s">
        <v>109</v>
      </c>
      <c r="G29" s="2" t="s">
        <v>110</v>
      </c>
      <c r="H29" s="2" t="s">
        <v>111</v>
      </c>
      <c r="I29" s="2" t="s">
        <v>112</v>
      </c>
      <c r="J29" s="2" t="s">
        <v>113</v>
      </c>
      <c r="K29" s="2" t="s">
        <v>114</v>
      </c>
      <c r="L29" s="1" t="s">
        <v>115</v>
      </c>
      <c r="M29" s="1">
        <v>2018</v>
      </c>
      <c r="N29" s="1">
        <v>2019</v>
      </c>
      <c r="O29" s="1">
        <v>2020</v>
      </c>
      <c r="P29" s="1">
        <v>2021</v>
      </c>
      <c r="Q29" s="1">
        <v>2022</v>
      </c>
    </row>
    <row r="30" spans="2:17" s="67" customFormat="1" x14ac:dyDescent="0.25">
      <c r="B30" s="205" t="s">
        <v>157</v>
      </c>
      <c r="C30" s="219">
        <f>SUM(C13,C22)</f>
        <v>71070</v>
      </c>
      <c r="D30" s="219">
        <f t="shared" ref="D30:Q30" si="0">SUM(D13,D22)</f>
        <v>116679</v>
      </c>
      <c r="E30" s="219">
        <f t="shared" si="0"/>
        <v>215896</v>
      </c>
      <c r="F30" s="219">
        <f t="shared" si="0"/>
        <v>313279</v>
      </c>
      <c r="G30" s="219">
        <f t="shared" si="0"/>
        <v>330283</v>
      </c>
      <c r="H30" s="219">
        <f t="shared" si="0"/>
        <v>331070</v>
      </c>
      <c r="I30" s="219">
        <f t="shared" si="0"/>
        <v>307634</v>
      </c>
      <c r="J30" s="219">
        <f t="shared" si="0"/>
        <v>345977</v>
      </c>
      <c r="K30" s="219">
        <f t="shared" si="0"/>
        <v>322424</v>
      </c>
      <c r="L30" s="219">
        <f t="shared" si="0"/>
        <v>92503</v>
      </c>
      <c r="M30" s="219">
        <f t="shared" si="0"/>
        <v>306134</v>
      </c>
      <c r="N30" s="219">
        <f t="shared" si="0"/>
        <v>265698</v>
      </c>
      <c r="O30" s="219">
        <f t="shared" si="0"/>
        <v>336244</v>
      </c>
      <c r="P30" s="219">
        <f t="shared" si="0"/>
        <v>331122</v>
      </c>
      <c r="Q30" s="219">
        <f t="shared" si="0"/>
        <v>55650</v>
      </c>
    </row>
    <row r="31" spans="2:17" s="67" customFormat="1" x14ac:dyDescent="0.25">
      <c r="B31" s="205" t="s">
        <v>158</v>
      </c>
      <c r="C31" s="219">
        <f t="shared" ref="C31:Q33" si="1">SUM(C14,C23)</f>
        <v>15089.6</v>
      </c>
      <c r="D31" s="219">
        <f t="shared" si="1"/>
        <v>24773</v>
      </c>
      <c r="E31" s="219">
        <f t="shared" si="1"/>
        <v>45858</v>
      </c>
      <c r="F31" s="219">
        <f t="shared" si="1"/>
        <v>66514</v>
      </c>
      <c r="G31" s="219">
        <f t="shared" si="1"/>
        <v>70124</v>
      </c>
      <c r="H31" s="219">
        <f t="shared" si="1"/>
        <v>70291</v>
      </c>
      <c r="I31" s="219">
        <f t="shared" si="1"/>
        <v>65315</v>
      </c>
      <c r="J31" s="219">
        <f t="shared" si="1"/>
        <v>73456</v>
      </c>
      <c r="K31" s="219">
        <f t="shared" si="1"/>
        <v>68455</v>
      </c>
      <c r="L31" s="219">
        <f t="shared" si="1"/>
        <v>19640</v>
      </c>
      <c r="M31" s="219">
        <f t="shared" si="1"/>
        <v>64996</v>
      </c>
      <c r="N31" s="219">
        <f t="shared" si="1"/>
        <v>57402</v>
      </c>
      <c r="O31" s="219">
        <f t="shared" si="1"/>
        <v>73126</v>
      </c>
      <c r="P31" s="219">
        <f t="shared" si="1"/>
        <v>72012</v>
      </c>
      <c r="Q31" s="219">
        <f t="shared" si="1"/>
        <v>11991</v>
      </c>
    </row>
    <row r="32" spans="2:17" s="67" customFormat="1" x14ac:dyDescent="0.25">
      <c r="B32" s="205" t="s">
        <v>159</v>
      </c>
      <c r="C32" s="219">
        <f t="shared" si="1"/>
        <v>83644</v>
      </c>
      <c r="D32" s="219">
        <f t="shared" si="1"/>
        <v>137322</v>
      </c>
      <c r="E32" s="219">
        <f t="shared" si="1"/>
        <v>254092</v>
      </c>
      <c r="F32" s="219">
        <f t="shared" si="1"/>
        <v>368705</v>
      </c>
      <c r="G32" s="219">
        <f t="shared" si="1"/>
        <v>388717</v>
      </c>
      <c r="H32" s="219">
        <f t="shared" si="1"/>
        <v>389643</v>
      </c>
      <c r="I32" s="219">
        <f t="shared" si="1"/>
        <v>362061</v>
      </c>
      <c r="J32" s="219">
        <f t="shared" si="1"/>
        <v>412300</v>
      </c>
      <c r="K32" s="219">
        <f t="shared" si="1"/>
        <v>384613</v>
      </c>
      <c r="L32" s="219">
        <f t="shared" si="1"/>
        <v>108868</v>
      </c>
      <c r="M32" s="219">
        <f t="shared" si="1"/>
        <v>360296</v>
      </c>
      <c r="N32" s="219">
        <f t="shared" si="1"/>
        <v>346988</v>
      </c>
      <c r="O32" s="219">
        <f t="shared" si="1"/>
        <v>411959</v>
      </c>
      <c r="P32" s="219">
        <f t="shared" si="1"/>
        <v>405684</v>
      </c>
      <c r="Q32" s="219">
        <f t="shared" si="1"/>
        <v>65858</v>
      </c>
    </row>
    <row r="33" spans="2:17" s="67" customFormat="1" x14ac:dyDescent="0.25">
      <c r="B33" s="205" t="s">
        <v>160</v>
      </c>
      <c r="C33" s="219">
        <f t="shared" si="1"/>
        <v>8510.2999999999993</v>
      </c>
      <c r="D33" s="219">
        <f t="shared" si="1"/>
        <v>13972</v>
      </c>
      <c r="E33" s="219">
        <f t="shared" si="1"/>
        <v>25853</v>
      </c>
      <c r="F33" s="219">
        <f t="shared" si="1"/>
        <v>37514</v>
      </c>
      <c r="G33" s="219">
        <f t="shared" si="1"/>
        <v>39550</v>
      </c>
      <c r="H33" s="219">
        <f t="shared" si="1"/>
        <v>39644</v>
      </c>
      <c r="I33" s="219">
        <f t="shared" si="1"/>
        <v>36838</v>
      </c>
      <c r="J33" s="219">
        <f t="shared" si="1"/>
        <v>41257</v>
      </c>
      <c r="K33" s="219">
        <f t="shared" si="1"/>
        <v>38435</v>
      </c>
      <c r="L33" s="219">
        <f t="shared" si="1"/>
        <v>11077</v>
      </c>
      <c r="M33" s="219">
        <f t="shared" si="1"/>
        <v>36658</v>
      </c>
      <c r="N33" s="219">
        <f t="shared" si="1"/>
        <v>30660</v>
      </c>
      <c r="O33" s="219">
        <f t="shared" si="1"/>
        <v>40492</v>
      </c>
      <c r="P33" s="219">
        <f t="shared" si="1"/>
        <v>39875</v>
      </c>
      <c r="Q33" s="219">
        <f t="shared" si="1"/>
        <v>7010</v>
      </c>
    </row>
    <row r="34" spans="2:17" s="67" customFormat="1" x14ac:dyDescent="0.25">
      <c r="B34" s="206" t="s">
        <v>161</v>
      </c>
      <c r="C34" s="219" t="s">
        <v>162</v>
      </c>
      <c r="D34" s="219" t="s">
        <v>162</v>
      </c>
      <c r="E34" s="219" t="s">
        <v>162</v>
      </c>
      <c r="F34" s="219" t="s">
        <v>162</v>
      </c>
      <c r="G34" s="219" t="s">
        <v>162</v>
      </c>
      <c r="H34" s="219" t="s">
        <v>162</v>
      </c>
      <c r="I34" s="219" t="s">
        <v>162</v>
      </c>
      <c r="J34" s="219" t="s">
        <v>162</v>
      </c>
      <c r="K34" s="219" t="s">
        <v>162</v>
      </c>
      <c r="L34" s="219" t="s">
        <v>162</v>
      </c>
      <c r="M34" s="219">
        <v>1481</v>
      </c>
      <c r="N34" s="219">
        <v>2955</v>
      </c>
      <c r="O34" s="219">
        <v>4275</v>
      </c>
      <c r="P34" s="219">
        <v>4106</v>
      </c>
      <c r="Q34" s="219" t="s">
        <v>162</v>
      </c>
    </row>
    <row r="35" spans="2:17" s="67" customFormat="1" x14ac:dyDescent="0.25">
      <c r="B35" s="169" t="s">
        <v>164</v>
      </c>
      <c r="C35" s="219" t="s">
        <v>162</v>
      </c>
      <c r="D35" s="219" t="s">
        <v>162</v>
      </c>
      <c r="E35" s="219" t="s">
        <v>162</v>
      </c>
      <c r="F35" s="219" t="s">
        <v>162</v>
      </c>
      <c r="G35" s="219" t="s">
        <v>162</v>
      </c>
      <c r="H35" s="219" t="s">
        <v>162</v>
      </c>
      <c r="I35" s="219" t="s">
        <v>162</v>
      </c>
      <c r="J35" s="219" t="s">
        <v>162</v>
      </c>
      <c r="K35" s="219" t="s">
        <v>162</v>
      </c>
      <c r="L35" s="219" t="s">
        <v>162</v>
      </c>
      <c r="M35" s="219" t="s">
        <v>162</v>
      </c>
      <c r="N35" s="219" t="s">
        <v>162</v>
      </c>
      <c r="O35" s="219">
        <v>40330</v>
      </c>
      <c r="P35" s="219">
        <v>45844</v>
      </c>
      <c r="Q35" s="219">
        <v>45844</v>
      </c>
    </row>
    <row r="36" spans="2:17" x14ac:dyDescent="0.35">
      <c r="B36" s="207"/>
      <c r="C36" s="208"/>
      <c r="D36" s="208"/>
      <c r="E36" s="208"/>
      <c r="F36" s="208"/>
      <c r="G36" s="209"/>
      <c r="H36" s="209"/>
      <c r="I36" s="209"/>
      <c r="J36" s="208"/>
      <c r="K36" s="208"/>
      <c r="L36" s="210"/>
    </row>
    <row r="37" spans="2:17" x14ac:dyDescent="0.35">
      <c r="B37" s="179" t="s">
        <v>62</v>
      </c>
      <c r="C37" s="207"/>
      <c r="D37" s="179"/>
      <c r="E37" s="179"/>
      <c r="F37" s="211"/>
      <c r="G37" s="212"/>
      <c r="H37" s="212"/>
      <c r="I37" s="212"/>
      <c r="J37" s="211"/>
      <c r="K37" s="211"/>
      <c r="L37" s="213"/>
    </row>
    <row r="38" spans="2:17" ht="29.4" customHeight="1" x14ac:dyDescent="0.35">
      <c r="B38" s="297" t="s">
        <v>167</v>
      </c>
      <c r="C38" s="298"/>
      <c r="D38" s="298"/>
      <c r="E38" s="298"/>
      <c r="F38" s="298"/>
      <c r="G38" s="298"/>
      <c r="H38" s="298"/>
      <c r="I38" s="298"/>
      <c r="J38" s="298"/>
      <c r="K38" s="298"/>
      <c r="L38" s="299"/>
    </row>
    <row r="39" spans="2:17" ht="27.75" customHeight="1" x14ac:dyDescent="0.35">
      <c r="B39" s="297" t="s">
        <v>168</v>
      </c>
      <c r="C39" s="298"/>
      <c r="D39" s="298"/>
      <c r="E39" s="298"/>
      <c r="F39" s="298"/>
      <c r="G39" s="298"/>
      <c r="H39" s="298"/>
      <c r="I39" s="298"/>
      <c r="J39" s="298"/>
      <c r="K39" s="298"/>
      <c r="L39" s="299"/>
    </row>
    <row r="40" spans="2:17" ht="33" customHeight="1" x14ac:dyDescent="0.35">
      <c r="B40" s="297" t="s">
        <v>169</v>
      </c>
      <c r="C40" s="298"/>
      <c r="D40" s="298"/>
      <c r="E40" s="298"/>
      <c r="F40" s="298"/>
      <c r="G40" s="298"/>
      <c r="H40" s="298"/>
      <c r="I40" s="298"/>
      <c r="J40" s="298"/>
      <c r="K40" s="298"/>
      <c r="L40" s="299"/>
    </row>
    <row r="41" spans="2:17" ht="44.25" customHeight="1" x14ac:dyDescent="0.35">
      <c r="B41" s="329" t="s">
        <v>170</v>
      </c>
      <c r="C41" s="329"/>
      <c r="D41" s="329"/>
      <c r="E41" s="329"/>
      <c r="F41" s="329"/>
      <c r="G41" s="329"/>
      <c r="H41" s="329"/>
      <c r="I41" s="329"/>
      <c r="J41" s="329"/>
      <c r="K41" s="329"/>
      <c r="L41" s="329"/>
    </row>
    <row r="42" spans="2:17" x14ac:dyDescent="0.35">
      <c r="B42" s="326" t="s">
        <v>171</v>
      </c>
      <c r="C42" s="327"/>
      <c r="D42" s="327"/>
      <c r="E42" s="327"/>
      <c r="F42" s="327"/>
      <c r="G42" s="327"/>
      <c r="H42" s="327"/>
      <c r="I42" s="327"/>
      <c r="J42" s="327"/>
      <c r="K42" s="327"/>
      <c r="L42" s="328"/>
    </row>
    <row r="43" spans="2:17" x14ac:dyDescent="0.35">
      <c r="B43" s="214"/>
      <c r="C43" s="214"/>
      <c r="D43" s="215"/>
      <c r="E43" s="215"/>
      <c r="F43" s="215"/>
      <c r="G43" s="215"/>
      <c r="H43" s="166"/>
      <c r="I43" s="166"/>
      <c r="J43" s="166"/>
      <c r="K43" s="166"/>
      <c r="L43" s="166"/>
    </row>
    <row r="44" spans="2:17" x14ac:dyDescent="0.35">
      <c r="B44" s="166"/>
      <c r="C44" s="166"/>
      <c r="D44" s="166"/>
      <c r="E44" s="166"/>
      <c r="F44" s="166"/>
      <c r="G44" s="166"/>
      <c r="H44" s="166"/>
      <c r="I44" s="166"/>
      <c r="J44" s="166"/>
      <c r="K44" s="166"/>
      <c r="L44" s="166"/>
    </row>
    <row r="45" spans="2:17" x14ac:dyDescent="0.35">
      <c r="B45" s="166"/>
      <c r="C45" s="166"/>
      <c r="D45" s="166"/>
      <c r="E45" s="166"/>
      <c r="F45" s="166"/>
      <c r="G45" s="166"/>
      <c r="H45" s="166"/>
      <c r="I45" s="166"/>
      <c r="J45" s="166"/>
      <c r="K45" s="166"/>
      <c r="L45" s="166"/>
    </row>
    <row r="46" spans="2:17" x14ac:dyDescent="0.35">
      <c r="B46" s="166"/>
      <c r="C46" s="166"/>
      <c r="D46" s="166"/>
      <c r="E46" s="166"/>
      <c r="F46" s="166"/>
      <c r="G46" s="166"/>
      <c r="H46" s="166"/>
      <c r="I46" s="166"/>
      <c r="J46" s="166"/>
      <c r="K46" s="166"/>
      <c r="L46" s="166"/>
    </row>
    <row r="47" spans="2:17" x14ac:dyDescent="0.35">
      <c r="B47" s="166"/>
      <c r="C47" s="166"/>
      <c r="D47" s="166"/>
      <c r="E47" s="166"/>
      <c r="F47" s="166"/>
      <c r="G47" s="166"/>
      <c r="H47" s="166"/>
      <c r="I47" s="166"/>
      <c r="J47" s="166"/>
      <c r="K47" s="166"/>
      <c r="L47" s="166"/>
    </row>
    <row r="48" spans="2:17" x14ac:dyDescent="0.35">
      <c r="B48" s="166"/>
      <c r="C48" s="166"/>
      <c r="D48" s="166"/>
      <c r="E48" s="166"/>
      <c r="F48" s="166"/>
      <c r="G48" s="166"/>
      <c r="H48" s="166"/>
      <c r="I48" s="166"/>
      <c r="J48" s="166"/>
      <c r="K48" s="166"/>
      <c r="L48" s="166"/>
    </row>
  </sheetData>
  <mergeCells count="6">
    <mergeCell ref="B42:L42"/>
    <mergeCell ref="B5:K7"/>
    <mergeCell ref="B39:L39"/>
    <mergeCell ref="B38:L38"/>
    <mergeCell ref="B41:L41"/>
    <mergeCell ref="B40:L40"/>
  </mergeCells>
  <printOptions headings="1"/>
  <pageMargins left="0.7" right="0.7" top="0.75" bottom="0.75" header="0.3" footer="0.3"/>
  <pageSetup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zoomScaleNormal="100" workbookViewId="0"/>
  </sheetViews>
  <sheetFormatPr defaultColWidth="9.08984375" defaultRowHeight="14.5" x14ac:dyDescent="0.35"/>
  <cols>
    <col min="1" max="1" width="4.453125" style="64" customWidth="1"/>
    <col min="2" max="2" width="4.90625" style="140" customWidth="1"/>
    <col min="3" max="3" width="4.54296875" style="64" customWidth="1"/>
    <col min="4" max="4" width="76.54296875" style="64" customWidth="1"/>
    <col min="5" max="5" width="14" style="64" customWidth="1"/>
    <col min="6" max="6" width="44.08984375" style="64" customWidth="1"/>
    <col min="7" max="7" width="10.453125" style="64" customWidth="1"/>
    <col min="8" max="16384" width="9.08984375" style="64"/>
  </cols>
  <sheetData>
    <row r="1" spans="1:11" ht="16.5" customHeight="1" x14ac:dyDescent="0.45">
      <c r="A1" s="64" t="s">
        <v>265</v>
      </c>
      <c r="B1" s="65" t="s">
        <v>0</v>
      </c>
      <c r="E1" s="231"/>
      <c r="F1" s="231"/>
    </row>
    <row r="2" spans="1:11" ht="14.25" customHeight="1" x14ac:dyDescent="0.45">
      <c r="B2" s="65" t="s">
        <v>172</v>
      </c>
      <c r="E2" s="232"/>
      <c r="F2" s="232"/>
    </row>
    <row r="3" spans="1:11" ht="15.5" x14ac:dyDescent="0.35">
      <c r="B3" s="65" t="s">
        <v>68</v>
      </c>
      <c r="E3" s="233"/>
      <c r="F3" s="233"/>
    </row>
    <row r="4" spans="1:11" ht="18.5" x14ac:dyDescent="0.45">
      <c r="B4" s="234"/>
      <c r="E4" s="233"/>
      <c r="F4" s="233"/>
    </row>
    <row r="5" spans="1:11" ht="22.4" customHeight="1" x14ac:dyDescent="0.35">
      <c r="B5" s="287" t="s">
        <v>173</v>
      </c>
      <c r="C5" s="287"/>
      <c r="D5" s="287"/>
      <c r="E5" s="216"/>
      <c r="F5" s="216"/>
      <c r="G5" s="216"/>
      <c r="H5" s="216"/>
      <c r="I5" s="216"/>
      <c r="J5" s="216"/>
      <c r="K5" s="216"/>
    </row>
    <row r="6" spans="1:11" ht="27" customHeight="1" x14ac:dyDescent="0.35">
      <c r="B6" s="287"/>
      <c r="C6" s="287"/>
      <c r="D6" s="287"/>
      <c r="E6" s="216"/>
      <c r="F6" s="216"/>
      <c r="G6" s="216"/>
      <c r="H6" s="216"/>
      <c r="I6" s="216"/>
      <c r="J6" s="216"/>
      <c r="K6" s="216"/>
    </row>
    <row r="7" spans="1:11" ht="22.4" customHeight="1" x14ac:dyDescent="0.35">
      <c r="B7" s="78"/>
      <c r="C7" s="78"/>
      <c r="D7" s="78"/>
      <c r="E7" s="216"/>
      <c r="F7" s="216"/>
      <c r="G7" s="216"/>
      <c r="H7" s="216"/>
      <c r="I7" s="216"/>
      <c r="J7" s="216"/>
      <c r="K7" s="216"/>
    </row>
    <row r="8" spans="1:11" ht="22.4" customHeight="1" x14ac:dyDescent="0.35">
      <c r="B8" s="330" t="s">
        <v>174</v>
      </c>
      <c r="C8" s="330"/>
      <c r="D8" s="330"/>
      <c r="E8" s="216"/>
      <c r="F8" s="216"/>
      <c r="G8" s="216"/>
      <c r="H8" s="216"/>
      <c r="I8" s="216"/>
      <c r="J8" s="216"/>
      <c r="K8" s="216"/>
    </row>
    <row r="9" spans="1:11" ht="21" customHeight="1" x14ac:dyDescent="0.35">
      <c r="B9" s="337" t="s">
        <v>175</v>
      </c>
      <c r="C9" s="337"/>
      <c r="D9" s="337"/>
      <c r="E9" s="78"/>
      <c r="F9" s="78"/>
      <c r="G9" s="78"/>
      <c r="H9" s="78"/>
      <c r="I9" s="78"/>
      <c r="J9" s="78"/>
      <c r="K9" s="78"/>
    </row>
    <row r="10" spans="1:11" ht="21" customHeight="1" x14ac:dyDescent="0.35">
      <c r="B10" s="338" t="s">
        <v>176</v>
      </c>
      <c r="C10" s="338"/>
      <c r="D10" s="338"/>
      <c r="E10" s="78"/>
      <c r="F10" s="78"/>
      <c r="G10" s="78"/>
      <c r="H10" s="78"/>
      <c r="I10" s="78"/>
      <c r="J10" s="78"/>
      <c r="K10" s="78"/>
    </row>
    <row r="11" spans="1:11" ht="21" customHeight="1" x14ac:dyDescent="0.35">
      <c r="B11" s="339" t="s">
        <v>177</v>
      </c>
      <c r="C11" s="339"/>
      <c r="D11" s="339"/>
      <c r="E11" s="78"/>
      <c r="F11" s="78"/>
      <c r="G11" s="78"/>
      <c r="H11" s="78"/>
      <c r="I11" s="78"/>
      <c r="J11" s="78"/>
      <c r="K11" s="78"/>
    </row>
    <row r="12" spans="1:11" ht="21" customHeight="1" x14ac:dyDescent="0.35">
      <c r="B12" s="66"/>
      <c r="C12" s="66"/>
      <c r="D12" s="66"/>
      <c r="E12" s="78"/>
      <c r="F12" s="78"/>
      <c r="G12" s="78"/>
      <c r="H12" s="78"/>
      <c r="I12" s="78"/>
      <c r="J12" s="78"/>
      <c r="K12" s="78"/>
    </row>
    <row r="13" spans="1:11" ht="21" customHeight="1" x14ac:dyDescent="0.35">
      <c r="B13" s="105" t="s">
        <v>178</v>
      </c>
      <c r="C13" s="66"/>
      <c r="D13" s="66"/>
      <c r="E13" s="78"/>
      <c r="F13" s="78"/>
      <c r="G13" s="78"/>
      <c r="H13" s="78"/>
      <c r="I13" s="78"/>
      <c r="J13" s="78"/>
      <c r="K13" s="78"/>
    </row>
    <row r="14" spans="1:11" ht="21" customHeight="1" x14ac:dyDescent="0.35">
      <c r="B14" s="78"/>
      <c r="C14" s="78"/>
      <c r="D14" s="78"/>
      <c r="E14" s="78"/>
      <c r="F14" s="78"/>
      <c r="G14" s="78"/>
      <c r="H14" s="78"/>
      <c r="I14" s="78"/>
      <c r="J14" s="78"/>
      <c r="K14" s="78"/>
    </row>
    <row r="15" spans="1:11" ht="18" customHeight="1" x14ac:dyDescent="0.35">
      <c r="B15" s="241" t="s">
        <v>179</v>
      </c>
      <c r="C15" s="242"/>
      <c r="D15" s="242"/>
      <c r="E15" s="242"/>
      <c r="F15" s="243"/>
    </row>
    <row r="16" spans="1:11" x14ac:dyDescent="0.35">
      <c r="B16" s="239" t="s">
        <v>180</v>
      </c>
      <c r="C16" s="335" t="s">
        <v>181</v>
      </c>
      <c r="D16" s="336"/>
      <c r="E16" s="244">
        <v>0.1000308</v>
      </c>
      <c r="F16" s="240" t="s">
        <v>182</v>
      </c>
    </row>
    <row r="17" spans="1:6" x14ac:dyDescent="0.35">
      <c r="B17" s="229" t="s">
        <v>183</v>
      </c>
      <c r="C17" s="333" t="s">
        <v>184</v>
      </c>
      <c r="D17" s="334"/>
      <c r="E17" s="245">
        <v>28031035</v>
      </c>
      <c r="F17" s="8" t="s">
        <v>182</v>
      </c>
    </row>
    <row r="18" spans="1:6" x14ac:dyDescent="0.35">
      <c r="B18" s="229" t="s">
        <v>185</v>
      </c>
      <c r="C18" s="333" t="s">
        <v>186</v>
      </c>
      <c r="D18" s="334"/>
      <c r="E18" s="246">
        <f>E17*E16</f>
        <v>2803966.8558780001</v>
      </c>
      <c r="F18" s="7" t="s">
        <v>187</v>
      </c>
    </row>
    <row r="19" spans="1:6" x14ac:dyDescent="0.35">
      <c r="B19" s="229" t="s">
        <v>188</v>
      </c>
      <c r="C19" s="333" t="s">
        <v>189</v>
      </c>
      <c r="D19" s="334"/>
      <c r="E19" s="247">
        <v>2626723</v>
      </c>
      <c r="F19" s="9" t="s">
        <v>190</v>
      </c>
    </row>
    <row r="20" spans="1:6" ht="16.5" customHeight="1" x14ac:dyDescent="0.35">
      <c r="B20" s="229"/>
      <c r="C20" s="235" t="s">
        <v>191</v>
      </c>
      <c r="D20" s="236"/>
      <c r="E20" s="248"/>
      <c r="F20" s="237"/>
    </row>
    <row r="21" spans="1:6" x14ac:dyDescent="0.35">
      <c r="B21" s="229" t="s">
        <v>192</v>
      </c>
      <c r="C21" s="342" t="s">
        <v>193</v>
      </c>
      <c r="D21" s="343"/>
      <c r="E21" s="245">
        <v>981086</v>
      </c>
      <c r="F21" s="8" t="s">
        <v>194</v>
      </c>
    </row>
    <row r="22" spans="1:6" x14ac:dyDescent="0.35">
      <c r="B22" s="229" t="s">
        <v>195</v>
      </c>
      <c r="C22" s="342" t="s">
        <v>196</v>
      </c>
      <c r="D22" s="343"/>
      <c r="E22" s="245">
        <v>1116428</v>
      </c>
      <c r="F22" s="8" t="s">
        <v>194</v>
      </c>
    </row>
    <row r="23" spans="1:6" x14ac:dyDescent="0.35">
      <c r="B23" s="229" t="s">
        <v>197</v>
      </c>
      <c r="C23" s="342" t="s">
        <v>198</v>
      </c>
      <c r="D23" s="343"/>
      <c r="E23" s="249">
        <f>E21/E17</f>
        <v>3.4999991973182584E-2</v>
      </c>
      <c r="F23" s="7" t="s">
        <v>199</v>
      </c>
    </row>
    <row r="24" spans="1:6" x14ac:dyDescent="0.35">
      <c r="A24" s="67"/>
      <c r="B24" s="229" t="s">
        <v>200</v>
      </c>
      <c r="C24" s="342" t="s">
        <v>201</v>
      </c>
      <c r="D24" s="343"/>
      <c r="E24" s="246">
        <f>E22-E21</f>
        <v>135342</v>
      </c>
      <c r="F24" s="7" t="s">
        <v>202</v>
      </c>
    </row>
    <row r="25" spans="1:6" x14ac:dyDescent="0.35">
      <c r="B25" s="229" t="s">
        <v>203</v>
      </c>
      <c r="C25" s="342" t="s">
        <v>204</v>
      </c>
      <c r="D25" s="343"/>
      <c r="E25" s="247">
        <v>7224</v>
      </c>
      <c r="F25" s="9" t="s">
        <v>190</v>
      </c>
    </row>
    <row r="26" spans="1:6" x14ac:dyDescent="0.35">
      <c r="B26" s="229" t="s">
        <v>205</v>
      </c>
      <c r="C26" s="344" t="s">
        <v>206</v>
      </c>
      <c r="D26" s="345"/>
      <c r="E26" s="250">
        <f>E24+E25</f>
        <v>142566</v>
      </c>
      <c r="F26" s="7" t="s">
        <v>207</v>
      </c>
    </row>
    <row r="27" spans="1:6" x14ac:dyDescent="0.35">
      <c r="B27" s="229" t="s">
        <v>208</v>
      </c>
      <c r="C27" s="333" t="s">
        <v>209</v>
      </c>
      <c r="D27" s="334"/>
      <c r="E27" s="246">
        <f>E18-E19+E26</f>
        <v>319809.85587800015</v>
      </c>
      <c r="F27" s="7" t="s">
        <v>210</v>
      </c>
    </row>
    <row r="28" spans="1:6" x14ac:dyDescent="0.35">
      <c r="B28" s="229" t="s">
        <v>211</v>
      </c>
      <c r="C28" s="333" t="s">
        <v>212</v>
      </c>
      <c r="D28" s="334"/>
      <c r="E28" s="251">
        <v>76802</v>
      </c>
      <c r="F28" s="9" t="s">
        <v>213</v>
      </c>
    </row>
    <row r="29" spans="1:6" x14ac:dyDescent="0.35">
      <c r="B29" s="229" t="s">
        <v>214</v>
      </c>
      <c r="C29" s="333" t="s">
        <v>215</v>
      </c>
      <c r="D29" s="334"/>
      <c r="E29" s="251">
        <v>76802</v>
      </c>
      <c r="F29" s="9" t="s">
        <v>216</v>
      </c>
    </row>
    <row r="30" spans="1:6" ht="27" customHeight="1" x14ac:dyDescent="0.35">
      <c r="B30" s="229" t="s">
        <v>217</v>
      </c>
      <c r="C30" s="340" t="s">
        <v>218</v>
      </c>
      <c r="D30" s="341"/>
      <c r="E30" s="252">
        <f>E29/E27</f>
        <v>0.2401489465956238</v>
      </c>
      <c r="F30" s="7" t="s">
        <v>219</v>
      </c>
    </row>
    <row r="31" spans="1:6" ht="18" customHeight="1" x14ac:dyDescent="0.35">
      <c r="B31" s="238" t="s">
        <v>220</v>
      </c>
      <c r="C31" s="238"/>
      <c r="D31" s="238"/>
      <c r="E31" s="253"/>
      <c r="F31" s="238"/>
    </row>
    <row r="32" spans="1:6" x14ac:dyDescent="0.35">
      <c r="B32" s="229" t="s">
        <v>221</v>
      </c>
      <c r="C32" s="346" t="s">
        <v>222</v>
      </c>
      <c r="D32" s="347"/>
      <c r="E32" s="255">
        <v>9.1094900000000006E-2</v>
      </c>
      <c r="F32" s="224" t="s">
        <v>182</v>
      </c>
    </row>
    <row r="33" spans="2:8" x14ac:dyDescent="0.35">
      <c r="B33" s="229" t="s">
        <v>223</v>
      </c>
      <c r="C33" s="346" t="s">
        <v>224</v>
      </c>
      <c r="D33" s="347"/>
      <c r="E33" s="251">
        <v>2542522</v>
      </c>
      <c r="F33" s="223" t="s">
        <v>182</v>
      </c>
    </row>
    <row r="34" spans="2:8" x14ac:dyDescent="0.35">
      <c r="B34" s="229" t="s">
        <v>225</v>
      </c>
      <c r="C34" s="230" t="s">
        <v>226</v>
      </c>
      <c r="D34" s="230"/>
      <c r="E34" s="246">
        <f>E18-E33</f>
        <v>261444.85587800015</v>
      </c>
      <c r="F34" s="7" t="s">
        <v>227</v>
      </c>
    </row>
    <row r="35" spans="2:8" x14ac:dyDescent="0.35">
      <c r="B35" s="229" t="s">
        <v>228</v>
      </c>
      <c r="C35" s="230" t="s">
        <v>229</v>
      </c>
      <c r="D35" s="230"/>
      <c r="E35" s="246">
        <f>E34+E26</f>
        <v>404010.85587800015</v>
      </c>
      <c r="F35" s="7" t="s">
        <v>230</v>
      </c>
      <c r="G35" s="228"/>
    </row>
    <row r="36" spans="2:8" x14ac:dyDescent="0.35">
      <c r="B36" s="229" t="s">
        <v>231</v>
      </c>
      <c r="C36" s="230" t="s">
        <v>232</v>
      </c>
      <c r="D36" s="230"/>
      <c r="E36" s="246">
        <f>E29</f>
        <v>76802</v>
      </c>
      <c r="F36" s="7" t="s">
        <v>233</v>
      </c>
      <c r="H36" s="228"/>
    </row>
    <row r="37" spans="2:8" ht="32.4" customHeight="1" x14ac:dyDescent="0.35">
      <c r="B37" s="229" t="s">
        <v>234</v>
      </c>
      <c r="C37" s="331" t="s">
        <v>235</v>
      </c>
      <c r="D37" s="332"/>
      <c r="E37" s="254">
        <f>E26</f>
        <v>142566</v>
      </c>
      <c r="F37" s="7" t="s">
        <v>236</v>
      </c>
    </row>
    <row r="38" spans="2:8" x14ac:dyDescent="0.35">
      <c r="B38" s="229" t="s">
        <v>237</v>
      </c>
      <c r="C38" s="331" t="s">
        <v>238</v>
      </c>
      <c r="D38" s="332"/>
      <c r="E38" s="246">
        <f>E36-E37</f>
        <v>-65764</v>
      </c>
      <c r="F38" s="7" t="s">
        <v>239</v>
      </c>
    </row>
    <row r="39" spans="2:8" ht="30" customHeight="1" x14ac:dyDescent="0.35">
      <c r="B39" s="229" t="s">
        <v>240</v>
      </c>
      <c r="C39" s="340" t="s">
        <v>241</v>
      </c>
      <c r="D39" s="341"/>
      <c r="E39" s="252">
        <f>E38/E34</f>
        <v>-0.25154061562675351</v>
      </c>
      <c r="F39" s="7" t="s">
        <v>242</v>
      </c>
    </row>
    <row r="40" spans="2:8" x14ac:dyDescent="0.35">
      <c r="B40" s="225"/>
      <c r="C40" s="166"/>
      <c r="D40" s="166"/>
      <c r="E40" s="226"/>
      <c r="F40" s="227"/>
    </row>
    <row r="41" spans="2:8" x14ac:dyDescent="0.35">
      <c r="B41" s="225"/>
      <c r="C41" s="166"/>
      <c r="D41" s="166"/>
      <c r="E41" s="166"/>
      <c r="F41" s="166"/>
    </row>
  </sheetData>
  <mergeCells count="24">
    <mergeCell ref="C39:D39"/>
    <mergeCell ref="C21:D21"/>
    <mergeCell ref="C22:D22"/>
    <mergeCell ref="C23:D23"/>
    <mergeCell ref="C24:D24"/>
    <mergeCell ref="C25:D25"/>
    <mergeCell ref="C26:D26"/>
    <mergeCell ref="C27:D27"/>
    <mergeCell ref="C28:D28"/>
    <mergeCell ref="C29:D29"/>
    <mergeCell ref="C30:D30"/>
    <mergeCell ref="C32:D32"/>
    <mergeCell ref="C33:D33"/>
    <mergeCell ref="B5:D6"/>
    <mergeCell ref="B8:D8"/>
    <mergeCell ref="C37:D37"/>
    <mergeCell ref="C38:D38"/>
    <mergeCell ref="C19:D19"/>
    <mergeCell ref="C16:D16"/>
    <mergeCell ref="C17:D17"/>
    <mergeCell ref="C18:D18"/>
    <mergeCell ref="B9:D9"/>
    <mergeCell ref="B10:D10"/>
    <mergeCell ref="B11:D11"/>
  </mergeCells>
  <printOptions headings="1"/>
  <pageMargins left="0.7" right="0.7" top="0.75" bottom="0.75" header="0.3" footer="0.3"/>
  <pageSetup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37"/>
  <sheetViews>
    <sheetView zoomScaleNormal="100" workbookViewId="0"/>
  </sheetViews>
  <sheetFormatPr defaultColWidth="9.08984375" defaultRowHeight="14.5" x14ac:dyDescent="0.35"/>
  <cols>
    <col min="1" max="1" width="3.54296875" style="64" customWidth="1"/>
    <col min="2" max="2" width="53.6328125" style="67" customWidth="1"/>
    <col min="3" max="7" width="22.36328125" style="64" customWidth="1"/>
    <col min="8" max="8" width="8.90625" style="64" customWidth="1"/>
    <col min="9" max="9" width="53.6328125" style="64" customWidth="1"/>
    <col min="10" max="14" width="22.36328125" style="64" customWidth="1"/>
    <col min="15" max="15" width="9.08984375" style="64"/>
    <col min="16" max="16" width="53.6328125" style="64" customWidth="1"/>
    <col min="17" max="38" width="22.36328125" style="64" customWidth="1"/>
    <col min="39" max="16384" width="9.08984375" style="64"/>
  </cols>
  <sheetData>
    <row r="1" spans="1:21" x14ac:dyDescent="0.35">
      <c r="A1" s="64" t="s">
        <v>265</v>
      </c>
      <c r="B1" s="63" t="s">
        <v>0</v>
      </c>
    </row>
    <row r="2" spans="1:21" x14ac:dyDescent="0.35">
      <c r="B2" s="63" t="s">
        <v>243</v>
      </c>
    </row>
    <row r="3" spans="1:21" x14ac:dyDescent="0.35">
      <c r="B3" s="65" t="s">
        <v>68</v>
      </c>
    </row>
    <row r="4" spans="1:21" x14ac:dyDescent="0.35">
      <c r="B4" s="63"/>
    </row>
    <row r="5" spans="1:21" ht="29.25" customHeight="1" x14ac:dyDescent="0.35">
      <c r="B5" s="315" t="s">
        <v>244</v>
      </c>
      <c r="C5" s="315"/>
      <c r="D5" s="315"/>
      <c r="E5" s="315"/>
      <c r="F5" s="315"/>
      <c r="G5" s="315"/>
    </row>
    <row r="6" spans="1:21" x14ac:dyDescent="0.35">
      <c r="B6" s="315"/>
      <c r="C6" s="315"/>
      <c r="D6" s="315"/>
      <c r="E6" s="315"/>
      <c r="F6" s="315"/>
      <c r="G6" s="315"/>
    </row>
    <row r="7" spans="1:21" x14ac:dyDescent="0.35">
      <c r="B7" s="315"/>
      <c r="C7" s="315"/>
      <c r="D7" s="315"/>
      <c r="E7" s="315"/>
      <c r="F7" s="315"/>
      <c r="G7" s="315"/>
    </row>
    <row r="8" spans="1:21" x14ac:dyDescent="0.35">
      <c r="B8" s="315"/>
      <c r="C8" s="315"/>
      <c r="D8" s="315"/>
      <c r="E8" s="315"/>
      <c r="F8" s="315"/>
      <c r="G8" s="315"/>
    </row>
    <row r="9" spans="1:21" ht="42" customHeight="1" x14ac:dyDescent="0.35">
      <c r="B9" s="315"/>
      <c r="C9" s="315"/>
      <c r="D9" s="315"/>
      <c r="E9" s="315"/>
      <c r="F9" s="315"/>
      <c r="G9" s="315"/>
    </row>
    <row r="11" spans="1:21" ht="18" x14ac:dyDescent="0.4">
      <c r="B11" s="68" t="s">
        <v>245</v>
      </c>
      <c r="C11" s="68"/>
      <c r="D11" s="69"/>
      <c r="E11" s="69"/>
      <c r="F11" s="69"/>
      <c r="G11" s="69"/>
    </row>
    <row r="12" spans="1:21" ht="18.5" thickBot="1" x14ac:dyDescent="0.45">
      <c r="B12" s="68"/>
      <c r="C12" s="68"/>
      <c r="D12" s="69"/>
      <c r="E12" s="69"/>
      <c r="F12" s="69"/>
      <c r="G12" s="69"/>
    </row>
    <row r="13" spans="1:21" ht="15" thickBot="1" x14ac:dyDescent="0.4">
      <c r="B13" s="348" t="s">
        <v>246</v>
      </c>
      <c r="C13" s="349"/>
      <c r="D13" s="349"/>
      <c r="E13" s="349"/>
      <c r="F13" s="349"/>
      <c r="G13" s="350"/>
      <c r="I13" s="348" t="s">
        <v>247</v>
      </c>
      <c r="J13" s="349"/>
      <c r="K13" s="349"/>
      <c r="L13" s="349"/>
      <c r="M13" s="349"/>
      <c r="N13" s="350"/>
      <c r="P13" s="348" t="s">
        <v>248</v>
      </c>
      <c r="Q13" s="349"/>
      <c r="R13" s="349"/>
      <c r="S13" s="349"/>
      <c r="T13" s="349"/>
      <c r="U13" s="350"/>
    </row>
    <row r="14" spans="1:21" s="67" customFormat="1" ht="47.15" customHeight="1" x14ac:dyDescent="0.35">
      <c r="B14" s="257" t="s">
        <v>96</v>
      </c>
      <c r="C14" s="40" t="s">
        <v>249</v>
      </c>
      <c r="D14" s="40" t="s">
        <v>250</v>
      </c>
      <c r="E14" s="40" t="s">
        <v>251</v>
      </c>
      <c r="F14" s="40" t="s">
        <v>252</v>
      </c>
      <c r="G14" s="41" t="s">
        <v>253</v>
      </c>
      <c r="I14" s="257" t="s">
        <v>96</v>
      </c>
      <c r="J14" s="40" t="s">
        <v>249</v>
      </c>
      <c r="K14" s="40" t="s">
        <v>250</v>
      </c>
      <c r="L14" s="40" t="s">
        <v>251</v>
      </c>
      <c r="M14" s="40" t="s">
        <v>252</v>
      </c>
      <c r="N14" s="41" t="s">
        <v>253</v>
      </c>
      <c r="P14" s="257" t="s">
        <v>96</v>
      </c>
      <c r="Q14" s="40" t="s">
        <v>249</v>
      </c>
      <c r="R14" s="40" t="s">
        <v>250</v>
      </c>
      <c r="S14" s="40" t="s">
        <v>251</v>
      </c>
      <c r="T14" s="40" t="s">
        <v>252</v>
      </c>
      <c r="U14" s="41" t="s">
        <v>253</v>
      </c>
    </row>
    <row r="15" spans="1:21" ht="16.5" customHeight="1" x14ac:dyDescent="0.35">
      <c r="B15" s="258" t="s">
        <v>254</v>
      </c>
      <c r="C15" s="262">
        <v>10402128</v>
      </c>
      <c r="D15" s="263">
        <v>2727503</v>
      </c>
      <c r="E15" s="263">
        <f>SUM(C15:D15)</f>
        <v>13129631</v>
      </c>
      <c r="F15" s="263" t="s">
        <v>118</v>
      </c>
      <c r="G15" s="264">
        <f>SUM(E15:F15)</f>
        <v>13129631</v>
      </c>
      <c r="I15" s="258" t="s">
        <v>254</v>
      </c>
      <c r="J15" s="262">
        <v>990371</v>
      </c>
      <c r="K15" s="263">
        <v>0</v>
      </c>
      <c r="L15" s="263">
        <f>SUM(J15:K15)</f>
        <v>990371</v>
      </c>
      <c r="M15" s="263">
        <v>0</v>
      </c>
      <c r="N15" s="264">
        <f>SUM(L15:M15)</f>
        <v>990371</v>
      </c>
      <c r="P15" s="258" t="s">
        <v>254</v>
      </c>
      <c r="Q15" s="262">
        <f>SUM(C15,J15)</f>
        <v>11392499</v>
      </c>
      <c r="R15" s="262">
        <f>SUM(D15,K15)</f>
        <v>2727503</v>
      </c>
      <c r="S15" s="263">
        <f>SUM(Q15:R15)</f>
        <v>14120002</v>
      </c>
      <c r="T15" s="263">
        <f>SUM(F15,M15)</f>
        <v>0</v>
      </c>
      <c r="U15" s="264">
        <f>SUM(S15:T15)</f>
        <v>14120002</v>
      </c>
    </row>
    <row r="16" spans="1:21" s="67" customFormat="1" ht="16.5" customHeight="1" x14ac:dyDescent="0.25">
      <c r="B16" s="258" t="s">
        <v>255</v>
      </c>
      <c r="C16" s="265">
        <v>20869054</v>
      </c>
      <c r="D16" s="266">
        <v>6643233</v>
      </c>
      <c r="E16" s="263">
        <f t="shared" ref="E16:E17" si="0">SUM(C16:D16)</f>
        <v>27512287</v>
      </c>
      <c r="F16" s="266" t="s">
        <v>118</v>
      </c>
      <c r="G16" s="264">
        <f t="shared" ref="G16:G17" si="1">SUM(E16:F16)</f>
        <v>27512287</v>
      </c>
      <c r="I16" s="258" t="s">
        <v>255</v>
      </c>
      <c r="J16" s="265">
        <v>3710637</v>
      </c>
      <c r="K16" s="266">
        <v>0</v>
      </c>
      <c r="L16" s="263">
        <f t="shared" ref="L16:L17" si="2">SUM(J16:K16)</f>
        <v>3710637</v>
      </c>
      <c r="M16" s="266">
        <v>0</v>
      </c>
      <c r="N16" s="264">
        <f t="shared" ref="N16:N17" si="3">SUM(L16:M16)</f>
        <v>3710637</v>
      </c>
      <c r="P16" s="258" t="s">
        <v>255</v>
      </c>
      <c r="Q16" s="262">
        <f t="shared" ref="Q16:Q17" si="4">SUM(C16,J16)</f>
        <v>24579691</v>
      </c>
      <c r="R16" s="262">
        <f t="shared" ref="R16:R17" si="5">SUM(D16,K16)</f>
        <v>6643233</v>
      </c>
      <c r="S16" s="263">
        <f t="shared" ref="S16:S17" si="6">SUM(Q16:R16)</f>
        <v>31222924</v>
      </c>
      <c r="T16" s="263">
        <f t="shared" ref="T16:T17" si="7">SUM(F16,M16)</f>
        <v>0</v>
      </c>
      <c r="U16" s="264">
        <f t="shared" ref="U16:U17" si="8">SUM(S16:T16)</f>
        <v>31222924</v>
      </c>
    </row>
    <row r="17" spans="2:21" ht="16.5" customHeight="1" x14ac:dyDescent="0.35">
      <c r="B17" s="258" t="s">
        <v>256</v>
      </c>
      <c r="C17" s="262">
        <v>32811835</v>
      </c>
      <c r="D17" s="263">
        <v>10070569</v>
      </c>
      <c r="E17" s="263">
        <f t="shared" si="0"/>
        <v>42882404</v>
      </c>
      <c r="F17" s="263" t="s">
        <v>118</v>
      </c>
      <c r="G17" s="264">
        <f t="shared" si="1"/>
        <v>42882404</v>
      </c>
      <c r="I17" s="258" t="s">
        <v>256</v>
      </c>
      <c r="J17" s="262">
        <v>4479640</v>
      </c>
      <c r="K17" s="263">
        <v>0</v>
      </c>
      <c r="L17" s="263">
        <f t="shared" si="2"/>
        <v>4479640</v>
      </c>
      <c r="M17" s="263">
        <v>0</v>
      </c>
      <c r="N17" s="264">
        <f t="shared" si="3"/>
        <v>4479640</v>
      </c>
      <c r="P17" s="258" t="s">
        <v>256</v>
      </c>
      <c r="Q17" s="262">
        <f t="shared" si="4"/>
        <v>37291475</v>
      </c>
      <c r="R17" s="262">
        <f t="shared" si="5"/>
        <v>10070569</v>
      </c>
      <c r="S17" s="263">
        <f t="shared" si="6"/>
        <v>47362044</v>
      </c>
      <c r="T17" s="263">
        <f t="shared" si="7"/>
        <v>0</v>
      </c>
      <c r="U17" s="264">
        <f t="shared" si="8"/>
        <v>47362044</v>
      </c>
    </row>
    <row r="18" spans="2:21" ht="16.5" customHeight="1" x14ac:dyDescent="0.35">
      <c r="B18" s="259" t="s">
        <v>133</v>
      </c>
      <c r="C18" s="267">
        <f>SUM(C15:C17)</f>
        <v>64083017</v>
      </c>
      <c r="D18" s="267">
        <f t="shared" ref="D18:G18" si="9">SUM(D15:D17)</f>
        <v>19441305</v>
      </c>
      <c r="E18" s="267">
        <f t="shared" si="9"/>
        <v>83524322</v>
      </c>
      <c r="F18" s="267">
        <f t="shared" si="9"/>
        <v>0</v>
      </c>
      <c r="G18" s="268">
        <f t="shared" si="9"/>
        <v>83524322</v>
      </c>
      <c r="I18" s="259" t="s">
        <v>133</v>
      </c>
      <c r="J18" s="267">
        <f>SUM(J15:J17)</f>
        <v>9180648</v>
      </c>
      <c r="K18" s="267">
        <f t="shared" ref="K18" si="10">SUM(K15:K17)</f>
        <v>0</v>
      </c>
      <c r="L18" s="267">
        <f t="shared" ref="L18" si="11">SUM(L15:L17)</f>
        <v>9180648</v>
      </c>
      <c r="M18" s="267">
        <f t="shared" ref="M18" si="12">SUM(M15:M17)</f>
        <v>0</v>
      </c>
      <c r="N18" s="268">
        <f t="shared" ref="N18" si="13">SUM(N15:N17)</f>
        <v>9180648</v>
      </c>
      <c r="P18" s="259" t="s">
        <v>133</v>
      </c>
      <c r="Q18" s="267">
        <f>SUM(Q15:Q17)</f>
        <v>73263665</v>
      </c>
      <c r="R18" s="267">
        <f t="shared" ref="R18" si="14">SUM(R15:R17)</f>
        <v>19441305</v>
      </c>
      <c r="S18" s="267">
        <f t="shared" ref="S18" si="15">SUM(S15:S17)</f>
        <v>92704970</v>
      </c>
      <c r="T18" s="267">
        <f t="shared" ref="T18" si="16">SUM(T15:T17)</f>
        <v>0</v>
      </c>
      <c r="U18" s="268">
        <f t="shared" ref="U18" si="17">SUM(U15:U17)</f>
        <v>92704970</v>
      </c>
    </row>
    <row r="19" spans="2:21" ht="16.5" customHeight="1" x14ac:dyDescent="0.35">
      <c r="B19" s="258" t="s">
        <v>257</v>
      </c>
      <c r="C19" s="262">
        <v>38106737</v>
      </c>
      <c r="D19" s="263">
        <v>10366287</v>
      </c>
      <c r="E19" s="263">
        <f>SUM(C19:D19)</f>
        <v>48473024</v>
      </c>
      <c r="F19" s="263" t="s">
        <v>118</v>
      </c>
      <c r="G19" s="264">
        <f>SUM(E19:F19)</f>
        <v>48473024</v>
      </c>
      <c r="I19" s="258" t="s">
        <v>257</v>
      </c>
      <c r="J19" s="262">
        <v>10955117.050000001</v>
      </c>
      <c r="K19" s="263">
        <v>3124552</v>
      </c>
      <c r="L19" s="263">
        <f>SUM(J19:K19)</f>
        <v>14079669.050000001</v>
      </c>
      <c r="M19" s="263">
        <v>0</v>
      </c>
      <c r="N19" s="264">
        <f>SUM(L19:M19)</f>
        <v>14079669.050000001</v>
      </c>
      <c r="P19" s="258" t="s">
        <v>257</v>
      </c>
      <c r="Q19" s="262">
        <f>SUM(C19,J19)</f>
        <v>49061854.049999997</v>
      </c>
      <c r="R19" s="262">
        <f>SUM(D19,K19)</f>
        <v>13490839</v>
      </c>
      <c r="S19" s="263">
        <f>SUM(Q19:R19)</f>
        <v>62552693.049999997</v>
      </c>
      <c r="T19" s="263">
        <f>SUM(F19,M19)</f>
        <v>0</v>
      </c>
      <c r="U19" s="264">
        <f>SUM(S19:T19)</f>
        <v>62552693.049999997</v>
      </c>
    </row>
    <row r="20" spans="2:21" ht="16.5" customHeight="1" x14ac:dyDescent="0.35">
      <c r="B20" s="258" t="s">
        <v>258</v>
      </c>
      <c r="C20" s="262">
        <v>37710086.579999998</v>
      </c>
      <c r="D20" s="263">
        <v>12955815</v>
      </c>
      <c r="E20" s="263">
        <f t="shared" ref="E20:E21" si="18">SUM(C20:D20)</f>
        <v>50665901.579999998</v>
      </c>
      <c r="F20" s="263" t="s">
        <v>118</v>
      </c>
      <c r="G20" s="264">
        <f t="shared" ref="G20:G21" si="19">SUM(E20:F20)</f>
        <v>50665901.579999998</v>
      </c>
      <c r="I20" s="258" t="s">
        <v>258</v>
      </c>
      <c r="J20" s="262">
        <v>11771030.83</v>
      </c>
      <c r="K20" s="263">
        <v>4540401</v>
      </c>
      <c r="L20" s="263">
        <f t="shared" ref="L20:L21" si="20">SUM(J20:K20)</f>
        <v>16311431.83</v>
      </c>
      <c r="M20" s="263">
        <v>0</v>
      </c>
      <c r="N20" s="264">
        <f t="shared" ref="N20:N21" si="21">SUM(L20:M20)</f>
        <v>16311431.83</v>
      </c>
      <c r="P20" s="258" t="s">
        <v>258</v>
      </c>
      <c r="Q20" s="262">
        <f t="shared" ref="Q20:Q21" si="22">SUM(C20,J20)</f>
        <v>49481117.409999996</v>
      </c>
      <c r="R20" s="262">
        <f t="shared" ref="R20:R21" si="23">SUM(D20,K20)</f>
        <v>17496216</v>
      </c>
      <c r="S20" s="263">
        <f t="shared" ref="S20:S21" si="24">SUM(Q20:R20)</f>
        <v>66977333.409999996</v>
      </c>
      <c r="T20" s="263">
        <f t="shared" ref="T20:T21" si="25">SUM(F20,M20)</f>
        <v>0</v>
      </c>
      <c r="U20" s="264">
        <f t="shared" ref="U20:U21" si="26">SUM(S20:T20)</f>
        <v>66977333.409999996</v>
      </c>
    </row>
    <row r="21" spans="2:21" ht="16.5" customHeight="1" x14ac:dyDescent="0.35">
      <c r="B21" s="258" t="s">
        <v>259</v>
      </c>
      <c r="C21" s="262">
        <v>37398421</v>
      </c>
      <c r="D21" s="263">
        <v>8665054</v>
      </c>
      <c r="E21" s="263">
        <f t="shared" si="18"/>
        <v>46063475</v>
      </c>
      <c r="F21" s="263">
        <v>11304464</v>
      </c>
      <c r="G21" s="264">
        <f t="shared" si="19"/>
        <v>57367939</v>
      </c>
      <c r="I21" s="258" t="s">
        <v>259</v>
      </c>
      <c r="J21" s="262">
        <v>10107643</v>
      </c>
      <c r="K21" s="263">
        <v>5012103</v>
      </c>
      <c r="L21" s="263">
        <f t="shared" si="20"/>
        <v>15119746</v>
      </c>
      <c r="M21" s="263">
        <v>0</v>
      </c>
      <c r="N21" s="264">
        <f t="shared" si="21"/>
        <v>15119746</v>
      </c>
      <c r="P21" s="258" t="s">
        <v>259</v>
      </c>
      <c r="Q21" s="262">
        <f t="shared" si="22"/>
        <v>47506064</v>
      </c>
      <c r="R21" s="262">
        <f t="shared" si="23"/>
        <v>13677157</v>
      </c>
      <c r="S21" s="263">
        <f t="shared" si="24"/>
        <v>61183221</v>
      </c>
      <c r="T21" s="263">
        <f t="shared" si="25"/>
        <v>11304464</v>
      </c>
      <c r="U21" s="264">
        <f t="shared" si="26"/>
        <v>72487685</v>
      </c>
    </row>
    <row r="22" spans="2:21" ht="16.5" customHeight="1" x14ac:dyDescent="0.35">
      <c r="B22" s="259" t="s">
        <v>138</v>
      </c>
      <c r="C22" s="267">
        <f>SUM(C19:C21)</f>
        <v>113215244.58</v>
      </c>
      <c r="D22" s="267">
        <f t="shared" ref="D22:G22" si="27">SUM(D19:D21)</f>
        <v>31987156</v>
      </c>
      <c r="E22" s="267">
        <f t="shared" si="27"/>
        <v>145202400.57999998</v>
      </c>
      <c r="F22" s="267">
        <f t="shared" si="27"/>
        <v>11304464</v>
      </c>
      <c r="G22" s="268">
        <f t="shared" si="27"/>
        <v>156506864.57999998</v>
      </c>
      <c r="I22" s="259" t="s">
        <v>138</v>
      </c>
      <c r="J22" s="267">
        <f>SUM(J19:J21)</f>
        <v>32833790.880000003</v>
      </c>
      <c r="K22" s="267">
        <f t="shared" ref="K22" si="28">SUM(K19:K21)</f>
        <v>12677056</v>
      </c>
      <c r="L22" s="267">
        <f t="shared" ref="L22" si="29">SUM(L19:L21)</f>
        <v>45510846.880000003</v>
      </c>
      <c r="M22" s="267">
        <f t="shared" ref="M22" si="30">SUM(M19:M21)</f>
        <v>0</v>
      </c>
      <c r="N22" s="268">
        <f t="shared" ref="N22" si="31">SUM(N19:N21)</f>
        <v>45510846.880000003</v>
      </c>
      <c r="P22" s="259" t="s">
        <v>138</v>
      </c>
      <c r="Q22" s="267">
        <f>SUM(Q19:Q21)</f>
        <v>146049035.45999998</v>
      </c>
      <c r="R22" s="267">
        <f t="shared" ref="R22" si="32">SUM(R19:R21)</f>
        <v>44664212</v>
      </c>
      <c r="S22" s="267">
        <f t="shared" ref="S22" si="33">SUM(S19:S21)</f>
        <v>190713247.45999998</v>
      </c>
      <c r="T22" s="267">
        <f t="shared" ref="T22" si="34">SUM(T19:T21)</f>
        <v>11304464</v>
      </c>
      <c r="U22" s="268">
        <f t="shared" ref="U22" si="35">SUM(U19:U21)</f>
        <v>202017711.45999998</v>
      </c>
    </row>
    <row r="23" spans="2:21" ht="16.5" customHeight="1" x14ac:dyDescent="0.35">
      <c r="B23" s="258" t="s">
        <v>260</v>
      </c>
      <c r="C23" s="263">
        <v>45492403.572529398</v>
      </c>
      <c r="D23" s="263">
        <v>11442802</v>
      </c>
      <c r="E23" s="263">
        <f>SUM(C23:D23)</f>
        <v>56935205.572529398</v>
      </c>
      <c r="F23" s="263">
        <v>23079733.54647059</v>
      </c>
      <c r="G23" s="264">
        <f>SUM(E23:F23)</f>
        <v>80014939.118999988</v>
      </c>
      <c r="I23" s="258" t="s">
        <v>260</v>
      </c>
      <c r="J23" s="263">
        <v>11300080.921</v>
      </c>
      <c r="K23" s="263">
        <v>3036995.8499999996</v>
      </c>
      <c r="L23" s="263">
        <f>SUM(J23:K23)</f>
        <v>14337076.771</v>
      </c>
      <c r="M23" s="263">
        <v>0</v>
      </c>
      <c r="N23" s="264">
        <f>SUM(L23:M23)</f>
        <v>14337076.771</v>
      </c>
      <c r="P23" s="258" t="s">
        <v>260</v>
      </c>
      <c r="Q23" s="262">
        <f>SUM(C23,J23)</f>
        <v>56792484.493529394</v>
      </c>
      <c r="R23" s="262">
        <f>SUM(D23,K23)</f>
        <v>14479797.85</v>
      </c>
      <c r="S23" s="263">
        <f>SUM(Q23:R23)</f>
        <v>71272282.343529388</v>
      </c>
      <c r="T23" s="263">
        <f>SUM(F23,M23)</f>
        <v>23079733.54647059</v>
      </c>
      <c r="U23" s="264">
        <f>SUM(S23:T23)</f>
        <v>94352015.889999986</v>
      </c>
    </row>
    <row r="24" spans="2:21" ht="16.5" customHeight="1" x14ac:dyDescent="0.35">
      <c r="B24" s="258" t="s">
        <v>261</v>
      </c>
      <c r="C24" s="263">
        <v>40525431.816717699</v>
      </c>
      <c r="D24" s="263">
        <v>3905399.7600000007</v>
      </c>
      <c r="E24" s="263">
        <f t="shared" ref="E24:E25" si="36">SUM(C24:D24)</f>
        <v>44430831.576717697</v>
      </c>
      <c r="F24" s="263">
        <v>30613784.309579305</v>
      </c>
      <c r="G24" s="264">
        <f t="shared" ref="G24:G25" si="37">SUM(E24:F24)</f>
        <v>75044615.886297002</v>
      </c>
      <c r="I24" s="258" t="s">
        <v>261</v>
      </c>
      <c r="J24" s="263">
        <v>11359483.26</v>
      </c>
      <c r="K24" s="263">
        <v>1184458.3700000001</v>
      </c>
      <c r="L24" s="263">
        <f t="shared" ref="L24:L25" si="38">SUM(J24:K24)</f>
        <v>12543941.629999999</v>
      </c>
      <c r="M24" s="263">
        <v>0</v>
      </c>
      <c r="N24" s="264">
        <f t="shared" ref="N24:N25" si="39">SUM(L24:M24)</f>
        <v>12543941.629999999</v>
      </c>
      <c r="P24" s="258" t="s">
        <v>261</v>
      </c>
      <c r="Q24" s="262">
        <f t="shared" ref="Q24:Q25" si="40">SUM(C24,J24)</f>
        <v>51884915.076717697</v>
      </c>
      <c r="R24" s="262">
        <f t="shared" ref="R24:R25" si="41">SUM(D24,K24)</f>
        <v>5089858.1300000008</v>
      </c>
      <c r="S24" s="263">
        <f t="shared" ref="S24:S25" si="42">SUM(Q24:R24)</f>
        <v>56974773.2067177</v>
      </c>
      <c r="T24" s="263">
        <f t="shared" ref="T24:T25" si="43">SUM(F24,M24)</f>
        <v>30613784.309579305</v>
      </c>
      <c r="U24" s="264">
        <f t="shared" ref="U24:U25" si="44">SUM(S24:T24)</f>
        <v>87588557.516297013</v>
      </c>
    </row>
    <row r="25" spans="2:21" ht="16.5" customHeight="1" x14ac:dyDescent="0.35">
      <c r="B25" s="258" t="s">
        <v>262</v>
      </c>
      <c r="C25" s="263">
        <v>73683243.6438054</v>
      </c>
      <c r="D25" s="263">
        <v>21955334.289999999</v>
      </c>
      <c r="E25" s="263">
        <f t="shared" si="36"/>
        <v>95638577.933805406</v>
      </c>
      <c r="F25" s="263">
        <v>32643055.795471098</v>
      </c>
      <c r="G25" s="264">
        <f t="shared" si="37"/>
        <v>128281633.72927651</v>
      </c>
      <c r="I25" s="258" t="s">
        <v>262</v>
      </c>
      <c r="J25" s="263">
        <v>18866753.113000002</v>
      </c>
      <c r="K25" s="263">
        <v>7373142.9500000002</v>
      </c>
      <c r="L25" s="263">
        <f t="shared" si="38"/>
        <v>26239896.063000001</v>
      </c>
      <c r="M25" s="263">
        <v>0</v>
      </c>
      <c r="N25" s="264">
        <f t="shared" si="39"/>
        <v>26239896.063000001</v>
      </c>
      <c r="P25" s="258" t="s">
        <v>262</v>
      </c>
      <c r="Q25" s="262">
        <f t="shared" si="40"/>
        <v>92549996.756805405</v>
      </c>
      <c r="R25" s="262">
        <f t="shared" si="41"/>
        <v>29328477.239999998</v>
      </c>
      <c r="S25" s="263">
        <f t="shared" si="42"/>
        <v>121878473.9968054</v>
      </c>
      <c r="T25" s="263">
        <f t="shared" si="43"/>
        <v>32643055.795471098</v>
      </c>
      <c r="U25" s="264">
        <f t="shared" si="44"/>
        <v>154521529.7922765</v>
      </c>
    </row>
    <row r="26" spans="2:21" ht="16.5" customHeight="1" thickBot="1" x14ac:dyDescent="0.4">
      <c r="B26" s="260" t="s">
        <v>144</v>
      </c>
      <c r="C26" s="269">
        <f>SUM(C23:C25)</f>
        <v>159701079.0330525</v>
      </c>
      <c r="D26" s="269">
        <f t="shared" ref="D26:G26" si="45">SUM(D23:D25)</f>
        <v>37303536.049999997</v>
      </c>
      <c r="E26" s="269">
        <f t="shared" si="45"/>
        <v>197004615.08305252</v>
      </c>
      <c r="F26" s="269">
        <f t="shared" si="45"/>
        <v>86336573.651520997</v>
      </c>
      <c r="G26" s="270">
        <f t="shared" si="45"/>
        <v>283341188.73457348</v>
      </c>
      <c r="I26" s="260" t="s">
        <v>144</v>
      </c>
      <c r="J26" s="269">
        <f>SUM(J23:J25)</f>
        <v>41526317.294</v>
      </c>
      <c r="K26" s="269">
        <f t="shared" ref="K26" si="46">SUM(K23:K25)</f>
        <v>11594597.17</v>
      </c>
      <c r="L26" s="269">
        <f t="shared" ref="L26" si="47">SUM(L23:L25)</f>
        <v>53120914.464000002</v>
      </c>
      <c r="M26" s="269">
        <f t="shared" ref="M26" si="48">SUM(M23:M25)</f>
        <v>0</v>
      </c>
      <c r="N26" s="270">
        <f t="shared" ref="N26" si="49">SUM(N23:N25)</f>
        <v>53120914.464000002</v>
      </c>
      <c r="P26" s="260" t="s">
        <v>144</v>
      </c>
      <c r="Q26" s="269">
        <f>SUM(Q23:Q25)</f>
        <v>201227396.32705247</v>
      </c>
      <c r="R26" s="269">
        <f t="shared" ref="R26" si="50">SUM(R23:R25)</f>
        <v>48898133.219999999</v>
      </c>
      <c r="S26" s="269">
        <f t="shared" ref="S26" si="51">SUM(S23:S25)</f>
        <v>250125529.5470525</v>
      </c>
      <c r="T26" s="269">
        <f t="shared" ref="T26" si="52">SUM(T23:T25)</f>
        <v>86336573.651520997</v>
      </c>
      <c r="U26" s="270">
        <f t="shared" ref="U26" si="53">SUM(U23:U25)</f>
        <v>336462103.19857347</v>
      </c>
    </row>
    <row r="27" spans="2:21" s="67" customFormat="1" ht="47.15" customHeight="1" x14ac:dyDescent="0.35">
      <c r="B27" s="257" t="s">
        <v>96</v>
      </c>
      <c r="C27" s="40" t="s">
        <v>263</v>
      </c>
      <c r="D27" s="40" t="s">
        <v>264</v>
      </c>
      <c r="E27" s="261" t="s">
        <v>21</v>
      </c>
      <c r="F27" s="256"/>
      <c r="G27" s="256"/>
      <c r="I27" s="257" t="s">
        <v>96</v>
      </c>
      <c r="J27" s="40" t="s">
        <v>263</v>
      </c>
      <c r="K27" s="40" t="s">
        <v>264</v>
      </c>
      <c r="L27" s="261" t="s">
        <v>21</v>
      </c>
      <c r="M27" s="256"/>
      <c r="N27" s="256"/>
      <c r="P27" s="257" t="s">
        <v>96</v>
      </c>
      <c r="Q27" s="40" t="s">
        <v>263</v>
      </c>
      <c r="R27" s="40" t="s">
        <v>264</v>
      </c>
      <c r="S27" s="261" t="s">
        <v>21</v>
      </c>
      <c r="T27" s="256"/>
      <c r="U27" s="256"/>
    </row>
    <row r="28" spans="2:21" ht="16.5" customHeight="1" x14ac:dyDescent="0.35">
      <c r="B28" s="80">
        <v>2018</v>
      </c>
      <c r="C28" s="263">
        <v>102247235.25</v>
      </c>
      <c r="D28" s="263">
        <v>98689801</v>
      </c>
      <c r="E28" s="271">
        <f>C28/D28</f>
        <v>1.0360466250205531</v>
      </c>
      <c r="F28" s="75"/>
      <c r="G28" s="75"/>
      <c r="I28" s="80">
        <v>2018</v>
      </c>
      <c r="J28" s="263">
        <v>16960154.43</v>
      </c>
      <c r="K28" s="263">
        <v>15667311.84</v>
      </c>
      <c r="L28" s="271">
        <f>J28/K28</f>
        <v>1.0825184692309029</v>
      </c>
      <c r="M28" s="75"/>
      <c r="N28" s="75"/>
      <c r="P28" s="80">
        <v>2018</v>
      </c>
      <c r="Q28" s="263">
        <f>SUM(C28,J28)</f>
        <v>119207389.68000001</v>
      </c>
      <c r="R28" s="263">
        <f>SUM(D28,K28)</f>
        <v>114357112.84</v>
      </c>
      <c r="S28" s="271">
        <f>Q28/R28</f>
        <v>1.0424134250991992</v>
      </c>
      <c r="T28" s="75"/>
      <c r="U28" s="75"/>
    </row>
    <row r="29" spans="2:21" ht="16.5" customHeight="1" x14ac:dyDescent="0.35">
      <c r="B29" s="80">
        <v>2019</v>
      </c>
      <c r="C29" s="263">
        <v>96007537.799999997</v>
      </c>
      <c r="D29" s="263">
        <v>98689801</v>
      </c>
      <c r="E29" s="271">
        <f t="shared" ref="E29:E31" si="54">C29/D29</f>
        <v>0.97282127258519846</v>
      </c>
      <c r="F29" s="75"/>
      <c r="G29" s="75"/>
      <c r="I29" s="80">
        <v>2019</v>
      </c>
      <c r="J29" s="263">
        <v>15095104.890000001</v>
      </c>
      <c r="K29" s="263">
        <v>15360706.439999999</v>
      </c>
      <c r="L29" s="271">
        <f t="shared" ref="L29:L31" si="55">J29/K29</f>
        <v>0.98270902767151647</v>
      </c>
      <c r="M29" s="75"/>
      <c r="N29" s="75"/>
      <c r="P29" s="80">
        <v>2019</v>
      </c>
      <c r="Q29" s="263">
        <f t="shared" ref="Q29:R31" si="56">SUM(C29,J29)</f>
        <v>111102642.69</v>
      </c>
      <c r="R29" s="263">
        <f t="shared" si="56"/>
        <v>114050507.44</v>
      </c>
      <c r="S29" s="271">
        <f t="shared" ref="S29:S31" si="57">Q29/R29</f>
        <v>0.97415298874009115</v>
      </c>
      <c r="T29" s="75"/>
      <c r="U29" s="75"/>
    </row>
    <row r="30" spans="2:21" ht="16.5" customHeight="1" x14ac:dyDescent="0.35">
      <c r="B30" s="80">
        <v>2020</v>
      </c>
      <c r="C30" s="263">
        <v>98400656.209999993</v>
      </c>
      <c r="D30" s="263">
        <v>98689800.997999996</v>
      </c>
      <c r="E30" s="271">
        <f t="shared" si="54"/>
        <v>0.99707016545705807</v>
      </c>
      <c r="F30" s="75"/>
      <c r="G30" s="75"/>
      <c r="I30" s="80">
        <v>2020</v>
      </c>
      <c r="J30" s="263">
        <v>14975163</v>
      </c>
      <c r="K30" s="263">
        <v>15575955.0169142</v>
      </c>
      <c r="L30" s="271">
        <f t="shared" si="55"/>
        <v>0.96142823882954276</v>
      </c>
      <c r="M30" s="75"/>
      <c r="N30" s="75"/>
      <c r="P30" s="80">
        <v>2020</v>
      </c>
      <c r="Q30" s="263">
        <f t="shared" si="56"/>
        <v>113375819.20999999</v>
      </c>
      <c r="R30" s="263">
        <f t="shared" si="56"/>
        <v>114265756.0149142</v>
      </c>
      <c r="S30" s="271">
        <f t="shared" si="57"/>
        <v>0.9922116928469974</v>
      </c>
      <c r="T30" s="75"/>
      <c r="U30" s="75"/>
    </row>
    <row r="31" spans="2:21" ht="16.5" customHeight="1" x14ac:dyDescent="0.35">
      <c r="B31" s="80">
        <v>2021</v>
      </c>
      <c r="C31" s="263">
        <v>99465648.870000005</v>
      </c>
      <c r="D31" s="263">
        <v>98689801</v>
      </c>
      <c r="E31" s="271">
        <f t="shared" si="54"/>
        <v>1.0078614797287919</v>
      </c>
      <c r="F31" s="75"/>
      <c r="G31" s="75"/>
      <c r="I31" s="80">
        <v>2021</v>
      </c>
      <c r="J31" s="263">
        <v>15033270.055786902</v>
      </c>
      <c r="K31" s="263">
        <v>15731743.369344199</v>
      </c>
      <c r="L31" s="271">
        <f t="shared" si="55"/>
        <v>0.95560102290262483</v>
      </c>
      <c r="M31" s="75"/>
      <c r="N31" s="75"/>
      <c r="P31" s="80">
        <v>2021</v>
      </c>
      <c r="Q31" s="263">
        <f t="shared" si="56"/>
        <v>114498918.92578691</v>
      </c>
      <c r="R31" s="263">
        <f t="shared" si="56"/>
        <v>114421544.3693442</v>
      </c>
      <c r="S31" s="271">
        <f t="shared" si="57"/>
        <v>1.0006762236680966</v>
      </c>
      <c r="T31" s="75"/>
      <c r="U31" s="75"/>
    </row>
    <row r="32" spans="2:21" ht="16.5" customHeight="1" thickBot="1" x14ac:dyDescent="0.4">
      <c r="B32" s="260" t="s">
        <v>146</v>
      </c>
      <c r="C32" s="269">
        <f>SUM(C28:C31)</f>
        <v>396121078.13</v>
      </c>
      <c r="D32" s="269">
        <f>SUM(D28:D31)</f>
        <v>394759203.99800003</v>
      </c>
      <c r="E32" s="272">
        <f>C32/D32</f>
        <v>1.0034498856979326</v>
      </c>
      <c r="F32" s="75"/>
      <c r="G32" s="75"/>
      <c r="I32" s="260" t="s">
        <v>146</v>
      </c>
      <c r="J32" s="269">
        <f>SUM(J28:J31)</f>
        <v>62063692.375786901</v>
      </c>
      <c r="K32" s="269">
        <f>SUM(K28:K31)</f>
        <v>62335716.666258402</v>
      </c>
      <c r="L32" s="272">
        <f>J32/K32</f>
        <v>0.99563614080306639</v>
      </c>
      <c r="M32" s="75"/>
      <c r="N32" s="75"/>
      <c r="P32" s="260" t="s">
        <v>146</v>
      </c>
      <c r="Q32" s="269">
        <f>SUM(Q28:Q31)</f>
        <v>458184770.5057869</v>
      </c>
      <c r="R32" s="269">
        <f>SUM(R28:R31)</f>
        <v>457094920.66425836</v>
      </c>
      <c r="S32" s="272">
        <f>Q32/R32</f>
        <v>1.002384296548176</v>
      </c>
      <c r="T32" s="75"/>
      <c r="U32" s="75"/>
    </row>
    <row r="33" spans="2:21" ht="14.4" customHeight="1" x14ac:dyDescent="0.35">
      <c r="B33" s="80">
        <v>2022</v>
      </c>
      <c r="C33" s="263">
        <f>'2- Costs'!C30</f>
        <v>16032946.699999999</v>
      </c>
      <c r="D33" s="263">
        <v>106322431</v>
      </c>
      <c r="E33" s="271">
        <f>C33/D33</f>
        <v>0.15079552404139443</v>
      </c>
      <c r="F33" s="75"/>
      <c r="G33" s="75"/>
      <c r="I33" s="80">
        <v>2022</v>
      </c>
      <c r="J33" s="263">
        <f>'2- Costs'!D30</f>
        <v>1797956.83</v>
      </c>
      <c r="K33" s="263">
        <v>16295291</v>
      </c>
      <c r="L33" s="271">
        <f>J33/K33</f>
        <v>0.11033597558951233</v>
      </c>
      <c r="M33" s="75"/>
      <c r="N33" s="75"/>
      <c r="P33" s="80">
        <v>2022</v>
      </c>
      <c r="Q33" s="263">
        <f>SUM(C33,J33)</f>
        <v>17830903.530000001</v>
      </c>
      <c r="R33" s="263">
        <f>SUM(D33,K33)</f>
        <v>122617722</v>
      </c>
      <c r="S33" s="271">
        <f>Q33/R33</f>
        <v>0.14541864943470406</v>
      </c>
      <c r="T33" s="75"/>
      <c r="U33" s="75"/>
    </row>
    <row r="34" spans="2:21" x14ac:dyDescent="0.35">
      <c r="B34" s="80">
        <v>2023</v>
      </c>
      <c r="C34" s="263"/>
      <c r="D34" s="263">
        <v>106322431</v>
      </c>
      <c r="E34" s="271">
        <f t="shared" ref="E34:E36" si="58">C34/D34</f>
        <v>0</v>
      </c>
      <c r="I34" s="80">
        <v>2023</v>
      </c>
      <c r="J34" s="263"/>
      <c r="K34" s="263">
        <v>16433133</v>
      </c>
      <c r="L34" s="271">
        <f t="shared" ref="L34:L36" si="59">J34/K34</f>
        <v>0</v>
      </c>
      <c r="P34" s="80">
        <v>2023</v>
      </c>
      <c r="Q34" s="263">
        <f t="shared" ref="Q34:R36" si="60">SUM(C34,J34)</f>
        <v>0</v>
      </c>
      <c r="R34" s="263">
        <f t="shared" si="60"/>
        <v>122755564</v>
      </c>
      <c r="S34" s="271">
        <f t="shared" ref="S34:S36" si="61">Q34/R34</f>
        <v>0</v>
      </c>
    </row>
    <row r="35" spans="2:21" x14ac:dyDescent="0.35">
      <c r="B35" s="80">
        <v>2024</v>
      </c>
      <c r="C35" s="263"/>
      <c r="D35" s="263">
        <v>106322431</v>
      </c>
      <c r="E35" s="271">
        <f t="shared" si="58"/>
        <v>0</v>
      </c>
      <c r="I35" s="80">
        <v>2024</v>
      </c>
      <c r="J35" s="263"/>
      <c r="K35" s="263">
        <v>16624870</v>
      </c>
      <c r="L35" s="271">
        <f t="shared" si="59"/>
        <v>0</v>
      </c>
      <c r="P35" s="80">
        <v>2024</v>
      </c>
      <c r="Q35" s="263">
        <f t="shared" si="60"/>
        <v>0</v>
      </c>
      <c r="R35" s="263">
        <f t="shared" si="60"/>
        <v>122947301</v>
      </c>
      <c r="S35" s="271">
        <f t="shared" si="61"/>
        <v>0</v>
      </c>
    </row>
    <row r="36" spans="2:21" x14ac:dyDescent="0.35">
      <c r="B36" s="80">
        <v>2025</v>
      </c>
      <c r="C36" s="263"/>
      <c r="D36" s="263">
        <v>106322431</v>
      </c>
      <c r="E36" s="271">
        <f t="shared" si="58"/>
        <v>0</v>
      </c>
      <c r="I36" s="80">
        <v>2025</v>
      </c>
      <c r="J36" s="263"/>
      <c r="K36" s="263">
        <v>16701258</v>
      </c>
      <c r="L36" s="271">
        <f t="shared" si="59"/>
        <v>0</v>
      </c>
      <c r="P36" s="80">
        <v>2025</v>
      </c>
      <c r="Q36" s="263">
        <f t="shared" si="60"/>
        <v>0</v>
      </c>
      <c r="R36" s="263">
        <f t="shared" si="60"/>
        <v>123023689</v>
      </c>
      <c r="S36" s="271">
        <f t="shared" si="61"/>
        <v>0</v>
      </c>
    </row>
    <row r="37" spans="2:21" ht="15" thickBot="1" x14ac:dyDescent="0.4">
      <c r="B37" s="260" t="s">
        <v>148</v>
      </c>
      <c r="C37" s="269">
        <f>SUM(C33:C36)</f>
        <v>16032946.699999999</v>
      </c>
      <c r="D37" s="269">
        <f>SUM(D33:D36)</f>
        <v>425289724</v>
      </c>
      <c r="E37" s="272">
        <f>C37/D37</f>
        <v>3.7698881010348607E-2</v>
      </c>
      <c r="I37" s="260" t="s">
        <v>148</v>
      </c>
      <c r="J37" s="269">
        <f>SUM(J33:J36)</f>
        <v>1797956.83</v>
      </c>
      <c r="K37" s="269">
        <f>SUM(K33:K36)</f>
        <v>66054552</v>
      </c>
      <c r="L37" s="272">
        <f>J37/K37</f>
        <v>2.7219272185813933E-2</v>
      </c>
      <c r="P37" s="260" t="s">
        <v>148</v>
      </c>
      <c r="Q37" s="269">
        <f>SUM(Q33:Q36)</f>
        <v>17830903.530000001</v>
      </c>
      <c r="R37" s="269">
        <f>SUM(R33:R36)</f>
        <v>491344276</v>
      </c>
      <c r="S37" s="272">
        <f>Q37/R37</f>
        <v>3.6290040203907865E-2</v>
      </c>
    </row>
  </sheetData>
  <mergeCells count="4">
    <mergeCell ref="B5:G9"/>
    <mergeCell ref="B13:G13"/>
    <mergeCell ref="I13:N13"/>
    <mergeCell ref="P13:U13"/>
  </mergeCells>
  <printOptions headings="1"/>
  <pageMargins left="0.7" right="0.7" top="0.75" bottom="0.75" header="0.3" footer="0.3"/>
  <pageSetup scale="70" orientation="portrait" r:id="rId1"/>
  <ignoredErrors>
    <ignoredError sqref="E18:E22 G18:G22 T18:T19 T22 S15:S26 Q18:R18 Q22:R22 Q32:R32 T23:T25 T15 J18:N18 L22:N22" formula="1"/>
    <ignoredError sqref="E28:E37 S28:S3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735DE0D00684A8A242687DE7A6566" ma:contentTypeVersion="16" ma:contentTypeDescription="Create a new document." ma:contentTypeScope="" ma:versionID="efac2961f74d13c06d2831714767a6bb">
  <xsd:schema xmlns:xsd="http://www.w3.org/2001/XMLSchema" xmlns:xs="http://www.w3.org/2001/XMLSchema" xmlns:p="http://schemas.microsoft.com/office/2006/metadata/properties" xmlns:ns2="c165669a-5531-4834-a3c6-766d91a836b3" xmlns:ns3="7bb2be2f-b1c9-483c-85e9-a237701976bb" targetNamespace="http://schemas.microsoft.com/office/2006/metadata/properties" ma:root="true" ma:fieldsID="bb0b6d6a53d746963693e6aeb7ff37c0" ns2:_="" ns3:_="">
    <xsd:import namespace="c165669a-5531-4834-a3c6-766d91a836b3"/>
    <xsd:import namespace="7bb2be2f-b1c9-483c-85e9-a237701976bb"/>
    <xsd:element name="properties">
      <xsd:complexType>
        <xsd:sequence>
          <xsd:element name="documentManagement">
            <xsd:complexType>
              <xsd:all>
                <xsd:element ref="ns2:AmerenCompany"/>
                <xsd:element ref="ns2:SecurityClassification"/>
                <xsd:element ref="ns2:Document_x0020_Type" minOccurs="0"/>
                <xsd:element ref="ns2:Document_x0020_Status" minOccurs="0"/>
                <xsd:element ref="ns2:Program_x0020_Year" minOccurs="0"/>
                <xsd:element ref="ns2:Retention_x0020_Code" minOccurs="0"/>
                <xsd:element ref="ns3:Docket_x0020__x0023_"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5669a-5531-4834-a3c6-766d91a836b3" elementFormDefault="qualified">
    <xsd:import namespace="http://schemas.microsoft.com/office/2006/documentManagement/types"/>
    <xsd:import namespace="http://schemas.microsoft.com/office/infopath/2007/PartnerControls"/>
    <xsd:element name="AmerenCompany" ma:index="8" ma:displayName="Ameren Company" ma:default="Ameren Illinois" ma:format="Dropdown" ma:internalName="AmerenCompany">
      <xsd:simpleType>
        <xsd:restriction base="dms:Choice">
          <xsd:enumeration value="Ameren Illinois"/>
          <xsd:enumeration value="Ameren Missouri"/>
          <xsd:enumeration value="Ameren Services"/>
          <xsd:enumeration value="Ameren Transmission"/>
        </xsd:restriction>
      </xsd:simpleType>
    </xsd:element>
    <xsd:element name="SecurityClassification" ma:index="9" ma:displayName="Security Classification" ma:default="Internal" ma:format="Dropdown" ma:internalName="SecurityClassification">
      <xsd:simpleType>
        <xsd:restriction base="dms:Choice">
          <xsd:enumeration value="Restricted"/>
          <xsd:enumeration value="Protected"/>
          <xsd:enumeration value="Internal"/>
          <xsd:enumeration value="External"/>
        </xsd:restriction>
      </xsd:simpleType>
    </xsd:element>
    <xsd:element name="Document_x0020_Type" ma:index="10" nillable="true" ma:displayName="Document Type" ma:format="Dropdown" ma:indexed="true" ma:internalName="Document_x0020_Type">
      <xsd:simpleType>
        <xsd:restriction base="dms:Choice">
          <xsd:enumeration value="Audit"/>
          <xsd:enumeration value="Bid Exception"/>
          <xsd:enumeration value="Budget"/>
          <xsd:enumeration value="Compliance"/>
          <xsd:enumeration value="Contract"/>
          <xsd:enumeration value="Data"/>
          <xsd:enumeration value="Data Request"/>
          <xsd:enumeration value="Expense Report"/>
          <xsd:enumeration value="External Report"/>
          <xsd:enumeration value="Filing"/>
          <xsd:enumeration value="Guides"/>
          <xsd:enumeration value="Implementation Plan"/>
          <xsd:enumeration value="Internal Report"/>
          <xsd:enumeration value="Invoice"/>
          <xsd:enumeration value="Master Actuals"/>
          <xsd:enumeration value="Measure Codes"/>
          <xsd:enumeration value="Meeting Notes"/>
          <xsd:enumeration value="Memo"/>
          <xsd:enumeration value="MOA"/>
          <xsd:enumeration value="Monthly Report"/>
          <xsd:enumeration value="Notes"/>
          <xsd:enumeration value="Order"/>
          <xsd:enumeration value="Other"/>
          <xsd:enumeration value="Plan"/>
          <xsd:enumeration value="Policy"/>
          <xsd:enumeration value="Presentation"/>
          <xsd:enumeration value="Process Document"/>
          <xsd:enumeration value="Program Planning"/>
          <xsd:enumeration value="Purchase Order"/>
          <xsd:enumeration value="Quick Reference Guide"/>
          <xsd:enumeration value="RFP"/>
          <xsd:enumeration value="Service Agreement"/>
          <xsd:enumeration value="Service Agreement Amendment"/>
          <xsd:enumeration value="SOW"/>
          <xsd:enumeration value="SOW Amendment"/>
          <xsd:enumeration value="Stipulated Agreement"/>
          <xsd:enumeration value="Survey"/>
          <xsd:enumeration value="Template"/>
          <xsd:enumeration value="Testimony"/>
          <xsd:enumeration value="Training"/>
        </xsd:restriction>
      </xsd:simpleType>
    </xsd:element>
    <xsd:element name="Document_x0020_Status" ma:index="11" nillable="true" ma:displayName="Document Status" ma:format="Dropdown" ma:internalName="Document_x0020_Status">
      <xsd:simpleType>
        <xsd:restriction base="dms:Choice">
          <xsd:enumeration value="Active"/>
          <xsd:enumeration value="Draft"/>
          <xsd:enumeration value="Executed"/>
          <xsd:enumeration value="Filed"/>
          <xsd:enumeration value="Final"/>
          <xsd:enumeration value="In Review"/>
          <xsd:enumeration value="Inactive"/>
          <xsd:enumeration value="Paid"/>
          <xsd:enumeration value="Processed"/>
        </xsd:restriction>
      </xsd:simpleType>
    </xsd:element>
    <xsd:element name="Program_x0020_Year" ma:index="12" nillable="true" ma:displayName="Program Year" ma:format="Dropdown" ma:indexed="true" ma:internalName="Program_x0020_Year">
      <xsd:simpleType>
        <xsd:restriction base="dms:Choice">
          <xsd:enumeration value="PY18"/>
          <xsd:enumeration value="PY19"/>
          <xsd:enumeration value="PY20"/>
          <xsd:enumeration value="PY21"/>
          <xsd:enumeration value="PY22"/>
          <xsd:enumeration value="PY23"/>
          <xsd:enumeration value="PY24"/>
          <xsd:enumeration value="N/A"/>
        </xsd:restriction>
      </xsd:simpleType>
    </xsd:element>
    <xsd:element name="Retention_x0020_Code" ma:index="13" nillable="true" ma:displayName="Retention Code" ma:format="Dropdown" ma:internalName="Retention_x0020_Code">
      <xsd:simpleType>
        <xsd:restriction base="dms:Choice">
          <xsd:enumeration value="ACC011 - 7"/>
          <xsd:enumeration value="ACC510 - ACT+6"/>
          <xsd:enumeration value="ADM004 - 5"/>
          <xsd:enumeration value="ADM005 - ACT+3"/>
          <xsd:enumeration value="ADM007 - ACT+3"/>
          <xsd:enumeration value="ADM018 - MAX 3"/>
          <xsd:enumeration value="ADM019 - ACT"/>
          <xsd:enumeration value="CRX004 - ACT+7"/>
          <xsd:enumeration value="CXR006 - ACT + 10"/>
          <xsd:enumeration value="CXR013 - 3"/>
          <xsd:enumeration value="HUM006 - 6"/>
          <xsd:enumeration value="LEG005 - 6"/>
          <xsd:enumeration value="LEG006 - ACT + 10"/>
          <xsd:enumeration value="LEG308 - PERM"/>
          <xsd:enumeration value="LEG309 - ACT + 6"/>
          <xsd:enumeration value="PRIJ001 - ACT + 5"/>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b2be2f-b1c9-483c-85e9-a237701976bb" elementFormDefault="qualified">
    <xsd:import namespace="http://schemas.microsoft.com/office/2006/documentManagement/types"/>
    <xsd:import namespace="http://schemas.microsoft.com/office/infopath/2007/PartnerControls"/>
    <xsd:element name="Docket_x0020__x0023_" ma:index="14" nillable="true" ma:displayName="Docket # or Legislation" ma:format="Dropdown" ma:indexed="true" ma:internalName="Docket_x0020__x0023_">
      <xsd:simpleType>
        <xsd:restriction base="dms:Choice">
          <xsd:enumeration value="17-0311 (2018-2021 Plan)"/>
          <xsd:enumeration value="21-0158 (2022-2025 Plan)"/>
          <xsd:enumeration value="20-0585 (PY7-9 Savings)"/>
          <xsd:enumeration value="20-0477 (2020 Rider EE)"/>
          <xsd:enumeration value="20-0253 (2020 Rider GER)"/>
          <xsd:enumeration value="21-0467 (2021 Rider EE)"/>
          <xsd:enumeration value="18-0211 (Voltage Optimization)"/>
          <xsd:enumeration value="18-1100 (2018 Rider EE)"/>
          <xsd:enumeration value="19-0983 (Policy Manual v2.0)"/>
          <xsd:enumeration value="19-0632 (2019 Rider EE)"/>
          <xsd:enumeration value="19-0370 (2019 Rider GER)"/>
          <xsd:enumeration value="18-0913 (2018 Rider GER)"/>
          <xsd:enumeration value="20-NOI-01 (Affordability NOI)"/>
          <xsd:enumeration value="21-0608 (2021 Rider GER)"/>
          <xsd:enumeration value="N/A"/>
          <xsd:enumeration value="SB2408"/>
          <xsd:enumeration value="18-0211 (VO Plan)"/>
          <xsd:enumeration value="22-0288 (2022 Rider GER)"/>
          <xsd:enumeration value="22-???? (2022 Rider EE)"/>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DateTaken" ma:index="2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c165669a-5531-4834-a3c6-766d91a836b3">Filed</Document_x0020_Status>
    <Program_x0020_Year xmlns="c165669a-5531-4834-a3c6-766d91a836b3">PY22</Program_x0020_Year>
    <Retention_x0020_Code xmlns="c165669a-5531-4834-a3c6-766d91a836b3" xsi:nil="true"/>
    <SecurityClassification xmlns="c165669a-5531-4834-a3c6-766d91a836b3">Internal</SecurityClassification>
    <AmerenCompany xmlns="c165669a-5531-4834-a3c6-766d91a836b3">Ameren Illinois</AmerenCompany>
    <Document_x0020_Type xmlns="c165669a-5531-4834-a3c6-766d91a836b3">External Report</Document_x0020_Type>
    <Docket_x0020__x0023_ xmlns="7bb2be2f-b1c9-483c-85e9-a237701976bb">21-0158 (2022-2025 Plan)</Docket_x0020__x0023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CFA8F4-74CE-4D82-9D1B-46B47C45D3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65669a-5531-4834-a3c6-766d91a836b3"/>
    <ds:schemaRef ds:uri="7bb2be2f-b1c9-483c-85e9-a23770197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E2CB1D-3061-4333-83FD-8FD131D6D8B7}">
  <ds:schemaRefs>
    <ds:schemaRef ds:uri="http://schemas.microsoft.com/office/2006/metadata/properties"/>
    <ds:schemaRef ds:uri="http://schemas.microsoft.com/office/infopath/2007/PartnerControls"/>
    <ds:schemaRef ds:uri="c165669a-5531-4834-a3c6-766d91a836b3"/>
    <ds:schemaRef ds:uri="7bb2be2f-b1c9-483c-85e9-a237701976bb"/>
  </ds:schemaRefs>
</ds:datastoreItem>
</file>

<file path=customXml/itemProps3.xml><?xml version="1.0" encoding="utf-8"?>
<ds:datastoreItem xmlns:ds="http://schemas.openxmlformats.org/officeDocument/2006/customXml" ds:itemID="{5310C7E2-4C81-46E0-B84F-7DEBDE3B47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Ex Ante Results</vt:lpstr>
      <vt:lpstr>2- Costs</vt:lpstr>
      <vt:lpstr>3- Energy</vt:lpstr>
      <vt:lpstr>4- Other</vt:lpstr>
      <vt:lpstr>5- CPAS</vt:lpstr>
      <vt:lpstr>6- Historical Costs</vt:lpstr>
    </vt:vector>
  </TitlesOfParts>
  <Manager/>
  <Company>Exelon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Quarterly Report Template</dc:title>
  <dc:subject/>
  <dc:creator>Celia Johnson</dc:creator>
  <cp:keywords/>
  <dc:description/>
  <cp:lastModifiedBy>CJ Consulting</cp:lastModifiedBy>
  <cp:revision/>
  <dcterms:created xsi:type="dcterms:W3CDTF">2016-11-04T16:24:21Z</dcterms:created>
  <dcterms:modified xsi:type="dcterms:W3CDTF">2022-06-16T18:48:59Z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0x01010098C735DE0D00684A8A242687DE7A6566</vt:lpwstr>
  </property>
</Properties>
</file>