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0/SAG Portfolio Planning Process/Planning Process Templates/"/>
    </mc:Choice>
  </mc:AlternateContent>
  <xr:revisionPtr revIDLastSave="0" documentId="8_{85A5480B-83FC-49ED-A743-44380C9B90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rch Worksheet" sheetId="1" r:id="rId1"/>
    <sheet name="sensitivity" sheetId="2" r:id="rId2"/>
  </sheets>
  <definedNames>
    <definedName name="_xlnm.Print_Area" localSheetId="0">'March Worksheet'!$A$2:$AD$72</definedName>
    <definedName name="program_typ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2" l="1"/>
  <c r="S53" i="1" l="1"/>
  <c r="S46" i="1"/>
  <c r="S39" i="1"/>
  <c r="S30" i="1" l="1"/>
  <c r="T30" i="1"/>
  <c r="R30" i="1"/>
  <c r="AC53" i="1"/>
  <c r="AD53" i="1" s="1"/>
  <c r="AD52" i="1"/>
  <c r="AD51" i="1"/>
  <c r="AD50" i="1"/>
  <c r="AD49" i="1"/>
  <c r="AD48" i="1"/>
  <c r="AC46" i="1"/>
  <c r="AD46" i="1" s="1"/>
  <c r="AD45" i="1"/>
  <c r="AD44" i="1"/>
  <c r="AD43" i="1"/>
  <c r="AD42" i="1"/>
  <c r="AD41" i="1"/>
  <c r="AC39" i="1"/>
  <c r="W53" i="1"/>
  <c r="X53" i="1" s="1"/>
  <c r="X52" i="1"/>
  <c r="X51" i="1"/>
  <c r="X50" i="1"/>
  <c r="X49" i="1"/>
  <c r="X48" i="1"/>
  <c r="W46" i="1"/>
  <c r="X46" i="1" s="1"/>
  <c r="X45" i="1"/>
  <c r="X44" i="1"/>
  <c r="X43" i="1"/>
  <c r="X42" i="1"/>
  <c r="X41" i="1"/>
  <c r="W39" i="1"/>
  <c r="Q39" i="1"/>
  <c r="R39" i="1" s="1"/>
  <c r="R41" i="1"/>
  <c r="R42" i="1"/>
  <c r="R43" i="1"/>
  <c r="R44" i="1"/>
  <c r="R45" i="1"/>
  <c r="Q46" i="1"/>
  <c r="R46" i="1" s="1"/>
  <c r="R48" i="1"/>
  <c r="R49" i="1"/>
  <c r="R50" i="1"/>
  <c r="R51" i="1"/>
  <c r="R52" i="1"/>
  <c r="Q53" i="1"/>
  <c r="R53" i="1" s="1"/>
  <c r="AA53" i="1"/>
  <c r="Y53" i="1"/>
  <c r="AA46" i="1"/>
  <c r="Y46" i="1"/>
  <c r="AA39" i="1"/>
  <c r="Y39" i="1"/>
  <c r="U53" i="1"/>
  <c r="U46" i="1"/>
  <c r="U39" i="1"/>
  <c r="P49" i="1"/>
  <c r="P50" i="1"/>
  <c r="P51" i="1"/>
  <c r="P52" i="1"/>
  <c r="P48" i="1"/>
  <c r="N53" i="1"/>
  <c r="P42" i="1"/>
  <c r="P43" i="1"/>
  <c r="P44" i="1"/>
  <c r="P45" i="1"/>
  <c r="P41" i="1"/>
  <c r="N46" i="1"/>
  <c r="C7" i="2" s="1"/>
  <c r="P37" i="1"/>
  <c r="P38" i="1"/>
  <c r="P36" i="1"/>
  <c r="N39" i="1"/>
  <c r="C6" i="2" s="1"/>
  <c r="L53" i="1"/>
  <c r="B8" i="2" s="1"/>
  <c r="C9" i="2" l="1"/>
  <c r="P53" i="1"/>
  <c r="D8" i="2" s="1"/>
  <c r="D17" i="2" s="1"/>
  <c r="C17" i="2" s="1"/>
  <c r="C8" i="2"/>
  <c r="N34" i="1"/>
  <c r="V46" i="1" s="1"/>
  <c r="O39" i="1"/>
  <c r="L39" i="1"/>
  <c r="P39" i="1" l="1"/>
  <c r="D6" i="2" s="1"/>
  <c r="D15" i="2" s="1"/>
  <c r="C15" i="2" s="1"/>
  <c r="B6" i="2"/>
  <c r="AB52" i="1"/>
  <c r="AB48" i="1"/>
  <c r="AB45" i="1"/>
  <c r="AB41" i="1"/>
  <c r="V52" i="1"/>
  <c r="V48" i="1"/>
  <c r="V43" i="1"/>
  <c r="AB50" i="1"/>
  <c r="AB43" i="1"/>
  <c r="V50" i="1"/>
  <c r="V45" i="1"/>
  <c r="V41" i="1"/>
  <c r="AB49" i="1"/>
  <c r="AB42" i="1"/>
  <c r="V49" i="1"/>
  <c r="V44" i="1"/>
  <c r="AB51" i="1"/>
  <c r="AB44" i="1"/>
  <c r="V51" i="1"/>
  <c r="V42" i="1"/>
  <c r="V53" i="1"/>
  <c r="AB53" i="1"/>
  <c r="AB46" i="1"/>
  <c r="L46" i="1"/>
  <c r="P46" i="1" l="1"/>
  <c r="D7" i="2" s="1"/>
  <c r="D16" i="2" s="1"/>
  <c r="C16" i="2" s="1"/>
  <c r="C18" i="2" s="1"/>
  <c r="B7" i="2"/>
  <c r="B9" i="2"/>
  <c r="D9" i="2" s="1"/>
  <c r="C23" i="1"/>
  <c r="F19" i="1"/>
  <c r="D18" i="2" l="1"/>
  <c r="D20" i="2" s="1"/>
  <c r="C20" i="2"/>
  <c r="F18" i="1"/>
  <c r="D23" i="1"/>
  <c r="E23" i="1"/>
  <c r="D14" i="1"/>
  <c r="D15" i="1" s="1"/>
  <c r="E14" i="1"/>
  <c r="E15" i="1" s="1"/>
  <c r="C14" i="1"/>
  <c r="C15" i="1" s="1"/>
  <c r="AA34" i="1"/>
  <c r="AB39" i="1" s="1"/>
  <c r="U34" i="1"/>
  <c r="V39" i="1" s="1"/>
  <c r="W34" i="1" l="1"/>
  <c r="X39" i="1" s="1"/>
  <c r="AC34" i="1"/>
  <c r="AD39" i="1" s="1"/>
  <c r="O53" i="1" l="1"/>
  <c r="O41" i="1"/>
  <c r="O49" i="1"/>
  <c r="O50" i="1"/>
  <c r="O46" i="1"/>
  <c r="O52" i="1"/>
  <c r="O48" i="1"/>
  <c r="O45" i="1"/>
  <c r="O51" i="1"/>
  <c r="O44" i="1"/>
  <c r="O42" i="1"/>
  <c r="O43" i="1"/>
  <c r="F8" i="1"/>
  <c r="F5" i="1"/>
  <c r="D6" i="1"/>
  <c r="E6" i="1"/>
  <c r="D7" i="1"/>
  <c r="E7" i="1"/>
  <c r="C7" i="1"/>
  <c r="C6" i="1"/>
  <c r="F7" i="1" l="1"/>
  <c r="F6" i="1"/>
  <c r="F15" i="1"/>
  <c r="F17" i="1"/>
  <c r="F25" i="1"/>
  <c r="D16" i="1"/>
  <c r="D20" i="1" l="1"/>
  <c r="F23" i="1"/>
  <c r="F14" i="1"/>
  <c r="E16" i="1"/>
  <c r="C16" i="1"/>
  <c r="C20" i="1" s="1"/>
  <c r="D21" i="1" l="1"/>
  <c r="E20" i="1"/>
  <c r="E21" i="1" s="1"/>
  <c r="Y34" i="1" s="1"/>
  <c r="Z39" i="1" s="1"/>
  <c r="C21" i="1"/>
  <c r="L34" i="1" s="1"/>
  <c r="F16" i="1"/>
  <c r="T50" i="1" l="1"/>
  <c r="T42" i="1"/>
  <c r="T37" i="1"/>
  <c r="T49" i="1"/>
  <c r="T45" i="1"/>
  <c r="T41" i="1"/>
  <c r="T36" i="1"/>
  <c r="T52" i="1"/>
  <c r="T48" i="1"/>
  <c r="T44" i="1"/>
  <c r="T51" i="1"/>
  <c r="T46" i="1"/>
  <c r="T43" i="1"/>
  <c r="T38" i="1"/>
  <c r="T53" i="1"/>
  <c r="AD36" i="1"/>
  <c r="X38" i="1"/>
  <c r="Z44" i="1"/>
  <c r="Z42" i="1"/>
  <c r="Z37" i="1"/>
  <c r="V38" i="1"/>
  <c r="O38" i="1"/>
  <c r="AD38" i="1"/>
  <c r="Z43" i="1"/>
  <c r="Z38" i="1"/>
  <c r="V36" i="1"/>
  <c r="R38" i="1"/>
  <c r="Z51" i="1"/>
  <c r="X37" i="1"/>
  <c r="R37" i="1"/>
  <c r="Z52" i="1"/>
  <c r="Z50" i="1"/>
  <c r="Z48" i="1"/>
  <c r="AB38" i="1"/>
  <c r="AB36" i="1"/>
  <c r="V37" i="1"/>
  <c r="O37" i="1"/>
  <c r="X36" i="1"/>
  <c r="Z45" i="1"/>
  <c r="Z41" i="1"/>
  <c r="Z36" i="1"/>
  <c r="O36" i="1"/>
  <c r="AD37" i="1"/>
  <c r="R36" i="1"/>
  <c r="Z49" i="1"/>
  <c r="AB37" i="1"/>
  <c r="Z53" i="1"/>
  <c r="Z46" i="1"/>
  <c r="M36" i="1"/>
  <c r="M39" i="1"/>
  <c r="M37" i="1"/>
  <c r="M38" i="1"/>
  <c r="E22" i="1"/>
  <c r="E24" i="1" s="1"/>
  <c r="D22" i="1"/>
  <c r="D24" i="1" s="1"/>
  <c r="S34" i="1"/>
  <c r="T39" i="1" s="1"/>
  <c r="M44" i="1"/>
  <c r="M45" i="1"/>
  <c r="M50" i="1"/>
  <c r="M46" i="1"/>
  <c r="M51" i="1"/>
  <c r="M52" i="1"/>
  <c r="M49" i="1"/>
  <c r="M42" i="1"/>
  <c r="M41" i="1"/>
  <c r="M48" i="1"/>
  <c r="M43" i="1"/>
  <c r="M53" i="1"/>
  <c r="C22" i="1"/>
  <c r="F21" i="1"/>
  <c r="F20" i="1"/>
  <c r="F22" i="1" l="1"/>
  <c r="C24" i="1"/>
  <c r="F24" i="1" s="1"/>
</calcChain>
</file>

<file path=xl/sharedStrings.xml><?xml version="1.0" encoding="utf-8"?>
<sst xmlns="http://schemas.openxmlformats.org/spreadsheetml/2006/main" count="136" uniqueCount="82">
  <si>
    <t>EPY10/GPY7</t>
  </si>
  <si>
    <t>EPY11/GPY8</t>
  </si>
  <si>
    <t>EPY12/GPY9</t>
  </si>
  <si>
    <t>Total</t>
  </si>
  <si>
    <t>EM&amp;V Implementation</t>
  </si>
  <si>
    <t>PGL Subtotal</t>
  </si>
  <si>
    <t>PGL w/DCEO Subtotal</t>
  </si>
  <si>
    <t>Total Residential Programs</t>
  </si>
  <si>
    <t>Total C/I Programs</t>
  </si>
  <si>
    <t>Pgm Notes</t>
  </si>
  <si>
    <t>Statutory Savings Goal - Percent</t>
  </si>
  <si>
    <t>Budget Cap</t>
  </si>
  <si>
    <t>Utility Name/EEPS or IPA/Fuel</t>
  </si>
  <si>
    <t>Statutory Savings Goal - Therms/kWh</t>
  </si>
  <si>
    <t>DCEO Savings (Therms/kWh) - 20% of Statutory Goal</t>
  </si>
  <si>
    <t>Utility Savings (Therms/kWh) - 80% of Statutory Goal</t>
  </si>
  <si>
    <t>Savings</t>
  </si>
  <si>
    <t>Put in whatever your percentage is based on what year you are in</t>
  </si>
  <si>
    <t>n/a</t>
  </si>
  <si>
    <t>Utility Proposed Savings (Therms/kWh) (Percent)</t>
  </si>
  <si>
    <t>Utility Proposed Savings(Therms/kWh)</t>
  </si>
  <si>
    <r>
      <t xml:space="preserve">Notes - Provide high level info on New Program or Major Changes to program. </t>
    </r>
    <r>
      <rPr>
        <i/>
        <sz val="11"/>
        <color theme="1"/>
        <rFont val="Calibri"/>
        <family val="2"/>
        <scheme val="minor"/>
      </rPr>
      <t>(These are just examples)</t>
    </r>
  </si>
  <si>
    <t>Major Change to Program 1 - down stream to mid-stream for heating and water heating rebates</t>
  </si>
  <si>
    <t>No change</t>
  </si>
  <si>
    <t>New program that provides support for new energy code training and enforcement to cities</t>
  </si>
  <si>
    <t>Research &amp; Development (Emerging Technologies)</t>
  </si>
  <si>
    <t>C/J</t>
  </si>
  <si>
    <t>Program Detail chart below</t>
  </si>
  <si>
    <t>Budget</t>
  </si>
  <si>
    <t>Joint</t>
  </si>
  <si>
    <t>Coop</t>
  </si>
  <si>
    <t>C/J = Cooperative/Joint:  Please copy/paste one of the following in the program name row:</t>
  </si>
  <si>
    <t>Savings - First Year</t>
  </si>
  <si>
    <t>Savings - Lifetime</t>
  </si>
  <si>
    <t>Utility Allocation @</t>
  </si>
  <si>
    <t>DCEO Allocation @</t>
  </si>
  <si>
    <t>Total Portfolio Costs</t>
  </si>
  <si>
    <t>Portfolio Marketing &amp; Education</t>
  </si>
  <si>
    <t>Portfolio Adminstration (Including Planning)</t>
  </si>
  <si>
    <t>Available Program Budget</t>
  </si>
  <si>
    <t>Studies (ie Potential Studies) (External costs)</t>
  </si>
  <si>
    <t>OBF - Program Management &amp; EM&amp;V (incl in Admin above)</t>
  </si>
  <si>
    <t>L-M income track if available</t>
  </si>
  <si>
    <t>Total L-M Income</t>
  </si>
  <si>
    <t>Low-Moderate Income</t>
  </si>
  <si>
    <t xml:space="preserve">Residential </t>
  </si>
  <si>
    <t>Residential Program</t>
  </si>
  <si>
    <t>Low-Moderate Income Program</t>
  </si>
  <si>
    <t>Non-Residential/Business Program</t>
  </si>
  <si>
    <t>Residential track if available</t>
  </si>
  <si>
    <t>$/En Saved</t>
  </si>
  <si>
    <t>First Year</t>
  </si>
  <si>
    <t>LM-1</t>
  </si>
  <si>
    <t>LM-2</t>
  </si>
  <si>
    <t>LM-3</t>
  </si>
  <si>
    <t>Program Total</t>
  </si>
  <si>
    <t>Market Sector Budgets from Jan (or January numbers revised) (only for your reference; you can delete before submitting)</t>
  </si>
  <si>
    <t>NR/Business</t>
  </si>
  <si>
    <t>NR/Business track if available</t>
  </si>
  <si>
    <t>R-1</t>
  </si>
  <si>
    <t>R-2</t>
  </si>
  <si>
    <t>R-3</t>
  </si>
  <si>
    <t>NR-B1</t>
  </si>
  <si>
    <t>NR-B2</t>
  </si>
  <si>
    <t>NR-B3</t>
  </si>
  <si>
    <t>NR-B4</t>
  </si>
  <si>
    <t>NR-B5</t>
  </si>
  <si>
    <t xml:space="preserve">C </t>
  </si>
  <si>
    <t>C</t>
  </si>
  <si>
    <t>J</t>
  </si>
  <si>
    <t>NOTE:  Use Net savings</t>
  </si>
  <si>
    <t>TRC</t>
  </si>
  <si>
    <t>Summary</t>
  </si>
  <si>
    <t>Low Moderate Income</t>
  </si>
  <si>
    <t>Residential</t>
  </si>
  <si>
    <t>Non-Residential/Business</t>
  </si>
  <si>
    <t>$/First Yr               Energy Saved</t>
  </si>
  <si>
    <t>First Year                     Savings</t>
  </si>
  <si>
    <t>As  (from worksheet)</t>
  </si>
  <si>
    <t>Only input $ into budget</t>
  </si>
  <si>
    <t>Sensitivity Analysis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</si>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</sst>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49" fontId="0" fillId="0" borderId="1" xfId="0" applyNumberFormat="1" applyBorder="1" applyAlignment="1">
      <alignment horizontal="center" wrapText="1"/>
    </xf>
    <xf numFmtId="6" fontId="0" fillId="6" borderId="1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4" xfId="0" applyBorder="1"/>
    <xf numFmtId="10" fontId="0" fillId="2" borderId="17" xfId="0" applyNumberFormat="1" applyFill="1" applyBorder="1" applyAlignment="1">
      <alignment horizontal="right"/>
    </xf>
    <xf numFmtId="10" fontId="0" fillId="4" borderId="17" xfId="0" applyNumberFormat="1" applyFill="1" applyBorder="1" applyAlignment="1">
      <alignment horizontal="right"/>
    </xf>
    <xf numFmtId="49" fontId="0" fillId="0" borderId="2" xfId="0" applyNumberFormat="1" applyBorder="1" applyAlignment="1">
      <alignment horizontal="center" wrapText="1"/>
    </xf>
    <xf numFmtId="49" fontId="0" fillId="2" borderId="2" xfId="0" applyNumberForma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3" fillId="0" borderId="12" xfId="0" applyFont="1" applyBorder="1"/>
    <xf numFmtId="49" fontId="0" fillId="0" borderId="4" xfId="0" applyNumberFormat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0" fontId="0" fillId="2" borderId="1" xfId="0" applyNumberFormat="1" applyFill="1" applyBorder="1" applyAlignment="1">
      <alignment horizontal="right"/>
    </xf>
    <xf numFmtId="10" fontId="0" fillId="4" borderId="1" xfId="0" applyNumberFormat="1" applyFill="1" applyBorder="1" applyAlignment="1">
      <alignment horizontal="right"/>
    </xf>
    <xf numFmtId="0" fontId="0" fillId="0" borderId="2" xfId="0" applyBorder="1" applyAlignment="1"/>
    <xf numFmtId="9" fontId="0" fillId="6" borderId="1" xfId="0" applyNumberFormat="1" applyFill="1" applyBorder="1" applyAlignment="1"/>
    <xf numFmtId="3" fontId="0" fillId="0" borderId="1" xfId="0" applyNumberFormat="1" applyBorder="1"/>
    <xf numFmtId="10" fontId="0" fillId="0" borderId="11" xfId="0" applyNumberFormat="1" applyBorder="1"/>
    <xf numFmtId="0" fontId="1" fillId="0" borderId="12" xfId="0" applyFont="1" applyBorder="1"/>
    <xf numFmtId="10" fontId="1" fillId="3" borderId="1" xfId="0" applyNumberFormat="1" applyFont="1" applyFill="1" applyBorder="1" applyAlignment="1">
      <alignment horizontal="right"/>
    </xf>
    <xf numFmtId="10" fontId="1" fillId="3" borderId="17" xfId="0" applyNumberFormat="1" applyFont="1" applyFill="1" applyBorder="1" applyAlignment="1">
      <alignment horizontal="right"/>
    </xf>
    <xf numFmtId="0" fontId="1" fillId="0" borderId="8" xfId="0" applyFont="1" applyBorder="1"/>
    <xf numFmtId="0" fontId="1" fillId="0" borderId="0" xfId="0" applyFont="1"/>
    <xf numFmtId="10" fontId="1" fillId="5" borderId="22" xfId="0" applyNumberFormat="1" applyFont="1" applyFill="1" applyBorder="1" applyAlignment="1">
      <alignment horizontal="right"/>
    </xf>
    <xf numFmtId="10" fontId="1" fillId="5" borderId="25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49" fontId="0" fillId="2" borderId="1" xfId="0" applyNumberFormat="1" applyFill="1" applyBorder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0" fontId="1" fillId="4" borderId="1" xfId="0" applyFont="1" applyFill="1" applyBorder="1"/>
    <xf numFmtId="0" fontId="1" fillId="9" borderId="1" xfId="0" applyFont="1" applyFill="1" applyBorder="1"/>
    <xf numFmtId="49" fontId="0" fillId="9" borderId="1" xfId="0" applyNumberFormat="1" applyFill="1" applyBorder="1" applyAlignment="1">
      <alignment horizontal="center" wrapText="1"/>
    </xf>
    <xf numFmtId="49" fontId="0" fillId="9" borderId="2" xfId="0" applyNumberFormat="1" applyFill="1" applyBorder="1" applyAlignment="1">
      <alignment horizontal="center" wrapText="1"/>
    </xf>
    <xf numFmtId="3" fontId="0" fillId="9" borderId="21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0" fontId="0" fillId="9" borderId="1" xfId="0" applyFill="1" applyBorder="1"/>
    <xf numFmtId="0" fontId="1" fillId="8" borderId="1" xfId="0" applyFont="1" applyFill="1" applyBorder="1"/>
    <xf numFmtId="49" fontId="1" fillId="8" borderId="1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0" fontId="0" fillId="0" borderId="27" xfId="0" applyBorder="1"/>
    <xf numFmtId="10" fontId="0" fillId="4" borderId="3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10" fontId="0" fillId="9" borderId="1" xfId="0" applyNumberFormat="1" applyFill="1" applyBorder="1" applyAlignment="1">
      <alignment horizontal="right"/>
    </xf>
    <xf numFmtId="10" fontId="1" fillId="8" borderId="1" xfId="0" applyNumberFormat="1" applyFont="1" applyFill="1" applyBorder="1" applyAlignment="1">
      <alignment horizontal="right"/>
    </xf>
    <xf numFmtId="165" fontId="0" fillId="2" borderId="3" xfId="0" applyNumberFormat="1" applyFill="1" applyBorder="1" applyAlignment="1">
      <alignment horizontal="right"/>
    </xf>
    <xf numFmtId="164" fontId="0" fillId="9" borderId="15" xfId="0" applyNumberFormat="1" applyFill="1" applyBorder="1" applyAlignment="1">
      <alignment horizontal="right"/>
    </xf>
    <xf numFmtId="3" fontId="0" fillId="9" borderId="15" xfId="0" applyNumberFormat="1" applyFill="1" applyBorder="1" applyAlignment="1">
      <alignment horizontal="right"/>
    </xf>
    <xf numFmtId="165" fontId="0" fillId="9" borderId="1" xfId="0" applyNumberFormat="1" applyFill="1" applyBorder="1" applyAlignment="1">
      <alignment horizontal="right"/>
    </xf>
    <xf numFmtId="3" fontId="0" fillId="9" borderId="3" xfId="0" applyNumberFormat="1" applyFill="1" applyBorder="1" applyAlignment="1">
      <alignment horizontal="right"/>
    </xf>
    <xf numFmtId="164" fontId="1" fillId="8" borderId="15" xfId="0" applyNumberFormat="1" applyFont="1" applyFill="1" applyBorder="1" applyAlignment="1">
      <alignment horizontal="right"/>
    </xf>
    <xf numFmtId="3" fontId="1" fillId="8" borderId="15" xfId="0" applyNumberFormat="1" applyFont="1" applyFill="1" applyBorder="1" applyAlignment="1">
      <alignment horizontal="right"/>
    </xf>
    <xf numFmtId="165" fontId="0" fillId="8" borderId="1" xfId="0" applyNumberFormat="1" applyFill="1" applyBorder="1" applyAlignment="1">
      <alignment horizontal="right"/>
    </xf>
    <xf numFmtId="3" fontId="1" fillId="8" borderId="3" xfId="0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2" borderId="21" xfId="0" applyNumberForma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164" fontId="0" fillId="4" borderId="15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4" borderId="3" xfId="0" applyNumberFormat="1" applyFill="1" applyBorder="1" applyAlignment="1">
      <alignment horizontal="right"/>
    </xf>
    <xf numFmtId="164" fontId="1" fillId="5" borderId="23" xfId="0" applyNumberFormat="1" applyFont="1" applyFill="1" applyBorder="1" applyAlignment="1">
      <alignment horizontal="right"/>
    </xf>
    <xf numFmtId="3" fontId="1" fillId="5" borderId="22" xfId="0" applyNumberFormat="1" applyFont="1" applyFill="1" applyBorder="1" applyAlignment="1">
      <alignment horizontal="right"/>
    </xf>
    <xf numFmtId="3" fontId="1" fillId="5" borderId="24" xfId="0" applyNumberFormat="1" applyFont="1" applyFill="1" applyBorder="1" applyAlignment="1">
      <alignment horizontal="right"/>
    </xf>
    <xf numFmtId="165" fontId="0" fillId="4" borderId="3" xfId="0" applyNumberFormat="1" applyFill="1" applyBorder="1" applyAlignment="1">
      <alignment horizontal="right"/>
    </xf>
    <xf numFmtId="10" fontId="1" fillId="5" borderId="30" xfId="0" applyNumberFormat="1" applyFont="1" applyFill="1" applyBorder="1" applyAlignment="1">
      <alignment horizontal="right"/>
    </xf>
    <xf numFmtId="165" fontId="0" fillId="4" borderId="31" xfId="0" applyNumberFormat="1" applyFill="1" applyBorder="1" applyAlignment="1">
      <alignment horizontal="right"/>
    </xf>
    <xf numFmtId="165" fontId="0" fillId="5" borderId="29" xfId="0" applyNumberFormat="1" applyFill="1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12" xfId="0" applyFont="1" applyFill="1" applyBorder="1"/>
    <xf numFmtId="0" fontId="1" fillId="0" borderId="8" xfId="0" applyFont="1" applyFill="1" applyBorder="1"/>
    <xf numFmtId="0" fontId="1" fillId="0" borderId="11" xfId="0" applyFont="1" applyBorder="1"/>
    <xf numFmtId="0" fontId="1" fillId="0" borderId="26" xfId="0" applyFont="1" applyBorder="1"/>
    <xf numFmtId="164" fontId="1" fillId="0" borderId="12" xfId="0" applyNumberFormat="1" applyFont="1" applyFill="1" applyBorder="1" applyAlignment="1">
      <alignment horizontal="right"/>
    </xf>
    <xf numFmtId="10" fontId="1" fillId="0" borderId="12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165" fontId="0" fillId="0" borderId="12" xfId="0" applyNumberFormat="1" applyFill="1" applyBorder="1" applyAlignment="1">
      <alignment horizontal="right"/>
    </xf>
    <xf numFmtId="0" fontId="1" fillId="0" borderId="32" xfId="0" applyFont="1" applyBorder="1"/>
    <xf numFmtId="0" fontId="0" fillId="4" borderId="36" xfId="0" applyFill="1" applyBorder="1"/>
    <xf numFmtId="49" fontId="0" fillId="4" borderId="37" xfId="0" applyNumberFormat="1" applyFill="1" applyBorder="1" applyAlignment="1">
      <alignment horizontal="center"/>
    </xf>
    <xf numFmtId="164" fontId="0" fillId="4" borderId="38" xfId="0" applyNumberFormat="1" applyFill="1" applyBorder="1" applyAlignment="1">
      <alignment horizontal="right"/>
    </xf>
    <xf numFmtId="10" fontId="0" fillId="4" borderId="36" xfId="0" applyNumberFormat="1" applyFill="1" applyBorder="1" applyAlignment="1">
      <alignment horizontal="right"/>
    </xf>
    <xf numFmtId="3" fontId="0" fillId="4" borderId="36" xfId="0" applyNumberFormat="1" applyFill="1" applyBorder="1" applyAlignment="1">
      <alignment horizontal="right"/>
    </xf>
    <xf numFmtId="3" fontId="0" fillId="4" borderId="31" xfId="0" applyNumberFormat="1" applyFill="1" applyBorder="1" applyAlignment="1">
      <alignment horizontal="right"/>
    </xf>
    <xf numFmtId="10" fontId="0" fillId="4" borderId="39" xfId="0" applyNumberFormat="1" applyFill="1" applyBorder="1" applyAlignment="1">
      <alignment horizontal="right"/>
    </xf>
    <xf numFmtId="0" fontId="1" fillId="0" borderId="14" xfId="0" applyFont="1" applyFill="1" applyBorder="1"/>
    <xf numFmtId="49" fontId="1" fillId="0" borderId="14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right"/>
    </xf>
    <xf numFmtId="10" fontId="1" fillId="0" borderId="14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165" fontId="0" fillId="0" borderId="14" xfId="0" applyNumberFormat="1" applyFill="1" applyBorder="1" applyAlignment="1">
      <alignment horizontal="right"/>
    </xf>
    <xf numFmtId="0" fontId="1" fillId="5" borderId="23" xfId="0" applyFont="1" applyFill="1" applyBorder="1"/>
    <xf numFmtId="49" fontId="1" fillId="5" borderId="22" xfId="0" applyNumberFormat="1" applyFont="1" applyFill="1" applyBorder="1" applyAlignment="1">
      <alignment horizontal="center"/>
    </xf>
    <xf numFmtId="49" fontId="1" fillId="5" borderId="30" xfId="0" applyNumberFormat="1" applyFont="1" applyFill="1" applyBorder="1" applyAlignment="1">
      <alignment horizontal="center"/>
    </xf>
    <xf numFmtId="0" fontId="5" fillId="0" borderId="12" xfId="0" applyFont="1" applyBorder="1"/>
    <xf numFmtId="164" fontId="1" fillId="0" borderId="40" xfId="0" applyNumberFormat="1" applyFont="1" applyFill="1" applyBorder="1" applyAlignment="1">
      <alignment horizontal="right"/>
    </xf>
    <xf numFmtId="10" fontId="0" fillId="9" borderId="17" xfId="0" applyNumberFormat="1" applyFill="1" applyBorder="1" applyAlignment="1">
      <alignment horizontal="right"/>
    </xf>
    <xf numFmtId="10" fontId="1" fillId="8" borderId="17" xfId="0" applyNumberFormat="1" applyFont="1" applyFill="1" applyBorder="1" applyAlignment="1">
      <alignment horizontal="right"/>
    </xf>
    <xf numFmtId="164" fontId="0" fillId="4" borderId="41" xfId="0" applyNumberFormat="1" applyFill="1" applyBorder="1" applyAlignment="1">
      <alignment horizontal="right"/>
    </xf>
    <xf numFmtId="10" fontId="0" fillId="4" borderId="42" xfId="0" applyNumberFormat="1" applyFill="1" applyBorder="1" applyAlignment="1">
      <alignment horizontal="right"/>
    </xf>
    <xf numFmtId="3" fontId="0" fillId="4" borderId="42" xfId="0" applyNumberFormat="1" applyFill="1" applyBorder="1" applyAlignment="1">
      <alignment horizontal="right"/>
    </xf>
    <xf numFmtId="3" fontId="0" fillId="4" borderId="43" xfId="0" applyNumberFormat="1" applyFill="1" applyBorder="1" applyAlignment="1">
      <alignment horizontal="right"/>
    </xf>
    <xf numFmtId="10" fontId="0" fillId="4" borderId="44" xfId="0" applyNumberFormat="1" applyFill="1" applyBorder="1" applyAlignment="1">
      <alignment horizontal="right"/>
    </xf>
    <xf numFmtId="0" fontId="6" fillId="0" borderId="13" xfId="0" applyFont="1" applyBorder="1"/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wrapText="1"/>
    </xf>
    <xf numFmtId="165" fontId="0" fillId="0" borderId="1" xfId="0" applyNumberFormat="1" applyBorder="1"/>
    <xf numFmtId="164" fontId="0" fillId="10" borderId="1" xfId="0" applyNumberFormat="1" applyFill="1" applyBorder="1"/>
    <xf numFmtId="0" fontId="1" fillId="10" borderId="12" xfId="0" applyFont="1" applyFill="1" applyBorder="1"/>
    <xf numFmtId="0" fontId="1" fillId="0" borderId="33" xfId="0" applyFont="1" applyBorder="1"/>
    <xf numFmtId="0" fontId="1" fillId="0" borderId="34" xfId="0" applyFont="1" applyBorder="1"/>
    <xf numFmtId="165" fontId="1" fillId="0" borderId="35" xfId="0" applyNumberFormat="1" applyFont="1" applyBorder="1"/>
    <xf numFmtId="38" fontId="1" fillId="0" borderId="34" xfId="0" applyNumberFormat="1" applyFont="1" applyBorder="1"/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2" borderId="28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28" xfId="0" applyNumberFormat="1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3" fontId="0" fillId="9" borderId="2" xfId="0" applyNumberFormat="1" applyFill="1" applyBorder="1" applyAlignment="1">
      <alignment horizontal="center"/>
    </xf>
    <xf numFmtId="3" fontId="0" fillId="9" borderId="3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21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10</xdr:row>
      <xdr:rowOff>123825</xdr:rowOff>
    </xdr:from>
    <xdr:to>
      <xdr:col>12</xdr:col>
      <xdr:colOff>247650</xdr:colOff>
      <xdr:row>29</xdr:row>
      <xdr:rowOff>9525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53875" y="2371725"/>
          <a:ext cx="990600" cy="3324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"/>
  <sheetViews>
    <sheetView tabSelected="1" showWhiteSpace="0" zoomScale="80" zoomScaleNormal="80" workbookViewId="0">
      <selection activeCell="I20" sqref="I20"/>
    </sheetView>
  </sheetViews>
  <sheetFormatPr defaultRowHeight="14.5" x14ac:dyDescent="0.35"/>
  <cols>
    <col min="1" max="1" width="37.6328125" customWidth="1"/>
    <col min="2" max="2" width="13.453125" customWidth="1"/>
    <col min="3" max="5" width="14.08984375" customWidth="1"/>
    <col min="6" max="6" width="14.54296875" customWidth="1"/>
    <col min="7" max="7" width="1.6328125" customWidth="1"/>
    <col min="8" max="8" width="27.6328125" customWidth="1"/>
    <col min="9" max="11" width="10.08984375" style="8" customWidth="1"/>
    <col min="12" max="30" width="12.6328125" customWidth="1"/>
  </cols>
  <sheetData>
    <row r="1" spans="1:32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2" x14ac:dyDescent="0.35">
      <c r="A2" s="182" t="s">
        <v>12</v>
      </c>
      <c r="B2" s="182"/>
      <c r="C2" s="182"/>
      <c r="D2" s="182"/>
      <c r="E2" s="182"/>
      <c r="F2" s="182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x14ac:dyDescent="0.35">
      <c r="A3" s="188" t="s">
        <v>16</v>
      </c>
      <c r="B3" s="188"/>
      <c r="C3" s="26" t="s">
        <v>0</v>
      </c>
      <c r="D3" s="26" t="s">
        <v>1</v>
      </c>
      <c r="E3" s="26" t="s">
        <v>2</v>
      </c>
      <c r="F3" s="25" t="s">
        <v>3</v>
      </c>
      <c r="G3" s="1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2" x14ac:dyDescent="0.35">
      <c r="A4" s="149" t="s">
        <v>10</v>
      </c>
      <c r="B4" s="151"/>
      <c r="C4" s="13">
        <v>1.4E-2</v>
      </c>
      <c r="D4" s="13">
        <v>1.4999999999999999E-2</v>
      </c>
      <c r="E4" s="13">
        <v>1.4999999999999999E-2</v>
      </c>
      <c r="F4" s="2" t="s">
        <v>18</v>
      </c>
      <c r="G4" s="19"/>
      <c r="H4" s="20" t="s">
        <v>17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2" x14ac:dyDescent="0.35">
      <c r="A5" s="149" t="s">
        <v>13</v>
      </c>
      <c r="B5" s="151"/>
      <c r="C5" s="1"/>
      <c r="D5" s="1"/>
      <c r="E5" s="1"/>
      <c r="F5" s="1">
        <f>SUM(C5:E5)</f>
        <v>0</v>
      </c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2" x14ac:dyDescent="0.35">
      <c r="A6" s="149" t="s">
        <v>15</v>
      </c>
      <c r="B6" s="151"/>
      <c r="C6" s="1">
        <f>+C5*0.8</f>
        <v>0</v>
      </c>
      <c r="D6" s="1">
        <f t="shared" ref="D6:E6" si="0">+D5*0.8</f>
        <v>0</v>
      </c>
      <c r="E6" s="1">
        <f t="shared" si="0"/>
        <v>0</v>
      </c>
      <c r="F6" s="1">
        <f>SUM(C6:E6)</f>
        <v>0</v>
      </c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2" ht="31" x14ac:dyDescent="0.7">
      <c r="A7" s="149" t="s">
        <v>14</v>
      </c>
      <c r="B7" s="151"/>
      <c r="C7" s="1">
        <f>+C5*0.2</f>
        <v>0</v>
      </c>
      <c r="D7" s="1">
        <f t="shared" ref="D7:E7" si="1">+D5*0.2</f>
        <v>0</v>
      </c>
      <c r="E7" s="1">
        <f t="shared" si="1"/>
        <v>0</v>
      </c>
      <c r="F7" s="1">
        <f>SUM(C7:E7)</f>
        <v>0</v>
      </c>
      <c r="G7" s="19"/>
      <c r="H7" s="20"/>
      <c r="I7" s="34"/>
      <c r="J7" s="34"/>
      <c r="K7" s="34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2" x14ac:dyDescent="0.35">
      <c r="A8" s="149" t="s">
        <v>20</v>
      </c>
      <c r="B8" s="151"/>
      <c r="C8" s="42">
        <v>10000000</v>
      </c>
      <c r="D8" s="42">
        <v>10000000</v>
      </c>
      <c r="E8" s="42">
        <v>10000000</v>
      </c>
      <c r="F8" s="42">
        <f>SUM(C8:E8)</f>
        <v>30000000</v>
      </c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2" x14ac:dyDescent="0.35">
      <c r="A9" s="149" t="s">
        <v>19</v>
      </c>
      <c r="B9" s="151"/>
      <c r="C9" s="1"/>
      <c r="D9" s="1"/>
      <c r="E9" s="1"/>
      <c r="F9" s="2" t="s">
        <v>18</v>
      </c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2" ht="31" x14ac:dyDescent="0.7">
      <c r="A10" s="14"/>
      <c r="B10" s="14"/>
      <c r="C10" s="14"/>
      <c r="D10" s="14"/>
      <c r="E10" s="14"/>
      <c r="F10" s="16"/>
      <c r="G10" s="20"/>
      <c r="H10" s="20"/>
      <c r="I10" s="34" t="s">
        <v>27</v>
      </c>
      <c r="J10" s="34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2" x14ac:dyDescent="0.35">
      <c r="A11" s="15"/>
      <c r="B11" s="15"/>
      <c r="C11" s="15"/>
      <c r="D11" s="15"/>
      <c r="E11" s="15"/>
      <c r="F11" s="17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2" x14ac:dyDescent="0.35">
      <c r="A12" s="182" t="s">
        <v>12</v>
      </c>
      <c r="B12" s="182"/>
      <c r="C12" s="182"/>
      <c r="D12" s="182"/>
      <c r="E12" s="182"/>
      <c r="F12" s="182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2" x14ac:dyDescent="0.35">
      <c r="A13" s="24" t="s">
        <v>11</v>
      </c>
      <c r="B13" s="23">
        <v>50000000</v>
      </c>
      <c r="C13" s="25" t="s">
        <v>0</v>
      </c>
      <c r="D13" s="25" t="s">
        <v>1</v>
      </c>
      <c r="E13" s="25" t="s">
        <v>2</v>
      </c>
      <c r="F13" s="25" t="s">
        <v>3</v>
      </c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2" x14ac:dyDescent="0.35">
      <c r="A14" s="40" t="s">
        <v>34</v>
      </c>
      <c r="B14" s="41">
        <v>0.75</v>
      </c>
      <c r="C14" s="4">
        <f>+$B$13*$B$14</f>
        <v>37500000</v>
      </c>
      <c r="D14" s="4">
        <f t="shared" ref="D14:E14" si="2">+$B$13*$B$14</f>
        <v>37500000</v>
      </c>
      <c r="E14" s="4">
        <f t="shared" si="2"/>
        <v>37500000</v>
      </c>
      <c r="F14" s="4">
        <f t="shared" ref="F14:F25" si="3">SUM(C14:E14)</f>
        <v>112500000</v>
      </c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2" x14ac:dyDescent="0.35">
      <c r="A15" s="149" t="s">
        <v>25</v>
      </c>
      <c r="B15" s="151"/>
      <c r="C15" s="3">
        <f>+C14*0.02</f>
        <v>750000</v>
      </c>
      <c r="D15" s="3">
        <f t="shared" ref="D15:E15" si="4">+D14*0.02</f>
        <v>750000</v>
      </c>
      <c r="E15" s="3">
        <f t="shared" si="4"/>
        <v>750000</v>
      </c>
      <c r="F15" s="4">
        <f t="shared" si="3"/>
        <v>2250000</v>
      </c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2" x14ac:dyDescent="0.35">
      <c r="A16" s="149" t="s">
        <v>4</v>
      </c>
      <c r="B16" s="151"/>
      <c r="C16" s="3">
        <f>+C14*(1-0.97)</f>
        <v>1125000.0000000009</v>
      </c>
      <c r="D16" s="3">
        <f>+D14*(1-0.97)</f>
        <v>1125000.0000000009</v>
      </c>
      <c r="E16" s="3">
        <f>+E14*(1-0.97)</f>
        <v>1125000.0000000009</v>
      </c>
      <c r="F16" s="4">
        <f t="shared" si="3"/>
        <v>3375000.0000000028</v>
      </c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x14ac:dyDescent="0.35">
      <c r="A17" s="149" t="s">
        <v>38</v>
      </c>
      <c r="B17" s="151"/>
      <c r="C17" s="3">
        <v>650000</v>
      </c>
      <c r="D17" s="3">
        <v>650000</v>
      </c>
      <c r="E17" s="3">
        <v>650000</v>
      </c>
      <c r="F17" s="4">
        <f t="shared" si="3"/>
        <v>1950000</v>
      </c>
      <c r="G17" s="19"/>
      <c r="H17" s="20"/>
      <c r="I17" s="20"/>
      <c r="J17" s="20"/>
      <c r="K17" s="20"/>
      <c r="L17" s="20"/>
      <c r="M17" s="20"/>
      <c r="O17" s="13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x14ac:dyDescent="0.35">
      <c r="A18" s="149" t="s">
        <v>37</v>
      </c>
      <c r="B18" s="151"/>
      <c r="C18" s="3">
        <v>500000</v>
      </c>
      <c r="D18" s="3">
        <v>500000</v>
      </c>
      <c r="E18" s="3">
        <v>500000</v>
      </c>
      <c r="F18" s="4">
        <f t="shared" si="3"/>
        <v>1500000</v>
      </c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x14ac:dyDescent="0.35">
      <c r="A19" s="149" t="s">
        <v>40</v>
      </c>
      <c r="B19" s="151"/>
      <c r="C19" s="3"/>
      <c r="D19" s="3"/>
      <c r="E19" s="3">
        <v>500000</v>
      </c>
      <c r="F19" s="4">
        <f t="shared" si="3"/>
        <v>500000</v>
      </c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x14ac:dyDescent="0.35">
      <c r="A20" s="149" t="s">
        <v>36</v>
      </c>
      <c r="B20" s="151"/>
      <c r="C20" s="3">
        <f>SUM(C15:C19)</f>
        <v>3025000.0000000009</v>
      </c>
      <c r="D20" s="3">
        <f>SUM(D15:D19)</f>
        <v>3025000.0000000009</v>
      </c>
      <c r="E20" s="3">
        <f>SUM(E15:E19)</f>
        <v>3525000.0000000009</v>
      </c>
      <c r="F20" s="4">
        <f t="shared" si="3"/>
        <v>9575000.0000000037</v>
      </c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x14ac:dyDescent="0.35">
      <c r="A21" s="149" t="s">
        <v>39</v>
      </c>
      <c r="B21" s="151"/>
      <c r="C21" s="3">
        <f>+C14-C20</f>
        <v>34475000</v>
      </c>
      <c r="D21" s="3">
        <f>+D14-D20</f>
        <v>34475000</v>
      </c>
      <c r="E21" s="3">
        <f>+E14-E20</f>
        <v>33975000</v>
      </c>
      <c r="F21" s="4">
        <f t="shared" si="3"/>
        <v>102925000</v>
      </c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x14ac:dyDescent="0.35">
      <c r="A22" s="183" t="s">
        <v>5</v>
      </c>
      <c r="B22" s="184"/>
      <c r="C22" s="3">
        <f>+C20+C21</f>
        <v>37500000</v>
      </c>
      <c r="D22" s="3">
        <f t="shared" ref="D22:E22" si="5">+D20+D21</f>
        <v>37500000</v>
      </c>
      <c r="E22" s="3">
        <f t="shared" si="5"/>
        <v>37500000</v>
      </c>
      <c r="F22" s="4">
        <f t="shared" si="3"/>
        <v>112500000</v>
      </c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x14ac:dyDescent="0.35">
      <c r="A23" s="40" t="s">
        <v>35</v>
      </c>
      <c r="B23" s="41">
        <v>0.25</v>
      </c>
      <c r="C23" s="3">
        <f>+$B$13*$B$23</f>
        <v>12500000</v>
      </c>
      <c r="D23" s="3">
        <f>+$B$13*$B$23</f>
        <v>12500000</v>
      </c>
      <c r="E23" s="3">
        <f>+$B$13*$B$23</f>
        <v>12500000</v>
      </c>
      <c r="F23" s="4">
        <f t="shared" si="3"/>
        <v>37500000</v>
      </c>
      <c r="G23" s="19"/>
      <c r="H23" s="20"/>
      <c r="I23" s="20"/>
      <c r="J23" s="20"/>
      <c r="K23" s="20"/>
      <c r="L23" s="20"/>
      <c r="M23" s="20"/>
      <c r="N23" s="130" t="s">
        <v>70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x14ac:dyDescent="0.35">
      <c r="A24" s="183" t="s">
        <v>6</v>
      </c>
      <c r="B24" s="184"/>
      <c r="C24" s="3">
        <f>+C22+C23</f>
        <v>50000000</v>
      </c>
      <c r="D24" s="3">
        <f t="shared" ref="D24:E24" si="6">+D22+D23</f>
        <v>50000000</v>
      </c>
      <c r="E24" s="3">
        <f t="shared" si="6"/>
        <v>50000000</v>
      </c>
      <c r="F24" s="4">
        <f t="shared" si="3"/>
        <v>150000000</v>
      </c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x14ac:dyDescent="0.35">
      <c r="A25" s="185" t="s">
        <v>41</v>
      </c>
      <c r="B25" s="186"/>
      <c r="C25" s="3"/>
      <c r="D25" s="3"/>
      <c r="E25" s="3"/>
      <c r="F25" s="4">
        <f t="shared" si="3"/>
        <v>0</v>
      </c>
      <c r="G25" s="19"/>
      <c r="H25" s="20"/>
      <c r="I25" s="20"/>
      <c r="J25" s="20"/>
      <c r="K25" s="20"/>
      <c r="L25" s="20"/>
      <c r="M25" s="20"/>
      <c r="N25" s="20" t="s">
        <v>56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18"/>
      <c r="P26" s="18"/>
      <c r="Q26" s="18"/>
      <c r="R26" s="51" t="s">
        <v>0</v>
      </c>
      <c r="S26" s="51" t="s">
        <v>1</v>
      </c>
      <c r="T26" s="51" t="s">
        <v>2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20"/>
    </row>
    <row r="27" spans="1:31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49" t="s">
        <v>47</v>
      </c>
      <c r="O27" s="150"/>
      <c r="P27" s="150"/>
      <c r="Q27" s="151"/>
      <c r="R27" s="4">
        <v>9200000</v>
      </c>
      <c r="S27" s="4">
        <v>9200000</v>
      </c>
      <c r="T27" s="4">
        <v>9700000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0"/>
    </row>
    <row r="28" spans="1:31" x14ac:dyDescent="0.3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49" t="s">
        <v>46</v>
      </c>
      <c r="O28" s="150"/>
      <c r="P28" s="150"/>
      <c r="Q28" s="151"/>
      <c r="R28" s="4">
        <v>10000000</v>
      </c>
      <c r="S28" s="4">
        <v>10000000</v>
      </c>
      <c r="T28" s="4">
        <v>9500000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20"/>
    </row>
    <row r="29" spans="1:31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49" t="s">
        <v>48</v>
      </c>
      <c r="O29" s="150"/>
      <c r="P29" s="150"/>
      <c r="Q29" s="151"/>
      <c r="R29" s="4">
        <v>15275000</v>
      </c>
      <c r="S29" s="4">
        <v>15275000</v>
      </c>
      <c r="T29" s="4">
        <v>14775000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20"/>
    </row>
    <row r="30" spans="1:31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01"/>
      <c r="N30" s="102" t="s">
        <v>3</v>
      </c>
      <c r="O30" s="103"/>
      <c r="P30" s="103"/>
      <c r="Q30" s="104"/>
      <c r="R30" s="3">
        <f>SUM(R27:R29)</f>
        <v>34475000</v>
      </c>
      <c r="S30" s="3">
        <f t="shared" ref="S30:T30" si="7">SUM(S27:S29)</f>
        <v>34475000</v>
      </c>
      <c r="T30" s="3">
        <f t="shared" si="7"/>
        <v>33975000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20"/>
    </row>
    <row r="31" spans="1:31" ht="15" thickBot="1" x14ac:dyDescent="0.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66"/>
      <c r="O31" s="66"/>
      <c r="P31" s="66"/>
      <c r="Q31" s="66"/>
      <c r="R31" s="66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x14ac:dyDescent="0.35">
      <c r="A32" s="18"/>
      <c r="B32" s="18"/>
      <c r="C32" s="18"/>
      <c r="D32" s="18"/>
      <c r="E32" s="18"/>
      <c r="F32" s="18"/>
      <c r="G32" s="20"/>
      <c r="H32" s="18"/>
      <c r="I32" s="18"/>
      <c r="J32" s="18"/>
      <c r="K32" s="18"/>
      <c r="L32" s="152" t="s">
        <v>0</v>
      </c>
      <c r="M32" s="153"/>
      <c r="N32" s="153"/>
      <c r="O32" s="153"/>
      <c r="P32" s="153"/>
      <c r="Q32" s="153"/>
      <c r="R32" s="154"/>
      <c r="S32" s="152" t="s">
        <v>1</v>
      </c>
      <c r="T32" s="153"/>
      <c r="U32" s="153"/>
      <c r="V32" s="153"/>
      <c r="W32" s="153"/>
      <c r="X32" s="154"/>
      <c r="Y32" s="152" t="s">
        <v>2</v>
      </c>
      <c r="Z32" s="153"/>
      <c r="AA32" s="153"/>
      <c r="AB32" s="153"/>
      <c r="AC32" s="153"/>
      <c r="AD32" s="154"/>
      <c r="AE32" s="19"/>
    </row>
    <row r="33" spans="1:31" x14ac:dyDescent="0.35">
      <c r="A33" s="20"/>
      <c r="B33" s="20"/>
      <c r="C33" s="20"/>
      <c r="D33" s="20"/>
      <c r="E33" s="20"/>
      <c r="F33" s="20"/>
      <c r="G33" s="20"/>
      <c r="H33" s="18"/>
      <c r="I33" s="18"/>
      <c r="J33" s="18"/>
      <c r="K33" s="18"/>
      <c r="L33" s="159" t="s">
        <v>28</v>
      </c>
      <c r="M33" s="160"/>
      <c r="N33" s="161" t="s">
        <v>32</v>
      </c>
      <c r="O33" s="162"/>
      <c r="P33" s="51" t="s">
        <v>51</v>
      </c>
      <c r="Q33" s="157" t="s">
        <v>33</v>
      </c>
      <c r="R33" s="158"/>
      <c r="S33" s="159" t="s">
        <v>28</v>
      </c>
      <c r="T33" s="160"/>
      <c r="U33" s="180" t="s">
        <v>32</v>
      </c>
      <c r="V33" s="181"/>
      <c r="W33" s="155" t="s">
        <v>33</v>
      </c>
      <c r="X33" s="156"/>
      <c r="Y33" s="159" t="s">
        <v>28</v>
      </c>
      <c r="Z33" s="160"/>
      <c r="AA33" s="161" t="s">
        <v>32</v>
      </c>
      <c r="AB33" s="162"/>
      <c r="AC33" s="157" t="s">
        <v>33</v>
      </c>
      <c r="AD33" s="158"/>
      <c r="AE33" s="19"/>
    </row>
    <row r="34" spans="1:31" x14ac:dyDescent="0.35">
      <c r="A34" s="20"/>
      <c r="B34" s="20"/>
      <c r="C34" s="20"/>
      <c r="D34" s="20"/>
      <c r="E34" s="20"/>
      <c r="F34" s="20"/>
      <c r="G34" s="20"/>
      <c r="H34" s="52" t="s">
        <v>55</v>
      </c>
      <c r="I34" s="22" t="s">
        <v>9</v>
      </c>
      <c r="J34" s="30" t="s">
        <v>26</v>
      </c>
      <c r="K34" s="30" t="s">
        <v>71</v>
      </c>
      <c r="L34" s="174">
        <f>+C21</f>
        <v>34475000</v>
      </c>
      <c r="M34" s="175"/>
      <c r="N34" s="172">
        <f>+N39+N46+N53</f>
        <v>10000000</v>
      </c>
      <c r="O34" s="173"/>
      <c r="P34" s="68" t="s">
        <v>50</v>
      </c>
      <c r="Q34" s="170">
        <v>100000000</v>
      </c>
      <c r="R34" s="171"/>
      <c r="S34" s="174">
        <f>+D21</f>
        <v>34475000</v>
      </c>
      <c r="T34" s="175"/>
      <c r="U34" s="176">
        <f>+D8</f>
        <v>10000000</v>
      </c>
      <c r="V34" s="177"/>
      <c r="W34" s="170">
        <f>+W46+W53</f>
        <v>30400000</v>
      </c>
      <c r="X34" s="171"/>
      <c r="Y34" s="178">
        <f>+E21</f>
        <v>33975000</v>
      </c>
      <c r="Z34" s="179"/>
      <c r="AA34" s="176">
        <f>+E8</f>
        <v>10000000</v>
      </c>
      <c r="AB34" s="177"/>
      <c r="AC34" s="170">
        <f>+AC46+AC53</f>
        <v>30400000</v>
      </c>
      <c r="AD34" s="171"/>
      <c r="AE34" s="19"/>
    </row>
    <row r="35" spans="1:31" x14ac:dyDescent="0.35">
      <c r="A35" s="20"/>
      <c r="B35" s="20"/>
      <c r="C35" s="20"/>
      <c r="D35" s="20"/>
      <c r="E35" s="20"/>
      <c r="F35" s="20"/>
      <c r="G35" s="20"/>
      <c r="H35" s="57" t="s">
        <v>44</v>
      </c>
      <c r="I35" s="58"/>
      <c r="J35" s="59"/>
      <c r="K35" s="59"/>
      <c r="L35" s="165"/>
      <c r="M35" s="166"/>
      <c r="N35" s="167"/>
      <c r="O35" s="168"/>
      <c r="P35" s="69"/>
      <c r="Q35" s="60"/>
      <c r="R35" s="61"/>
      <c r="S35" s="165"/>
      <c r="T35" s="166"/>
      <c r="U35" s="167"/>
      <c r="V35" s="168"/>
      <c r="W35" s="60"/>
      <c r="X35" s="61"/>
      <c r="Y35" s="165"/>
      <c r="Z35" s="166"/>
      <c r="AA35" s="167"/>
      <c r="AB35" s="168"/>
      <c r="AC35" s="60"/>
      <c r="AD35" s="61"/>
      <c r="AE35" s="19"/>
    </row>
    <row r="36" spans="1:31" x14ac:dyDescent="0.35">
      <c r="A36" s="20"/>
      <c r="B36" s="20"/>
      <c r="C36" s="20"/>
      <c r="D36" s="20"/>
      <c r="E36" s="20"/>
      <c r="F36" s="20"/>
      <c r="G36" s="20"/>
      <c r="H36" s="62" t="s">
        <v>42</v>
      </c>
      <c r="I36" s="58" t="s">
        <v>52</v>
      </c>
      <c r="J36" s="59" t="s">
        <v>67</v>
      </c>
      <c r="K36" s="59"/>
      <c r="L36" s="73">
        <v>4500000</v>
      </c>
      <c r="M36" s="70">
        <f>+L36/$L$34</f>
        <v>0.1305293691080493</v>
      </c>
      <c r="N36" s="74">
        <v>40000</v>
      </c>
      <c r="O36" s="70">
        <f>+N36/$L$34</f>
        <v>1.160261058738216E-3</v>
      </c>
      <c r="P36" s="75">
        <f>+L36/N36</f>
        <v>112.5</v>
      </c>
      <c r="Q36" s="76">
        <v>120000</v>
      </c>
      <c r="R36" s="70">
        <f>+Q36/$L$34</f>
        <v>3.4807831762146482E-3</v>
      </c>
      <c r="S36" s="73">
        <v>4500000</v>
      </c>
      <c r="T36" s="70">
        <f>+S36/$L$34</f>
        <v>0.1305293691080493</v>
      </c>
      <c r="U36" s="74">
        <v>40000</v>
      </c>
      <c r="V36" s="70">
        <f>+U36/$L$34</f>
        <v>1.160261058738216E-3</v>
      </c>
      <c r="W36" s="76">
        <v>120000</v>
      </c>
      <c r="X36" s="70">
        <f>+W36/$L$34</f>
        <v>3.4807831762146482E-3</v>
      </c>
      <c r="Y36" s="73">
        <v>5000000</v>
      </c>
      <c r="Z36" s="70">
        <f>+Y36/$L$34</f>
        <v>0.14503263234227701</v>
      </c>
      <c r="AA36" s="74">
        <v>43000</v>
      </c>
      <c r="AB36" s="70">
        <f>+AA36/$L$34</f>
        <v>1.2472806381435824E-3</v>
      </c>
      <c r="AC36" s="76">
        <v>120000</v>
      </c>
      <c r="AD36" s="132">
        <f>+AC36/$L$34</f>
        <v>3.4807831762146482E-3</v>
      </c>
      <c r="AE36" s="19"/>
    </row>
    <row r="37" spans="1:31" x14ac:dyDescent="0.35">
      <c r="A37" s="20"/>
      <c r="B37" s="20"/>
      <c r="C37" s="20"/>
      <c r="D37" s="20"/>
      <c r="E37" s="20"/>
      <c r="F37" s="20"/>
      <c r="G37" s="20"/>
      <c r="H37" s="62" t="s">
        <v>42</v>
      </c>
      <c r="I37" s="58" t="s">
        <v>53</v>
      </c>
      <c r="J37" s="59" t="s">
        <v>68</v>
      </c>
      <c r="K37" s="59"/>
      <c r="L37" s="73">
        <v>2500000</v>
      </c>
      <c r="M37" s="70">
        <f t="shared" ref="M37:O38" si="8">+L37/$L$34</f>
        <v>7.2516316171138503E-2</v>
      </c>
      <c r="N37" s="74">
        <v>35000</v>
      </c>
      <c r="O37" s="70">
        <f t="shared" si="8"/>
        <v>1.0152284263959391E-3</v>
      </c>
      <c r="P37" s="75">
        <f t="shared" ref="P37:P39" si="9">+L37/N37</f>
        <v>71.428571428571431</v>
      </c>
      <c r="Q37" s="76">
        <v>350000</v>
      </c>
      <c r="R37" s="70">
        <f t="shared" ref="R37" si="10">+Q37/$L$34</f>
        <v>1.015228426395939E-2</v>
      </c>
      <c r="S37" s="73">
        <v>2500000</v>
      </c>
      <c r="T37" s="70">
        <f t="shared" ref="T37" si="11">+S37/$L$34</f>
        <v>7.2516316171138503E-2</v>
      </c>
      <c r="U37" s="74">
        <v>35000</v>
      </c>
      <c r="V37" s="70">
        <f t="shared" ref="V37" si="12">+U37/$L$34</f>
        <v>1.0152284263959391E-3</v>
      </c>
      <c r="W37" s="76">
        <v>350000</v>
      </c>
      <c r="X37" s="70">
        <f t="shared" ref="X37:X38" si="13">+W37/$L$34</f>
        <v>1.015228426395939E-2</v>
      </c>
      <c r="Y37" s="73">
        <v>2350000</v>
      </c>
      <c r="Z37" s="70">
        <f t="shared" ref="Z37" si="14">+Y37/$L$34</f>
        <v>6.8165337200870202E-2</v>
      </c>
      <c r="AA37" s="74">
        <v>30000</v>
      </c>
      <c r="AB37" s="70">
        <f t="shared" ref="AB37" si="15">+AA37/$L$34</f>
        <v>8.7019579405366206E-4</v>
      </c>
      <c r="AC37" s="76">
        <v>350000</v>
      </c>
      <c r="AD37" s="132">
        <f t="shared" ref="AD37:AD38" si="16">+AC37/$L$34</f>
        <v>1.015228426395939E-2</v>
      </c>
      <c r="AE37" s="19"/>
    </row>
    <row r="38" spans="1:31" x14ac:dyDescent="0.35">
      <c r="A38" s="20"/>
      <c r="B38" s="20"/>
      <c r="C38" s="20"/>
      <c r="D38" s="20"/>
      <c r="E38" s="20"/>
      <c r="F38" s="20"/>
      <c r="G38" s="20"/>
      <c r="H38" s="62" t="s">
        <v>42</v>
      </c>
      <c r="I38" s="58" t="s">
        <v>54</v>
      </c>
      <c r="J38" s="59" t="s">
        <v>69</v>
      </c>
      <c r="K38" s="59"/>
      <c r="L38" s="73">
        <v>2200000</v>
      </c>
      <c r="M38" s="70">
        <f t="shared" si="8"/>
        <v>6.3814358230601886E-2</v>
      </c>
      <c r="N38" s="74">
        <v>20000</v>
      </c>
      <c r="O38" s="70">
        <f t="shared" si="8"/>
        <v>5.80130529369108E-4</v>
      </c>
      <c r="P38" s="75">
        <f t="shared" si="9"/>
        <v>110</v>
      </c>
      <c r="Q38" s="76">
        <v>30000</v>
      </c>
      <c r="R38" s="70">
        <f t="shared" ref="R38" si="17">+Q38/$L$34</f>
        <v>8.7019579405366206E-4</v>
      </c>
      <c r="S38" s="73">
        <v>2200000</v>
      </c>
      <c r="T38" s="70">
        <f t="shared" ref="T38" si="18">+S38/$L$34</f>
        <v>6.3814358230601886E-2</v>
      </c>
      <c r="U38" s="74">
        <v>20000</v>
      </c>
      <c r="V38" s="70">
        <f t="shared" ref="V38" si="19">+U38/$L$34</f>
        <v>5.80130529369108E-4</v>
      </c>
      <c r="W38" s="76">
        <v>30000</v>
      </c>
      <c r="X38" s="70">
        <f t="shared" si="13"/>
        <v>8.7019579405366206E-4</v>
      </c>
      <c r="Y38" s="73">
        <v>2350000</v>
      </c>
      <c r="Z38" s="70">
        <f t="shared" ref="Z38" si="20">+Y38/$L$34</f>
        <v>6.8165337200870202E-2</v>
      </c>
      <c r="AA38" s="74">
        <v>22000</v>
      </c>
      <c r="AB38" s="70">
        <f t="shared" ref="AB38" si="21">+AA38/$L$34</f>
        <v>6.3814358230601881E-4</v>
      </c>
      <c r="AC38" s="76">
        <v>30000</v>
      </c>
      <c r="AD38" s="132">
        <f t="shared" si="16"/>
        <v>8.7019579405366206E-4</v>
      </c>
      <c r="AE38" s="19"/>
    </row>
    <row r="39" spans="1:31" x14ac:dyDescent="0.35">
      <c r="A39" s="20"/>
      <c r="B39" s="20"/>
      <c r="C39" s="20"/>
      <c r="D39" s="20"/>
      <c r="E39" s="20"/>
      <c r="F39" s="20"/>
      <c r="G39" s="20"/>
      <c r="H39" s="63" t="s">
        <v>43</v>
      </c>
      <c r="I39" s="64"/>
      <c r="J39" s="65"/>
      <c r="K39" s="65"/>
      <c r="L39" s="77">
        <f>SUM(L36:L38)</f>
        <v>9200000</v>
      </c>
      <c r="M39" s="71">
        <f>+L39/L34</f>
        <v>0.2668600435097897</v>
      </c>
      <c r="N39" s="78">
        <f>SUM(N36:N38)</f>
        <v>95000</v>
      </c>
      <c r="O39" s="71">
        <f>+N39/N34</f>
        <v>9.4999999999999998E-3</v>
      </c>
      <c r="P39" s="79">
        <f t="shared" si="9"/>
        <v>96.84210526315789</v>
      </c>
      <c r="Q39" s="80">
        <f>SUM(Q36:Q38)</f>
        <v>500000</v>
      </c>
      <c r="R39" s="71">
        <f>+Q39/Q34</f>
        <v>5.0000000000000001E-3</v>
      </c>
      <c r="S39" s="77">
        <f>SUM(S36:S38)</f>
        <v>9200000</v>
      </c>
      <c r="T39" s="71">
        <f>+S39/S34</f>
        <v>0.2668600435097897</v>
      </c>
      <c r="U39" s="78">
        <f>SUM(U36:U38)</f>
        <v>95000</v>
      </c>
      <c r="V39" s="71">
        <f>+U39/U34</f>
        <v>9.4999999999999998E-3</v>
      </c>
      <c r="W39" s="80">
        <f>SUM(W36:W38)</f>
        <v>500000</v>
      </c>
      <c r="X39" s="71">
        <f>+W39/W34</f>
        <v>1.6447368421052631E-2</v>
      </c>
      <c r="Y39" s="77">
        <f>SUM(Y36:Y38)</f>
        <v>9700000</v>
      </c>
      <c r="Z39" s="71">
        <f>+Y39/Y34</f>
        <v>0.28550404709345106</v>
      </c>
      <c r="AA39" s="78">
        <f>SUM(AA36:AA38)</f>
        <v>95000</v>
      </c>
      <c r="AB39" s="71">
        <f>+AA39/AA34</f>
        <v>9.4999999999999998E-3</v>
      </c>
      <c r="AC39" s="80">
        <f>SUM(AC36:AC38)</f>
        <v>500000</v>
      </c>
      <c r="AD39" s="133">
        <f>+AC39/AC34</f>
        <v>1.6447368421052631E-2</v>
      </c>
      <c r="AE39" s="19"/>
    </row>
    <row r="40" spans="1:31" x14ac:dyDescent="0.35">
      <c r="A40" s="20"/>
      <c r="B40" s="20"/>
      <c r="C40" s="20"/>
      <c r="D40" s="20"/>
      <c r="E40" s="20"/>
      <c r="F40" s="20"/>
      <c r="G40" s="20"/>
      <c r="H40" s="53" t="s">
        <v>45</v>
      </c>
      <c r="I40" s="54"/>
      <c r="J40" s="55"/>
      <c r="K40" s="55"/>
      <c r="L40" s="163"/>
      <c r="M40" s="164"/>
      <c r="N40" s="81"/>
      <c r="O40" s="82"/>
      <c r="P40" s="83"/>
      <c r="Q40" s="84"/>
      <c r="R40" s="85"/>
      <c r="S40" s="163"/>
      <c r="T40" s="164"/>
      <c r="U40" s="81"/>
      <c r="V40" s="82"/>
      <c r="W40" s="84"/>
      <c r="X40" s="85"/>
      <c r="Y40" s="163"/>
      <c r="Z40" s="164"/>
      <c r="AA40" s="81"/>
      <c r="AB40" s="82"/>
      <c r="AC40" s="84"/>
      <c r="AD40" s="85"/>
      <c r="AE40" s="19"/>
    </row>
    <row r="41" spans="1:31" x14ac:dyDescent="0.35">
      <c r="A41" s="20"/>
      <c r="B41" s="20"/>
      <c r="C41" s="20"/>
      <c r="D41" s="20"/>
      <c r="E41" s="20"/>
      <c r="F41" s="20"/>
      <c r="G41" s="20"/>
      <c r="H41" s="5" t="s">
        <v>49</v>
      </c>
      <c r="I41" s="9" t="s">
        <v>59</v>
      </c>
      <c r="J41" s="31"/>
      <c r="K41" s="31"/>
      <c r="L41" s="86">
        <v>2000000</v>
      </c>
      <c r="M41" s="38">
        <f t="shared" ref="M41:M53" si="22">+L41/$L$34</f>
        <v>5.8013052936910808E-2</v>
      </c>
      <c r="N41" s="83">
        <v>1000000</v>
      </c>
      <c r="O41" s="38">
        <f t="shared" ref="O41:O46" si="23">+N41/$N$34</f>
        <v>0.1</v>
      </c>
      <c r="P41" s="72">
        <f>L41/N41</f>
        <v>2</v>
      </c>
      <c r="Q41" s="82">
        <v>3000000</v>
      </c>
      <c r="R41" s="28">
        <f>+Q41/$Q$34</f>
        <v>0.03</v>
      </c>
      <c r="S41" s="86">
        <v>2000000</v>
      </c>
      <c r="T41" s="38">
        <f t="shared" ref="T41:T46" si="24">+S41/$L$34</f>
        <v>5.8013052936910808E-2</v>
      </c>
      <c r="U41" s="83">
        <v>1000000</v>
      </c>
      <c r="V41" s="38">
        <f t="shared" ref="V41:V46" si="25">+U41/$N$34</f>
        <v>0.1</v>
      </c>
      <c r="W41" s="82">
        <v>3000000</v>
      </c>
      <c r="X41" s="28">
        <f>+W41/$Q$34</f>
        <v>0.03</v>
      </c>
      <c r="Y41" s="86">
        <v>2000000</v>
      </c>
      <c r="Z41" s="38">
        <f t="shared" ref="Z41:Z46" si="26">+Y41/$L$34</f>
        <v>5.8013052936910808E-2</v>
      </c>
      <c r="AA41" s="83">
        <v>1000000</v>
      </c>
      <c r="AB41" s="38">
        <f t="shared" ref="AB41:AB46" si="27">+AA41/$N$34</f>
        <v>0.1</v>
      </c>
      <c r="AC41" s="82">
        <v>3000000</v>
      </c>
      <c r="AD41" s="28">
        <f>+AC41/$Q$34</f>
        <v>0.03</v>
      </c>
      <c r="AE41" s="19"/>
    </row>
    <row r="42" spans="1:31" x14ac:dyDescent="0.35">
      <c r="A42" s="20"/>
      <c r="B42" s="20"/>
      <c r="C42" s="20"/>
      <c r="D42" s="20"/>
      <c r="E42" s="20"/>
      <c r="F42" s="20"/>
      <c r="G42" s="20"/>
      <c r="H42" s="5" t="s">
        <v>49</v>
      </c>
      <c r="I42" s="9" t="s">
        <v>60</v>
      </c>
      <c r="J42" s="31"/>
      <c r="K42" s="31"/>
      <c r="L42" s="86">
        <v>2000000</v>
      </c>
      <c r="M42" s="38">
        <f t="shared" si="22"/>
        <v>5.8013052936910808E-2</v>
      </c>
      <c r="N42" s="83">
        <v>500000</v>
      </c>
      <c r="O42" s="38">
        <f t="shared" si="23"/>
        <v>0.05</v>
      </c>
      <c r="P42" s="72">
        <f t="shared" ref="P42:P46" si="28">L42/N42</f>
        <v>4</v>
      </c>
      <c r="Q42" s="82">
        <v>750000</v>
      </c>
      <c r="R42" s="28">
        <f>+Q42/$Q$34</f>
        <v>7.4999999999999997E-3</v>
      </c>
      <c r="S42" s="86">
        <v>2000000</v>
      </c>
      <c r="T42" s="38">
        <f t="shared" si="24"/>
        <v>5.8013052936910808E-2</v>
      </c>
      <c r="U42" s="83">
        <v>500000</v>
      </c>
      <c r="V42" s="38">
        <f t="shared" si="25"/>
        <v>0.05</v>
      </c>
      <c r="W42" s="82">
        <v>750000</v>
      </c>
      <c r="X42" s="28">
        <f>+W42/$Q$34</f>
        <v>7.4999999999999997E-3</v>
      </c>
      <c r="Y42" s="86">
        <v>2000000</v>
      </c>
      <c r="Z42" s="38">
        <f t="shared" si="26"/>
        <v>5.8013052936910808E-2</v>
      </c>
      <c r="AA42" s="83">
        <v>500000</v>
      </c>
      <c r="AB42" s="38">
        <f t="shared" si="27"/>
        <v>0.05</v>
      </c>
      <c r="AC42" s="82">
        <v>750000</v>
      </c>
      <c r="AD42" s="28">
        <f>+AC42/$Q$34</f>
        <v>7.4999999999999997E-3</v>
      </c>
      <c r="AE42" s="19"/>
    </row>
    <row r="43" spans="1:31" ht="14.4" customHeight="1" x14ac:dyDescent="0.35">
      <c r="A43" s="20"/>
      <c r="B43" s="20"/>
      <c r="C43" s="20"/>
      <c r="D43" s="20"/>
      <c r="E43" s="20"/>
      <c r="F43" s="20"/>
      <c r="G43" s="20"/>
      <c r="H43" s="5" t="s">
        <v>49</v>
      </c>
      <c r="I43" s="9" t="s">
        <v>61</v>
      </c>
      <c r="J43" s="31"/>
      <c r="K43" s="31"/>
      <c r="L43" s="86">
        <v>2000000</v>
      </c>
      <c r="M43" s="38">
        <f t="shared" si="22"/>
        <v>5.8013052936910808E-2</v>
      </c>
      <c r="N43" s="83">
        <v>1500000</v>
      </c>
      <c r="O43" s="38">
        <f t="shared" si="23"/>
        <v>0.15</v>
      </c>
      <c r="P43" s="72">
        <f t="shared" si="28"/>
        <v>1.3333333333333333</v>
      </c>
      <c r="Q43" s="82">
        <v>2500000</v>
      </c>
      <c r="R43" s="28">
        <f>+Q43/$Q$34</f>
        <v>2.5000000000000001E-2</v>
      </c>
      <c r="S43" s="86">
        <v>2000000</v>
      </c>
      <c r="T43" s="38">
        <f t="shared" si="24"/>
        <v>5.8013052936910808E-2</v>
      </c>
      <c r="U43" s="83">
        <v>1500000</v>
      </c>
      <c r="V43" s="38">
        <f t="shared" si="25"/>
        <v>0.15</v>
      </c>
      <c r="W43" s="82">
        <v>2500000</v>
      </c>
      <c r="X43" s="28">
        <f>+W43/$Q$34</f>
        <v>2.5000000000000001E-2</v>
      </c>
      <c r="Y43" s="86">
        <v>2000000</v>
      </c>
      <c r="Z43" s="38">
        <f t="shared" si="26"/>
        <v>5.8013052936910808E-2</v>
      </c>
      <c r="AA43" s="83">
        <v>1500000</v>
      </c>
      <c r="AB43" s="38">
        <f t="shared" si="27"/>
        <v>0.15</v>
      </c>
      <c r="AC43" s="82">
        <v>2500000</v>
      </c>
      <c r="AD43" s="28">
        <f>+AC43/$Q$34</f>
        <v>2.5000000000000001E-2</v>
      </c>
      <c r="AE43" s="19"/>
    </row>
    <row r="44" spans="1:31" ht="14.4" customHeight="1" x14ac:dyDescent="0.35">
      <c r="A44" s="20"/>
      <c r="B44" s="20"/>
      <c r="C44" s="20"/>
      <c r="D44" s="20"/>
      <c r="E44" s="20"/>
      <c r="F44" s="20"/>
      <c r="G44" s="20"/>
      <c r="H44" s="5" t="s">
        <v>49</v>
      </c>
      <c r="I44" s="9" t="s">
        <v>61</v>
      </c>
      <c r="J44" s="31"/>
      <c r="K44" s="31"/>
      <c r="L44" s="86">
        <v>1000000</v>
      </c>
      <c r="M44" s="38">
        <f t="shared" si="22"/>
        <v>2.9006526468455404E-2</v>
      </c>
      <c r="N44" s="83">
        <v>750000</v>
      </c>
      <c r="O44" s="38">
        <f t="shared" si="23"/>
        <v>7.4999999999999997E-2</v>
      </c>
      <c r="P44" s="72">
        <f t="shared" si="28"/>
        <v>1.3333333333333333</v>
      </c>
      <c r="Q44" s="82">
        <v>5000000</v>
      </c>
      <c r="R44" s="28">
        <f>+Q44/$Q$34</f>
        <v>0.05</v>
      </c>
      <c r="S44" s="86">
        <v>1000000</v>
      </c>
      <c r="T44" s="38">
        <f t="shared" si="24"/>
        <v>2.9006526468455404E-2</v>
      </c>
      <c r="U44" s="83">
        <v>750000</v>
      </c>
      <c r="V44" s="38">
        <f t="shared" si="25"/>
        <v>7.4999999999999997E-2</v>
      </c>
      <c r="W44" s="82">
        <v>5000000</v>
      </c>
      <c r="X44" s="28">
        <f>+W44/$Q$34</f>
        <v>0.05</v>
      </c>
      <c r="Y44" s="86">
        <v>1000000</v>
      </c>
      <c r="Z44" s="38">
        <f t="shared" si="26"/>
        <v>2.9006526468455404E-2</v>
      </c>
      <c r="AA44" s="83">
        <v>750000</v>
      </c>
      <c r="AB44" s="38">
        <f t="shared" si="27"/>
        <v>7.4999999999999997E-2</v>
      </c>
      <c r="AC44" s="82">
        <v>5000000</v>
      </c>
      <c r="AD44" s="28">
        <f>+AC44/$Q$34</f>
        <v>0.05</v>
      </c>
      <c r="AE44" s="19"/>
    </row>
    <row r="45" spans="1:31" ht="14.4" customHeight="1" x14ac:dyDescent="0.35">
      <c r="A45" s="20"/>
      <c r="B45" s="20"/>
      <c r="C45" s="20"/>
      <c r="D45" s="20"/>
      <c r="E45" s="20"/>
      <c r="F45" s="20"/>
      <c r="G45" s="20"/>
      <c r="H45" s="5" t="s">
        <v>49</v>
      </c>
      <c r="I45" s="9" t="s">
        <v>61</v>
      </c>
      <c r="J45" s="31"/>
      <c r="K45" s="31"/>
      <c r="L45" s="86">
        <v>3000000</v>
      </c>
      <c r="M45" s="38">
        <f t="shared" si="22"/>
        <v>8.7019579405366212E-2</v>
      </c>
      <c r="N45" s="83">
        <v>700000</v>
      </c>
      <c r="O45" s="38">
        <f t="shared" si="23"/>
        <v>7.0000000000000007E-2</v>
      </c>
      <c r="P45" s="72">
        <f t="shared" si="28"/>
        <v>4.2857142857142856</v>
      </c>
      <c r="Q45" s="82">
        <v>250000</v>
      </c>
      <c r="R45" s="28">
        <f>+Q45/$Q$34</f>
        <v>2.5000000000000001E-3</v>
      </c>
      <c r="S45" s="86">
        <v>3000000</v>
      </c>
      <c r="T45" s="38">
        <f t="shared" si="24"/>
        <v>8.7019579405366212E-2</v>
      </c>
      <c r="U45" s="83">
        <v>700000</v>
      </c>
      <c r="V45" s="38">
        <f t="shared" si="25"/>
        <v>7.0000000000000007E-2</v>
      </c>
      <c r="W45" s="82">
        <v>250000</v>
      </c>
      <c r="X45" s="28">
        <f>+W45/$Q$34</f>
        <v>2.5000000000000001E-3</v>
      </c>
      <c r="Y45" s="86">
        <v>2500000</v>
      </c>
      <c r="Z45" s="38">
        <f t="shared" si="26"/>
        <v>7.2516316171138503E-2</v>
      </c>
      <c r="AA45" s="83">
        <v>700000</v>
      </c>
      <c r="AB45" s="38">
        <f t="shared" si="27"/>
        <v>7.0000000000000007E-2</v>
      </c>
      <c r="AC45" s="82">
        <v>250000</v>
      </c>
      <c r="AD45" s="28">
        <f>+AC45/$Q$34</f>
        <v>2.5000000000000001E-3</v>
      </c>
      <c r="AE45" s="19"/>
    </row>
    <row r="46" spans="1:31" s="48" customFormat="1" x14ac:dyDescent="0.35">
      <c r="A46" s="44"/>
      <c r="B46" s="44"/>
      <c r="C46" s="44"/>
      <c r="D46" s="44"/>
      <c r="E46" s="44"/>
      <c r="F46" s="44"/>
      <c r="G46" s="44"/>
      <c r="H46" s="6" t="s">
        <v>7</v>
      </c>
      <c r="I46" s="11"/>
      <c r="J46" s="32"/>
      <c r="K46" s="32"/>
      <c r="L46" s="87">
        <f>+L41+L42+L43+L44+L45</f>
        <v>10000000</v>
      </c>
      <c r="M46" s="45">
        <f t="shared" si="22"/>
        <v>0.29006526468455401</v>
      </c>
      <c r="N46" s="88">
        <f>SUM(N41:N45)</f>
        <v>4450000</v>
      </c>
      <c r="O46" s="45">
        <f t="shared" si="23"/>
        <v>0.44500000000000001</v>
      </c>
      <c r="P46" s="89">
        <f t="shared" si="28"/>
        <v>2.2471910112359552</v>
      </c>
      <c r="Q46" s="90">
        <f>+Q41+Q42+Q43+Q44+Q45</f>
        <v>11500000</v>
      </c>
      <c r="R46" s="46">
        <f t="shared" ref="R46:R53" si="29">+Q46/$Q$34</f>
        <v>0.115</v>
      </c>
      <c r="S46" s="87">
        <f>+S41+S42+S43+S44+S45</f>
        <v>10000000</v>
      </c>
      <c r="T46" s="45">
        <f t="shared" si="24"/>
        <v>0.29006526468455401</v>
      </c>
      <c r="U46" s="88">
        <f>SUM(U41:U45)</f>
        <v>4450000</v>
      </c>
      <c r="V46" s="45">
        <f t="shared" si="25"/>
        <v>0.44500000000000001</v>
      </c>
      <c r="W46" s="90">
        <f>+W41+W42+W43+W44+W45</f>
        <v>11500000</v>
      </c>
      <c r="X46" s="46">
        <f t="shared" ref="X46" si="30">+W46/$Q$34</f>
        <v>0.115</v>
      </c>
      <c r="Y46" s="87">
        <f>+Y41+Y42+Y43+Y44+Y45</f>
        <v>9500000</v>
      </c>
      <c r="Z46" s="45">
        <f t="shared" si="26"/>
        <v>0.27556200145032633</v>
      </c>
      <c r="AA46" s="88">
        <f>SUM(AA41:AA45)</f>
        <v>4450000</v>
      </c>
      <c r="AB46" s="45">
        <f t="shared" si="27"/>
        <v>0.44500000000000001</v>
      </c>
      <c r="AC46" s="90">
        <f>+AC41+AC42+AC43+AC44+AC45</f>
        <v>11500000</v>
      </c>
      <c r="AD46" s="46">
        <f t="shared" ref="AD46" si="31">+AC46/$Q$34</f>
        <v>0.115</v>
      </c>
      <c r="AE46" s="47"/>
    </row>
    <row r="47" spans="1:31" x14ac:dyDescent="0.35">
      <c r="A47" s="20"/>
      <c r="B47" s="20"/>
      <c r="C47" s="20"/>
      <c r="D47" s="20"/>
      <c r="E47" s="20"/>
      <c r="F47" s="20"/>
      <c r="G47" s="20"/>
      <c r="H47" s="56" t="s">
        <v>57</v>
      </c>
      <c r="I47" s="12"/>
      <c r="J47" s="33"/>
      <c r="K47" s="33"/>
      <c r="L47" s="91"/>
      <c r="M47" s="39"/>
      <c r="N47" s="92"/>
      <c r="O47" s="39"/>
      <c r="P47" s="67"/>
      <c r="Q47" s="93"/>
      <c r="R47" s="29"/>
      <c r="S47" s="91"/>
      <c r="T47" s="39"/>
      <c r="U47" s="92"/>
      <c r="V47" s="39"/>
      <c r="W47" s="93"/>
      <c r="X47" s="29"/>
      <c r="Y47" s="91"/>
      <c r="Z47" s="39"/>
      <c r="AA47" s="92"/>
      <c r="AB47" s="39"/>
      <c r="AC47" s="93"/>
      <c r="AD47" s="29"/>
      <c r="AE47" s="19"/>
    </row>
    <row r="48" spans="1:31" x14ac:dyDescent="0.35">
      <c r="A48" s="20"/>
      <c r="B48" s="20"/>
      <c r="C48" s="20"/>
      <c r="D48" s="20"/>
      <c r="E48" s="20"/>
      <c r="F48" s="20"/>
      <c r="G48" s="20"/>
      <c r="H48" s="7" t="s">
        <v>58</v>
      </c>
      <c r="I48" s="12" t="s">
        <v>62</v>
      </c>
      <c r="J48" s="33"/>
      <c r="K48" s="33"/>
      <c r="L48" s="91">
        <v>1000000</v>
      </c>
      <c r="M48" s="39">
        <f t="shared" si="22"/>
        <v>2.9006526468455404E-2</v>
      </c>
      <c r="N48" s="92">
        <v>250000</v>
      </c>
      <c r="O48" s="39">
        <f t="shared" ref="O48:O53" si="32">+N48/$N$34</f>
        <v>2.5000000000000001E-2</v>
      </c>
      <c r="P48" s="97">
        <f>L48/N48</f>
        <v>4</v>
      </c>
      <c r="Q48" s="93">
        <v>1750000</v>
      </c>
      <c r="R48" s="29">
        <f t="shared" si="29"/>
        <v>1.7500000000000002E-2</v>
      </c>
      <c r="S48" s="91">
        <v>1000000</v>
      </c>
      <c r="T48" s="39">
        <f t="shared" ref="T48:T53" si="33">+S48/$L$34</f>
        <v>2.9006526468455404E-2</v>
      </c>
      <c r="U48" s="92">
        <v>250000</v>
      </c>
      <c r="V48" s="39">
        <f t="shared" ref="V48:V53" si="34">+U48/$N$34</f>
        <v>2.5000000000000001E-2</v>
      </c>
      <c r="W48" s="93">
        <v>1750000</v>
      </c>
      <c r="X48" s="29">
        <f t="shared" ref="X48:X53" si="35">+W48/$Q$34</f>
        <v>1.7500000000000002E-2</v>
      </c>
      <c r="Y48" s="91">
        <v>1000000</v>
      </c>
      <c r="Z48" s="39">
        <f t="shared" ref="Z48:Z53" si="36">+Y48/$L$34</f>
        <v>2.9006526468455404E-2</v>
      </c>
      <c r="AA48" s="92">
        <v>250000</v>
      </c>
      <c r="AB48" s="39">
        <f t="shared" ref="AB48:AB53" si="37">+AA48/$N$34</f>
        <v>2.5000000000000001E-2</v>
      </c>
      <c r="AC48" s="93">
        <v>1750000</v>
      </c>
      <c r="AD48" s="29">
        <f t="shared" ref="AD48:AD53" si="38">+AC48/$Q$34</f>
        <v>1.7500000000000002E-2</v>
      </c>
      <c r="AE48" s="19"/>
    </row>
    <row r="49" spans="1:31" x14ac:dyDescent="0.35">
      <c r="A49" s="20"/>
      <c r="B49" s="20"/>
      <c r="C49" s="20"/>
      <c r="D49" s="20"/>
      <c r="E49" s="20"/>
      <c r="F49" s="20"/>
      <c r="G49" s="20"/>
      <c r="H49" s="7" t="s">
        <v>58</v>
      </c>
      <c r="I49" s="12" t="s">
        <v>63</v>
      </c>
      <c r="J49" s="33"/>
      <c r="K49" s="33"/>
      <c r="L49" s="91">
        <v>2000000</v>
      </c>
      <c r="M49" s="39">
        <f t="shared" si="22"/>
        <v>5.8013052936910808E-2</v>
      </c>
      <c r="N49" s="92">
        <v>380000</v>
      </c>
      <c r="O49" s="39">
        <f t="shared" si="32"/>
        <v>3.7999999999999999E-2</v>
      </c>
      <c r="P49" s="97">
        <f t="shared" ref="P49:P53" si="39">L49/N49</f>
        <v>5.2631578947368425</v>
      </c>
      <c r="Q49" s="93">
        <v>1500000</v>
      </c>
      <c r="R49" s="29">
        <f t="shared" si="29"/>
        <v>1.4999999999999999E-2</v>
      </c>
      <c r="S49" s="91">
        <v>2000000</v>
      </c>
      <c r="T49" s="39">
        <f t="shared" si="33"/>
        <v>5.8013052936910808E-2</v>
      </c>
      <c r="U49" s="92">
        <v>380000</v>
      </c>
      <c r="V49" s="39">
        <f t="shared" si="34"/>
        <v>3.7999999999999999E-2</v>
      </c>
      <c r="W49" s="93">
        <v>1500000</v>
      </c>
      <c r="X49" s="29">
        <f t="shared" si="35"/>
        <v>1.4999999999999999E-2</v>
      </c>
      <c r="Y49" s="91">
        <v>2000000</v>
      </c>
      <c r="Z49" s="39">
        <f t="shared" si="36"/>
        <v>5.8013052936910808E-2</v>
      </c>
      <c r="AA49" s="92">
        <v>380000</v>
      </c>
      <c r="AB49" s="39">
        <f t="shared" si="37"/>
        <v>3.7999999999999999E-2</v>
      </c>
      <c r="AC49" s="93">
        <v>1500000</v>
      </c>
      <c r="AD49" s="29">
        <f t="shared" si="38"/>
        <v>1.4999999999999999E-2</v>
      </c>
      <c r="AE49" s="19"/>
    </row>
    <row r="50" spans="1:31" x14ac:dyDescent="0.35">
      <c r="A50" s="20"/>
      <c r="B50" s="20"/>
      <c r="C50" s="20"/>
      <c r="D50" s="20"/>
      <c r="E50" s="20"/>
      <c r="F50" s="20"/>
      <c r="G50" s="20"/>
      <c r="H50" s="7" t="s">
        <v>58</v>
      </c>
      <c r="I50" s="12" t="s">
        <v>64</v>
      </c>
      <c r="J50" s="33"/>
      <c r="K50" s="33"/>
      <c r="L50" s="91">
        <v>7000000</v>
      </c>
      <c r="M50" s="39">
        <f t="shared" si="22"/>
        <v>0.20304568527918782</v>
      </c>
      <c r="N50" s="92">
        <v>3500000</v>
      </c>
      <c r="O50" s="39">
        <f t="shared" si="32"/>
        <v>0.35</v>
      </c>
      <c r="P50" s="97">
        <f t="shared" si="39"/>
        <v>2</v>
      </c>
      <c r="Q50" s="93">
        <v>10000000</v>
      </c>
      <c r="R50" s="29">
        <f t="shared" si="29"/>
        <v>0.1</v>
      </c>
      <c r="S50" s="91">
        <v>7000000</v>
      </c>
      <c r="T50" s="39">
        <f t="shared" si="33"/>
        <v>0.20304568527918782</v>
      </c>
      <c r="U50" s="92">
        <v>3500000</v>
      </c>
      <c r="V50" s="39">
        <f t="shared" si="34"/>
        <v>0.35</v>
      </c>
      <c r="W50" s="93">
        <v>10000000</v>
      </c>
      <c r="X50" s="29">
        <f t="shared" si="35"/>
        <v>0.1</v>
      </c>
      <c r="Y50" s="91">
        <v>7000000</v>
      </c>
      <c r="Z50" s="39">
        <f t="shared" si="36"/>
        <v>0.20304568527918782</v>
      </c>
      <c r="AA50" s="92">
        <v>3500000</v>
      </c>
      <c r="AB50" s="39">
        <f t="shared" si="37"/>
        <v>0.35</v>
      </c>
      <c r="AC50" s="93">
        <v>10000000</v>
      </c>
      <c r="AD50" s="29">
        <f t="shared" si="38"/>
        <v>0.1</v>
      </c>
      <c r="AE50" s="19"/>
    </row>
    <row r="51" spans="1:31" x14ac:dyDescent="0.35">
      <c r="A51" s="20"/>
      <c r="B51" s="20"/>
      <c r="C51" s="20"/>
      <c r="D51" s="20"/>
      <c r="E51" s="20"/>
      <c r="F51" s="20"/>
      <c r="G51" s="20"/>
      <c r="H51" s="7" t="s">
        <v>58</v>
      </c>
      <c r="I51" s="12" t="s">
        <v>65</v>
      </c>
      <c r="J51" s="33"/>
      <c r="K51" s="33"/>
      <c r="L51" s="91">
        <v>3275000</v>
      </c>
      <c r="M51" s="39">
        <f t="shared" si="22"/>
        <v>9.4996374184191448E-2</v>
      </c>
      <c r="N51" s="92">
        <v>325000</v>
      </c>
      <c r="O51" s="39">
        <f t="shared" si="32"/>
        <v>3.2500000000000001E-2</v>
      </c>
      <c r="P51" s="97">
        <f t="shared" si="39"/>
        <v>10.076923076923077</v>
      </c>
      <c r="Q51" s="93">
        <v>650000</v>
      </c>
      <c r="R51" s="29">
        <f t="shared" si="29"/>
        <v>6.4999999999999997E-3</v>
      </c>
      <c r="S51" s="91">
        <v>3275000</v>
      </c>
      <c r="T51" s="39">
        <f t="shared" si="33"/>
        <v>9.4996374184191448E-2</v>
      </c>
      <c r="U51" s="92">
        <v>325000</v>
      </c>
      <c r="V51" s="39">
        <f t="shared" si="34"/>
        <v>3.2500000000000001E-2</v>
      </c>
      <c r="W51" s="93">
        <v>650000</v>
      </c>
      <c r="X51" s="29">
        <f t="shared" si="35"/>
        <v>6.4999999999999997E-3</v>
      </c>
      <c r="Y51" s="91">
        <v>2775000</v>
      </c>
      <c r="Z51" s="39">
        <f t="shared" si="36"/>
        <v>8.0493110949963739E-2</v>
      </c>
      <c r="AA51" s="92">
        <v>325000</v>
      </c>
      <c r="AB51" s="39">
        <f t="shared" si="37"/>
        <v>3.2500000000000001E-2</v>
      </c>
      <c r="AC51" s="93">
        <v>650000</v>
      </c>
      <c r="AD51" s="29">
        <f t="shared" si="38"/>
        <v>6.4999999999999997E-3</v>
      </c>
      <c r="AE51" s="19"/>
    </row>
    <row r="52" spans="1:31" ht="15" thickBot="1" x14ac:dyDescent="0.4">
      <c r="A52" s="20"/>
      <c r="B52" s="20"/>
      <c r="C52" s="20"/>
      <c r="D52" s="20"/>
      <c r="E52" s="20"/>
      <c r="F52" s="20"/>
      <c r="G52" s="20"/>
      <c r="H52" s="114" t="s">
        <v>58</v>
      </c>
      <c r="I52" s="12" t="s">
        <v>66</v>
      </c>
      <c r="J52" s="115"/>
      <c r="K52" s="115"/>
      <c r="L52" s="116">
        <v>2000000</v>
      </c>
      <c r="M52" s="117">
        <f t="shared" si="22"/>
        <v>5.8013052936910808E-2</v>
      </c>
      <c r="N52" s="118">
        <v>1000000</v>
      </c>
      <c r="O52" s="117">
        <f t="shared" si="32"/>
        <v>0.1</v>
      </c>
      <c r="P52" s="99">
        <f t="shared" si="39"/>
        <v>2</v>
      </c>
      <c r="Q52" s="119">
        <v>5000000</v>
      </c>
      <c r="R52" s="120">
        <f t="shared" si="29"/>
        <v>0.05</v>
      </c>
      <c r="S52" s="116">
        <v>2000000</v>
      </c>
      <c r="T52" s="117">
        <f t="shared" si="33"/>
        <v>5.8013052936910808E-2</v>
      </c>
      <c r="U52" s="118">
        <v>1000000</v>
      </c>
      <c r="V52" s="117">
        <f t="shared" si="34"/>
        <v>0.1</v>
      </c>
      <c r="W52" s="119">
        <v>5000000</v>
      </c>
      <c r="X52" s="120">
        <f t="shared" si="35"/>
        <v>0.05</v>
      </c>
      <c r="Y52" s="134">
        <v>2000000</v>
      </c>
      <c r="Z52" s="135">
        <f t="shared" si="36"/>
        <v>5.8013052936910808E-2</v>
      </c>
      <c r="AA52" s="136">
        <v>1000000</v>
      </c>
      <c r="AB52" s="135">
        <f t="shared" si="37"/>
        <v>0.1</v>
      </c>
      <c r="AC52" s="137">
        <v>5000000</v>
      </c>
      <c r="AD52" s="138">
        <f t="shared" si="38"/>
        <v>0.05</v>
      </c>
      <c r="AE52" s="19"/>
    </row>
    <row r="53" spans="1:31" s="48" customFormat="1" ht="15" thickBot="1" x14ac:dyDescent="0.4">
      <c r="A53" s="107"/>
      <c r="B53" s="107"/>
      <c r="C53" s="107"/>
      <c r="D53" s="107"/>
      <c r="E53" s="107"/>
      <c r="F53" s="107"/>
      <c r="G53" s="113"/>
      <c r="H53" s="127" t="s">
        <v>8</v>
      </c>
      <c r="I53" s="128"/>
      <c r="J53" s="129"/>
      <c r="K53" s="129"/>
      <c r="L53" s="94">
        <f>+L47+L48+L49+L50+L51+L52</f>
        <v>15275000</v>
      </c>
      <c r="M53" s="49">
        <f t="shared" si="22"/>
        <v>0.44307469180565628</v>
      </c>
      <c r="N53" s="95">
        <f>+N47+N48+N49+N50+N51+N52</f>
        <v>5455000</v>
      </c>
      <c r="O53" s="98">
        <f t="shared" si="32"/>
        <v>0.54549999999999998</v>
      </c>
      <c r="P53" s="100">
        <f t="shared" si="39"/>
        <v>2.8001833180568285</v>
      </c>
      <c r="Q53" s="96">
        <f>+Q47+Q48+Q49+Q50+Q51+Q52</f>
        <v>18900000</v>
      </c>
      <c r="R53" s="50">
        <f t="shared" si="29"/>
        <v>0.189</v>
      </c>
      <c r="S53" s="94">
        <f>+S47+S48+S49+S50+S51+S52</f>
        <v>15275000</v>
      </c>
      <c r="T53" s="49">
        <f t="shared" si="33"/>
        <v>0.44307469180565628</v>
      </c>
      <c r="U53" s="95">
        <f>+U47+U48+U49+U50+U51+U52</f>
        <v>5455000</v>
      </c>
      <c r="V53" s="98">
        <f t="shared" si="34"/>
        <v>0.54549999999999998</v>
      </c>
      <c r="W53" s="96">
        <f>+W47+W48+W49+W50+W51+W52</f>
        <v>18900000</v>
      </c>
      <c r="X53" s="50">
        <f t="shared" si="35"/>
        <v>0.189</v>
      </c>
      <c r="Y53" s="94">
        <f>+Y47+Y48+Y49+Y50+Y51+Y52</f>
        <v>14775000</v>
      </c>
      <c r="Z53" s="49">
        <f t="shared" si="36"/>
        <v>0.42857142857142855</v>
      </c>
      <c r="AA53" s="95">
        <f>+AA47+AA48+AA49+AA50+AA51+AA52</f>
        <v>5455000</v>
      </c>
      <c r="AB53" s="49">
        <f t="shared" si="37"/>
        <v>0.54549999999999998</v>
      </c>
      <c r="AC53" s="96">
        <f>+AC47+AC48+AC49+AC50+AC51+AC52</f>
        <v>18900000</v>
      </c>
      <c r="AD53" s="50">
        <f t="shared" si="38"/>
        <v>0.189</v>
      </c>
      <c r="AE53" s="108"/>
    </row>
    <row r="54" spans="1:31" s="105" customFormat="1" x14ac:dyDescent="0.35">
      <c r="A54" s="106"/>
      <c r="L54" s="131"/>
      <c r="M54" s="124"/>
      <c r="N54" s="125"/>
      <c r="O54" s="124"/>
      <c r="P54" s="126"/>
      <c r="Q54" s="125"/>
      <c r="R54" s="124"/>
      <c r="S54" s="123"/>
      <c r="T54" s="124"/>
      <c r="U54" s="125"/>
      <c r="V54" s="124"/>
      <c r="W54" s="125"/>
      <c r="X54" s="124"/>
      <c r="Y54" s="123"/>
      <c r="Z54" s="124"/>
      <c r="AA54" s="125"/>
      <c r="AB54" s="124"/>
      <c r="AC54" s="125"/>
      <c r="AD54" s="124"/>
    </row>
    <row r="55" spans="1:31" s="105" customFormat="1" x14ac:dyDescent="0.35">
      <c r="A55" s="106"/>
      <c r="H55" s="121"/>
      <c r="I55" s="122"/>
      <c r="J55" s="122"/>
      <c r="K55" s="122"/>
      <c r="L55" s="109"/>
      <c r="M55" s="110"/>
      <c r="N55" s="111"/>
      <c r="O55" s="110"/>
      <c r="P55" s="112"/>
      <c r="Q55" s="111"/>
      <c r="R55" s="110"/>
      <c r="S55" s="109"/>
      <c r="T55" s="110"/>
      <c r="U55" s="111"/>
      <c r="V55" s="110"/>
      <c r="W55" s="111"/>
      <c r="X55" s="110"/>
      <c r="Y55" s="109"/>
      <c r="Z55" s="110"/>
      <c r="AA55" s="111"/>
      <c r="AB55" s="110"/>
      <c r="AC55" s="111"/>
      <c r="AD55" s="110"/>
    </row>
    <row r="56" spans="1:31" x14ac:dyDescent="0.35">
      <c r="A56" s="27"/>
      <c r="B56" s="27"/>
      <c r="C56" s="27"/>
      <c r="D56" s="27"/>
      <c r="E56" s="27"/>
      <c r="F56" s="27"/>
      <c r="G56" s="27"/>
      <c r="H56" s="27" t="s">
        <v>31</v>
      </c>
      <c r="I56" s="27"/>
      <c r="J56" s="27"/>
      <c r="K56" s="27"/>
      <c r="L56" s="27"/>
      <c r="O56" s="36" t="s">
        <v>30</v>
      </c>
      <c r="P56" s="37" t="s">
        <v>29</v>
      </c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</row>
    <row r="57" spans="1:31" x14ac:dyDescent="0.35">
      <c r="A57" s="20"/>
      <c r="B57" s="20"/>
      <c r="C57" s="20"/>
      <c r="D57" s="20"/>
      <c r="E57" s="20"/>
      <c r="F57" s="20"/>
      <c r="G57" s="21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43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20"/>
    </row>
    <row r="58" spans="1:31" x14ac:dyDescent="0.35">
      <c r="A58" s="20"/>
      <c r="B58" s="20"/>
      <c r="C58" s="20"/>
      <c r="D58" s="20"/>
      <c r="E58" s="20"/>
      <c r="F58" s="20"/>
      <c r="G58" s="21"/>
      <c r="H58" s="189" t="s">
        <v>21</v>
      </c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20"/>
    </row>
    <row r="59" spans="1:31" ht="14.4" customHeight="1" x14ac:dyDescent="0.35">
      <c r="A59" s="20"/>
      <c r="B59" s="20"/>
      <c r="C59" s="20"/>
      <c r="D59" s="20"/>
      <c r="E59" s="20"/>
      <c r="F59" s="20"/>
      <c r="G59" s="21"/>
      <c r="H59" s="35" t="s">
        <v>52</v>
      </c>
      <c r="I59" s="190" t="s">
        <v>22</v>
      </c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20"/>
    </row>
    <row r="60" spans="1:31" x14ac:dyDescent="0.35">
      <c r="A60" s="20"/>
      <c r="B60" s="20"/>
      <c r="C60" s="20"/>
      <c r="D60" s="20"/>
      <c r="E60" s="20"/>
      <c r="F60" s="20"/>
      <c r="G60" s="21"/>
      <c r="H60" s="35" t="s">
        <v>53</v>
      </c>
      <c r="I60" s="169" t="s">
        <v>23</v>
      </c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20"/>
    </row>
    <row r="61" spans="1:31" ht="14.4" customHeight="1" x14ac:dyDescent="0.35">
      <c r="A61" s="20"/>
      <c r="B61" s="20"/>
      <c r="C61" s="20"/>
      <c r="D61" s="20"/>
      <c r="E61" s="20"/>
      <c r="F61" s="20"/>
      <c r="G61" s="21"/>
      <c r="H61" s="35" t="s">
        <v>54</v>
      </c>
      <c r="I61" s="169" t="s">
        <v>24</v>
      </c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20"/>
    </row>
    <row r="62" spans="1:31" x14ac:dyDescent="0.35">
      <c r="A62" s="20"/>
      <c r="B62" s="20"/>
      <c r="C62" s="20"/>
      <c r="D62" s="20"/>
      <c r="E62" s="20"/>
      <c r="F62" s="20"/>
      <c r="G62" s="21"/>
      <c r="H62" s="10" t="s">
        <v>59</v>
      </c>
      <c r="I62" s="169" t="s">
        <v>23</v>
      </c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20"/>
    </row>
    <row r="63" spans="1:31" ht="14.4" customHeight="1" x14ac:dyDescent="0.35">
      <c r="A63" s="20"/>
      <c r="B63" s="20"/>
      <c r="C63" s="20"/>
      <c r="D63" s="20"/>
      <c r="E63" s="20"/>
      <c r="F63" s="20"/>
      <c r="G63" s="21"/>
      <c r="H63" s="10" t="s">
        <v>60</v>
      </c>
      <c r="I63" s="169" t="s">
        <v>23</v>
      </c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20"/>
    </row>
    <row r="64" spans="1:31" x14ac:dyDescent="0.35">
      <c r="A64" s="20"/>
      <c r="B64" s="20"/>
      <c r="C64" s="20"/>
      <c r="D64" s="20"/>
      <c r="E64" s="20"/>
      <c r="F64" s="20"/>
      <c r="G64" s="21"/>
      <c r="H64" s="10" t="s">
        <v>61</v>
      </c>
      <c r="I64" s="169" t="s">
        <v>23</v>
      </c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20"/>
    </row>
    <row r="65" spans="1:32" x14ac:dyDescent="0.35">
      <c r="A65" s="20"/>
      <c r="B65" s="20"/>
      <c r="C65" s="20"/>
      <c r="D65" s="20"/>
      <c r="E65" s="20"/>
      <c r="F65" s="20"/>
      <c r="G65" s="20"/>
      <c r="H65" s="10" t="s">
        <v>62</v>
      </c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20"/>
    </row>
    <row r="66" spans="1:32" x14ac:dyDescent="0.35">
      <c r="A66" s="20"/>
      <c r="B66" s="20"/>
      <c r="C66" s="20"/>
      <c r="D66" s="20"/>
      <c r="E66" s="20"/>
      <c r="F66" s="20"/>
      <c r="G66" s="20"/>
      <c r="H66" s="10" t="s">
        <v>63</v>
      </c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20"/>
    </row>
    <row r="67" spans="1:32" x14ac:dyDescent="0.35">
      <c r="A67" s="20"/>
      <c r="B67" s="20"/>
      <c r="C67" s="20"/>
      <c r="D67" s="20"/>
      <c r="E67" s="20"/>
      <c r="F67" s="20"/>
      <c r="G67" s="20"/>
      <c r="H67" s="10" t="s">
        <v>64</v>
      </c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20"/>
    </row>
    <row r="68" spans="1:32" x14ac:dyDescent="0.35">
      <c r="A68" s="20"/>
      <c r="B68" s="20"/>
      <c r="C68" s="20"/>
      <c r="D68" s="20"/>
      <c r="E68" s="20"/>
      <c r="F68" s="20"/>
      <c r="G68" s="20"/>
      <c r="H68" s="10" t="s">
        <v>65</v>
      </c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20"/>
    </row>
    <row r="69" spans="1:32" x14ac:dyDescent="0.35">
      <c r="A69" s="20"/>
      <c r="B69" s="20"/>
      <c r="C69" s="20"/>
      <c r="D69" s="20"/>
      <c r="E69" s="20"/>
      <c r="F69" s="20"/>
      <c r="G69" s="20"/>
      <c r="H69" s="20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0"/>
      <c r="AF69" s="20"/>
    </row>
    <row r="70" spans="1:32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spans="1:32" x14ac:dyDescent="0.35">
      <c r="A71" s="20"/>
      <c r="B71" s="20"/>
      <c r="C71" s="20"/>
      <c r="D71" s="20"/>
      <c r="E71" s="20"/>
      <c r="F71" s="20"/>
      <c r="G71" s="20"/>
      <c r="H71" s="20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0"/>
      <c r="AF71" s="20"/>
    </row>
    <row r="72" spans="1:32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spans="1:32" x14ac:dyDescent="0.35">
      <c r="A73" s="20"/>
      <c r="B73" s="20"/>
      <c r="C73" s="20"/>
      <c r="D73" s="20"/>
      <c r="E73" s="20"/>
      <c r="F73" s="20"/>
      <c r="G73" s="20"/>
      <c r="H73" s="20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0"/>
    </row>
    <row r="74" spans="1:32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2" x14ac:dyDescent="0.35">
      <c r="A75" s="20"/>
      <c r="B75" s="20"/>
      <c r="C75" s="20"/>
      <c r="D75" s="20"/>
      <c r="E75" s="20"/>
      <c r="F75" s="20"/>
      <c r="G75" s="20"/>
      <c r="H75" s="20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0"/>
    </row>
    <row r="76" spans="1:32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2" x14ac:dyDescent="0.35">
      <c r="A77" s="20"/>
      <c r="B77" s="20"/>
      <c r="C77" s="20"/>
      <c r="D77" s="20"/>
      <c r="E77" s="20"/>
      <c r="F77" s="20"/>
      <c r="G77" s="20"/>
      <c r="H77" s="20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0"/>
    </row>
    <row r="78" spans="1:32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2" x14ac:dyDescent="0.35">
      <c r="A79" s="20"/>
      <c r="B79" s="20"/>
      <c r="C79" s="20"/>
      <c r="D79" s="20"/>
      <c r="E79" s="20"/>
      <c r="F79" s="20"/>
      <c r="G79" s="20"/>
      <c r="H79" s="20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0"/>
    </row>
    <row r="80" spans="1:32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x14ac:dyDescent="0.35">
      <c r="A81" s="20"/>
      <c r="B81" s="20"/>
      <c r="C81" s="20"/>
      <c r="D81" s="20"/>
      <c r="E81" s="20"/>
      <c r="F81" s="20"/>
      <c r="G81" s="20"/>
      <c r="H81" s="20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0"/>
    </row>
    <row r="82" spans="1:3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x14ac:dyDescent="0.35">
      <c r="A83" s="20"/>
      <c r="B83" s="20"/>
      <c r="C83" s="20"/>
      <c r="D83" s="20"/>
      <c r="E83" s="20"/>
      <c r="F83" s="20"/>
      <c r="G83" s="20"/>
      <c r="H83" s="20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0"/>
    </row>
    <row r="84" spans="1:3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x14ac:dyDescent="0.35">
      <c r="A85" s="20"/>
      <c r="B85" s="20"/>
      <c r="C85" s="20"/>
      <c r="D85" s="20"/>
      <c r="E85" s="20"/>
      <c r="F85" s="20"/>
      <c r="G85" s="20"/>
      <c r="H85" s="20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0"/>
    </row>
    <row r="86" spans="1:3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x14ac:dyDescent="0.35">
      <c r="A87" s="20"/>
      <c r="B87" s="20"/>
      <c r="C87" s="20"/>
      <c r="D87" s="20"/>
      <c r="E87" s="20"/>
      <c r="F87" s="20"/>
      <c r="G87" s="20"/>
      <c r="H87" s="20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0"/>
    </row>
    <row r="88" spans="1:3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x14ac:dyDescent="0.35">
      <c r="A89" s="20"/>
      <c r="B89" s="20"/>
      <c r="C89" s="20"/>
      <c r="D89" s="20"/>
      <c r="E89" s="20"/>
      <c r="F89" s="20"/>
      <c r="G89" s="20"/>
      <c r="H89" s="20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0"/>
    </row>
    <row r="90" spans="1:3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x14ac:dyDescent="0.35">
      <c r="A91" s="20"/>
      <c r="B91" s="20"/>
      <c r="C91" s="20"/>
      <c r="D91" s="20"/>
      <c r="E91" s="20"/>
      <c r="F91" s="20"/>
      <c r="G91" s="20"/>
      <c r="H91" s="20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0"/>
    </row>
    <row r="92" spans="1:3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x14ac:dyDescent="0.35">
      <c r="H93" s="2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0"/>
    </row>
    <row r="94" spans="1:31" x14ac:dyDescent="0.35"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x14ac:dyDescent="0.35">
      <c r="H95" s="20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0"/>
    </row>
    <row r="96" spans="1:31" x14ac:dyDescent="0.35"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8:31" x14ac:dyDescent="0.35">
      <c r="H97" s="20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0"/>
    </row>
    <row r="98" spans="8:31" x14ac:dyDescent="0.35"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8:31" x14ac:dyDescent="0.35">
      <c r="H99" s="20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0"/>
    </row>
    <row r="100" spans="8:31" x14ac:dyDescent="0.35"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8:31" x14ac:dyDescent="0.35">
      <c r="H101" s="20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0"/>
    </row>
    <row r="102" spans="8:31" x14ac:dyDescent="0.35"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8:31" x14ac:dyDescent="0.35">
      <c r="H103" s="20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0"/>
    </row>
    <row r="104" spans="8:31" x14ac:dyDescent="0.35"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8:31" x14ac:dyDescent="0.35">
      <c r="H105" s="20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0"/>
    </row>
    <row r="106" spans="8:31" x14ac:dyDescent="0.35"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8:31" x14ac:dyDescent="0.35">
      <c r="H107" s="20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0"/>
    </row>
    <row r="108" spans="8:31" x14ac:dyDescent="0.35"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8:31" x14ac:dyDescent="0.35">
      <c r="H109" s="20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0"/>
    </row>
    <row r="110" spans="8:31" x14ac:dyDescent="0.35"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8:31" x14ac:dyDescent="0.35">
      <c r="H111" s="20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0"/>
    </row>
    <row r="112" spans="8:31" x14ac:dyDescent="0.35"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8:31" x14ac:dyDescent="0.35">
      <c r="H113" s="20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0"/>
    </row>
    <row r="114" spans="8:31" x14ac:dyDescent="0.35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8:31" x14ac:dyDescent="0.35">
      <c r="H115" s="20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0"/>
    </row>
    <row r="116" spans="8:31" x14ac:dyDescent="0.35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8:31" x14ac:dyDescent="0.35">
      <c r="H117" s="20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0"/>
    </row>
    <row r="118" spans="8:31" x14ac:dyDescent="0.35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8:31" x14ac:dyDescent="0.35">
      <c r="H119" s="20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0"/>
    </row>
    <row r="120" spans="8:31" x14ac:dyDescent="0.35"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8:31" x14ac:dyDescent="0.35">
      <c r="H121" s="20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0"/>
    </row>
    <row r="122" spans="8:31" x14ac:dyDescent="0.35"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8:31" x14ac:dyDescent="0.35">
      <c r="H123" s="20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0"/>
    </row>
    <row r="124" spans="8:31" x14ac:dyDescent="0.35"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8:31" x14ac:dyDescent="0.35">
      <c r="H125" s="20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0"/>
    </row>
    <row r="126" spans="8:31" x14ac:dyDescent="0.35"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8:31" x14ac:dyDescent="0.35">
      <c r="H127" s="20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0"/>
    </row>
    <row r="128" spans="8:31" x14ac:dyDescent="0.35"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8:31" x14ac:dyDescent="0.35">
      <c r="H129" s="20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0"/>
    </row>
    <row r="130" spans="8:31" x14ac:dyDescent="0.35"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8:31" x14ac:dyDescent="0.35">
      <c r="H131" s="20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0"/>
    </row>
    <row r="132" spans="8:31" x14ac:dyDescent="0.35"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8:31" x14ac:dyDescent="0.35">
      <c r="H133" s="20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0"/>
    </row>
    <row r="134" spans="8:31" x14ac:dyDescent="0.35"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8:31" x14ac:dyDescent="0.35">
      <c r="H135" s="2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0"/>
    </row>
    <row r="136" spans="8:31" x14ac:dyDescent="0.35"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8:31" x14ac:dyDescent="0.35">
      <c r="H137" s="20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0"/>
    </row>
    <row r="138" spans="8:31" x14ac:dyDescent="0.35"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8:31" x14ac:dyDescent="0.35">
      <c r="H139" s="20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0"/>
    </row>
    <row r="140" spans="8:31" x14ac:dyDescent="0.35"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8:31" x14ac:dyDescent="0.35">
      <c r="H141" s="20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0"/>
    </row>
  </sheetData>
  <mergeCells count="63">
    <mergeCell ref="A25:B25"/>
    <mergeCell ref="I68:AD68"/>
    <mergeCell ref="A8:B8"/>
    <mergeCell ref="A3:B3"/>
    <mergeCell ref="I65:AD65"/>
    <mergeCell ref="I66:AD66"/>
    <mergeCell ref="I67:AD67"/>
    <mergeCell ref="H58:AD58"/>
    <mergeCell ref="I59:AD59"/>
    <mergeCell ref="I60:AD60"/>
    <mergeCell ref="I61:AD61"/>
    <mergeCell ref="I62:AD62"/>
    <mergeCell ref="I64:AD64"/>
    <mergeCell ref="AC34:AD34"/>
    <mergeCell ref="Y32:AD32"/>
    <mergeCell ref="AC33:AD33"/>
    <mergeCell ref="A2:F2"/>
    <mergeCell ref="A22:B22"/>
    <mergeCell ref="A24:B24"/>
    <mergeCell ref="A15:B15"/>
    <mergeCell ref="A16:B16"/>
    <mergeCell ref="A18:B18"/>
    <mergeCell ref="A4:B4"/>
    <mergeCell ref="A5:B5"/>
    <mergeCell ref="A6:B6"/>
    <mergeCell ref="A7:B7"/>
    <mergeCell ref="A9:B9"/>
    <mergeCell ref="A17:B17"/>
    <mergeCell ref="A12:F12"/>
    <mergeCell ref="A19:B19"/>
    <mergeCell ref="A20:B20"/>
    <mergeCell ref="A21:B21"/>
    <mergeCell ref="Y33:Z33"/>
    <mergeCell ref="AA33:AB33"/>
    <mergeCell ref="S34:T34"/>
    <mergeCell ref="S33:T33"/>
    <mergeCell ref="Y34:Z34"/>
    <mergeCell ref="U33:V33"/>
    <mergeCell ref="U34:V34"/>
    <mergeCell ref="L40:M40"/>
    <mergeCell ref="L35:M35"/>
    <mergeCell ref="N35:O35"/>
    <mergeCell ref="I63:AD63"/>
    <mergeCell ref="Q34:R34"/>
    <mergeCell ref="W34:X34"/>
    <mergeCell ref="N34:O34"/>
    <mergeCell ref="L34:M34"/>
    <mergeCell ref="S40:T40"/>
    <mergeCell ref="Y35:Z35"/>
    <mergeCell ref="AA35:AB35"/>
    <mergeCell ref="Y40:Z40"/>
    <mergeCell ref="AA34:AB34"/>
    <mergeCell ref="S35:T35"/>
    <mergeCell ref="U35:V35"/>
    <mergeCell ref="N27:Q27"/>
    <mergeCell ref="N28:Q28"/>
    <mergeCell ref="N29:Q29"/>
    <mergeCell ref="L32:R32"/>
    <mergeCell ref="W33:X33"/>
    <mergeCell ref="S32:X32"/>
    <mergeCell ref="Q33:R33"/>
    <mergeCell ref="L33:M33"/>
    <mergeCell ref="N33:O33"/>
  </mergeCells>
  <pageMargins left="0.7" right="0.7" top="0.75" bottom="0.75" header="0.3" footer="0.3"/>
  <pageSetup scale="66" orientation="portrait" r:id="rId1"/>
  <rowBreaks count="1" manualBreakCount="1">
    <brk id="29" max="16383" man="1"/>
  </rowBreaks>
  <colBreaks count="2" manualBreakCount="2">
    <brk id="7" max="1048575" man="1"/>
    <brk id="30" max="1048575" man="1"/>
  </colBreaks>
  <ignoredErrors>
    <ignoredError sqref="M53 O53 R53 C23:E23 M46 O46 R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>
      <selection activeCell="A11" sqref="A11"/>
    </sheetView>
  </sheetViews>
  <sheetFormatPr defaultRowHeight="14.5" x14ac:dyDescent="0.35"/>
  <cols>
    <col min="1" max="1" width="27.453125" customWidth="1"/>
    <col min="2" max="4" width="16.453125" customWidth="1"/>
  </cols>
  <sheetData>
    <row r="1" spans="1:13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35">
      <c r="A3" s="20"/>
      <c r="B3" s="18"/>
      <c r="C3" s="18"/>
      <c r="D3" s="18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35">
      <c r="B4" s="191" t="s">
        <v>78</v>
      </c>
      <c r="C4" s="192"/>
      <c r="D4" s="193"/>
      <c r="E4" s="19"/>
      <c r="F4" s="20"/>
      <c r="G4" s="20"/>
      <c r="H4" s="20"/>
      <c r="I4" s="20"/>
      <c r="J4" s="20"/>
      <c r="K4" s="20"/>
      <c r="L4" s="20"/>
      <c r="M4" s="20"/>
    </row>
    <row r="5" spans="1:13" ht="30.5" x14ac:dyDescent="0.5">
      <c r="A5" s="139" t="s">
        <v>72</v>
      </c>
      <c r="B5" s="140" t="s">
        <v>28</v>
      </c>
      <c r="C5" s="141" t="s">
        <v>77</v>
      </c>
      <c r="D5" s="141" t="s">
        <v>76</v>
      </c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35">
      <c r="A6" s="1" t="s">
        <v>73</v>
      </c>
      <c r="B6" s="3">
        <f>+'March Worksheet'!L39</f>
        <v>9200000</v>
      </c>
      <c r="C6" s="42">
        <f>+'March Worksheet'!N39</f>
        <v>95000</v>
      </c>
      <c r="D6" s="142">
        <f>+'March Worksheet'!P39</f>
        <v>96.84210526315789</v>
      </c>
      <c r="E6" s="19"/>
      <c r="F6" s="20"/>
      <c r="G6" s="20"/>
      <c r="H6" s="20"/>
      <c r="I6" s="20"/>
      <c r="J6" s="20"/>
      <c r="K6" s="20"/>
      <c r="L6" s="20"/>
      <c r="M6" s="20"/>
    </row>
    <row r="7" spans="1:13" x14ac:dyDescent="0.35">
      <c r="A7" s="1" t="s">
        <v>74</v>
      </c>
      <c r="B7" s="3">
        <f>+'March Worksheet'!L46</f>
        <v>10000000</v>
      </c>
      <c r="C7" s="42">
        <f>+'March Worksheet'!N46</f>
        <v>4450000</v>
      </c>
      <c r="D7" s="142">
        <f>+'March Worksheet'!P46</f>
        <v>2.2471910112359552</v>
      </c>
      <c r="E7" s="19"/>
      <c r="F7" s="20"/>
      <c r="G7" s="20"/>
      <c r="H7" s="20"/>
      <c r="I7" s="20"/>
      <c r="J7" s="20"/>
      <c r="K7" s="20"/>
      <c r="L7" s="20"/>
      <c r="M7" s="20"/>
    </row>
    <row r="8" spans="1:13" x14ac:dyDescent="0.35">
      <c r="A8" s="1" t="s">
        <v>75</v>
      </c>
      <c r="B8" s="3">
        <f>+'March Worksheet'!L53</f>
        <v>15275000</v>
      </c>
      <c r="C8" s="42">
        <f>+'March Worksheet'!N53</f>
        <v>5455000</v>
      </c>
      <c r="D8" s="142">
        <f>+'March Worksheet'!P53</f>
        <v>2.8001833180568285</v>
      </c>
      <c r="E8" s="19"/>
      <c r="F8" s="20"/>
      <c r="G8" s="20"/>
      <c r="H8" s="20"/>
      <c r="I8" s="20"/>
      <c r="J8" s="20"/>
      <c r="K8" s="20"/>
      <c r="L8" s="20"/>
      <c r="M8" s="20"/>
    </row>
    <row r="9" spans="1:13" x14ac:dyDescent="0.35">
      <c r="A9" s="1" t="s">
        <v>3</v>
      </c>
      <c r="B9" s="3">
        <f>SUM(B6:B8)</f>
        <v>34475000</v>
      </c>
      <c r="C9" s="42">
        <f>SUM(C6:C8)</f>
        <v>10000000</v>
      </c>
      <c r="D9" s="142">
        <f>+B9/C9</f>
        <v>3.4474999999999998</v>
      </c>
      <c r="E9" s="19"/>
      <c r="F9" s="20"/>
      <c r="G9" s="20"/>
      <c r="H9" s="20"/>
      <c r="I9" s="20"/>
      <c r="J9" s="20"/>
      <c r="K9" s="20"/>
      <c r="L9" s="20"/>
      <c r="M9" s="20"/>
    </row>
    <row r="10" spans="1:13" x14ac:dyDescent="0.35">
      <c r="A10" s="27"/>
      <c r="B10" s="27"/>
      <c r="C10" s="27"/>
      <c r="D10" s="27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3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35">
      <c r="A12" s="144" t="s">
        <v>79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35">
      <c r="B13" s="191" t="s">
        <v>80</v>
      </c>
      <c r="C13" s="192"/>
      <c r="D13" s="193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30.5" x14ac:dyDescent="0.5">
      <c r="A14" s="139" t="s">
        <v>72</v>
      </c>
      <c r="B14" s="140" t="s">
        <v>28</v>
      </c>
      <c r="C14" s="141" t="s">
        <v>77</v>
      </c>
      <c r="D14" s="141" t="s">
        <v>76</v>
      </c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35">
      <c r="A15" s="1" t="s">
        <v>73</v>
      </c>
      <c r="B15" s="143">
        <v>15000000</v>
      </c>
      <c r="C15" s="42">
        <f>B15/D15</f>
        <v>154891.30434782608</v>
      </c>
      <c r="D15" s="142">
        <f>+D6</f>
        <v>96.84210526315789</v>
      </c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35">
      <c r="A16" s="1" t="s">
        <v>74</v>
      </c>
      <c r="B16" s="143">
        <v>6500000</v>
      </c>
      <c r="C16" s="42">
        <f t="shared" ref="C16:C17" si="0">B16/D16</f>
        <v>2892500</v>
      </c>
      <c r="D16" s="142">
        <f t="shared" ref="D16:D17" si="1">+D7</f>
        <v>2.2471910112359552</v>
      </c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35">
      <c r="A17" s="1" t="s">
        <v>75</v>
      </c>
      <c r="B17" s="143">
        <v>13000000</v>
      </c>
      <c r="C17" s="42">
        <f t="shared" si="0"/>
        <v>4642553.1914893622</v>
      </c>
      <c r="D17" s="142">
        <f t="shared" si="1"/>
        <v>2.8001833180568285</v>
      </c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35">
      <c r="A18" s="1" t="s">
        <v>3</v>
      </c>
      <c r="B18" s="3">
        <f>SUM(B15:B17)</f>
        <v>34500000</v>
      </c>
      <c r="C18" s="42">
        <f>SUM(C15:C17)</f>
        <v>7689944.4958371883</v>
      </c>
      <c r="D18" s="142">
        <f>+B18/C18</f>
        <v>4.4863782851327398</v>
      </c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35">
      <c r="A19" s="18"/>
      <c r="B19" s="18"/>
      <c r="C19" s="18"/>
      <c r="D19" s="18"/>
      <c r="E19" s="20"/>
      <c r="F19" s="20"/>
      <c r="G19" s="20"/>
      <c r="H19" s="20"/>
      <c r="I19" s="20"/>
      <c r="J19" s="20"/>
      <c r="K19" s="20"/>
      <c r="L19" s="20"/>
      <c r="M19" s="20"/>
    </row>
    <row r="20" spans="1:13" x14ac:dyDescent="0.35">
      <c r="A20" s="145" t="s">
        <v>81</v>
      </c>
      <c r="B20" s="146"/>
      <c r="C20" s="148">
        <f>C18-C9</f>
        <v>-2310055.5041628117</v>
      </c>
      <c r="D20" s="147">
        <f>D18-D9</f>
        <v>1.0388782851327401</v>
      </c>
      <c r="E20" s="19"/>
      <c r="F20" s="20"/>
      <c r="G20" s="20"/>
      <c r="H20" s="20"/>
      <c r="I20" s="20"/>
      <c r="J20" s="20"/>
      <c r="K20" s="20"/>
      <c r="L20" s="20"/>
      <c r="M20" s="20"/>
    </row>
    <row r="21" spans="1:13" x14ac:dyDescent="0.35">
      <c r="A21" s="27"/>
      <c r="B21" s="27"/>
      <c r="C21" s="27"/>
      <c r="D21" s="27"/>
      <c r="E21" s="20"/>
      <c r="F21" s="20"/>
      <c r="G21" s="20"/>
      <c r="H21" s="20"/>
      <c r="I21" s="20"/>
      <c r="J21" s="20"/>
      <c r="K21" s="20"/>
      <c r="L21" s="20"/>
      <c r="M21" s="20"/>
    </row>
    <row r="22" spans="1:13" x14ac:dyDescent="0.3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3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</sheetData>
  <mergeCells count="2">
    <mergeCell ref="B4:D4"/>
    <mergeCell ref="B13:D13"/>
  </mergeCells>
  <pageMargins left="0.7" right="0.7" top="0.75" bottom="0.75" header="0.3" footer="0.3"/>
  <pageSetup orientation="portrait" horizontalDpi="4294967293" verticalDpi="4294967293" r:id="rId1"/>
  <ignoredErrors>
    <ignoredError sqref="D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March Worksheet</vt:lpstr>
      <vt:lpstr>sensitivity</vt:lpstr>
      <vt:lpstr>'March Worksheet'!Print_Area</vt:lpstr>
    </vt:vector>
  </TitlesOfParts>
  <Company>AMERESCO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Nathan, Susan</dc:creator>
  <cp:lastModifiedBy>Celia Johnson</cp:lastModifiedBy>
  <cp:lastPrinted>2015-10-09T19:38:53Z</cp:lastPrinted>
  <dcterms:created xsi:type="dcterms:W3CDTF">2015-10-08T20:51:30Z</dcterms:created>
  <dcterms:modified xsi:type="dcterms:W3CDTF">2020-02-07T15:22:50Z</dcterms:modified>
</cp:coreProperties>
</file>