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defaultThemeVersion="166925"/>
  <mc:AlternateContent xmlns:mc="http://schemas.openxmlformats.org/markup-compatibility/2006">
    <mc:Choice Requires="x15">
      <x15ac:absPath xmlns:x15ac="http://schemas.microsoft.com/office/spreadsheetml/2010/11/ac" url="https://netorgft4117119-my.sharepoint.com/personal/celia_celiajohnsonconsulting_com/Documents/IL SAG 2020/February 4, 2020 Adj Goals Teleconference/"/>
    </mc:Choice>
  </mc:AlternateContent>
  <xr:revisionPtr revIDLastSave="0" documentId="8_{679955BF-7480-4919-81AC-43C6E2B1791E}" xr6:coauthVersionLast="45" xr6:coauthVersionMax="45" xr10:uidLastSave="{00000000-0000-0000-0000-000000000000}"/>
  <bookViews>
    <workbookView xWindow="-110" yWindow="-110" windowWidth="19420" windowHeight="10420" tabRatio="901" xr2:uid="{00000000-000D-0000-FFFF-FFFF00000000}"/>
  </bookViews>
  <sheets>
    <sheet name="v8 Revisions" sheetId="20" r:id="rId1"/>
    <sheet name="Program-Level Adjustments Tab" sheetId="6" r:id="rId2"/>
    <sheet name="Measure-Level Adjustments Tab" sheetId="5" r:id="rId3"/>
    <sheet name="WAML" sheetId="19" r:id="rId4"/>
    <sheet name="Unit Savings Calculations" sheetId="10" r:id="rId5"/>
    <sheet name="Pipe Insulation Detail" sheetId="12" r:id="rId6"/>
    <sheet name="Food Equipment Detail" sheetId="15" r:id="rId7"/>
    <sheet name="Behavior" sheetId="16" r:id="rId8"/>
    <sheet name="Thermostat Detail" sheetId="11" r:id="rId9"/>
    <sheet name="Laundromat Boiler Detail" sheetId="13" r:id="rId10"/>
  </sheets>
  <externalReferences>
    <externalReference r:id="rId11"/>
    <externalReference r:id="rId12"/>
    <externalReference r:id="rId13"/>
    <externalReference r:id="rId14"/>
    <externalReference r:id="rId15"/>
    <externalReference r:id="rId16"/>
  </externalReferences>
  <definedNames>
    <definedName name="__123Graph_A" hidden="1">'[1]Func. Plt. RRF - With Earnings'!#REF!</definedName>
    <definedName name="__123Graph_B" localSheetId="7"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bdm.FastTrackBookmark.10_4_2004_9_40_31_AM.edm" localSheetId="0" hidden="1">'[3]Adjusted Exp &amp; Rate Base'!#REF!</definedName>
    <definedName name="_bdm.FastTrackBookmark.10_4_2004_9_40_31_AM.edm" hidden="1">'[3]Adjusted Exp &amp; Rate Base'!#REF!</definedName>
    <definedName name="_bdm.FastTrackBookmark.9_15_2004_3_08_01_PM.edm" localSheetId="0" hidden="1">'[4]Stmt H'!#REF!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xlnm._FilterDatabase" localSheetId="2" hidden="1">'Measure-Level Adjustments Tab'!$A$6:$BF$428</definedName>
    <definedName name="_xlnm._FilterDatabase" localSheetId="4" hidden="1">'Unit Savings Calculations'!$B$3:$AT$421</definedName>
    <definedName name="_xlnm._FilterDatabase" localSheetId="0" hidden="1">'v8 Revisions'!$B$6:$P$184</definedName>
    <definedName name="_Key1" localSheetId="7" hidden="1">#REF!</definedName>
    <definedName name="_Key2" localSheetId="7" hidden="1">#REF!</definedName>
    <definedName name="_Order1" hidden="1">0</definedName>
    <definedName name="_Order2" hidden="1">255</definedName>
    <definedName name="_Sort" localSheetId="7"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fa"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7" hidden="1">#REF!</definedName>
    <definedName name="C_BuydownRate">4</definedName>
    <definedName name="C_DecreaseLoan">1</definedName>
    <definedName name="C_IRR">1</definedName>
    <definedName name="C_KeepIt">3</definedName>
    <definedName name="C_No">2</definedName>
    <definedName name="C_PayOffFaster">2</definedName>
    <definedName name="DATA_01" localSheetId="7" hidden="1">#REF!</definedName>
    <definedName name="DATA_02" localSheetId="7" hidden="1">#REF!</definedName>
    <definedName name="DATA_03" localSheetId="7" hidden="1">#REF!</definedName>
    <definedName name="DATA_04" localSheetId="7" hidden="1">#REF!</definedName>
    <definedName name="DATA_05" localSheetId="7" hidden="1">#REF!</definedName>
    <definedName name="DATA_06" localSheetId="7" hidden="1">#REF!</definedName>
    <definedName name="DATA_07" localSheetId="7" hidden="1">#REF!</definedName>
    <definedName name="DATA_08" localSheetId="7" hidden="1">#REF!</definedName>
    <definedName name="IntroPrintArea" localSheetId="7" hidden="1">#REF!</definedName>
    <definedName name="Million">1000000</definedName>
    <definedName name="old_1" hidden="1">[6]old!$V$5</definedName>
    <definedName name="P">"P"</definedName>
    <definedName name="_xlnm.Print_Area" localSheetId="6">'Food Equipment Detail'!$A$1:$AA$72</definedName>
    <definedName name="_xlnm.Print_Area" localSheetId="9">'Laundromat Boiler Detail'!$A$1:$N$28</definedName>
    <definedName name="_xlnm.Print_Area" localSheetId="2">'Measure-Level Adjustments Tab'!$A$1:$BE$428</definedName>
    <definedName name="_xlnm.Print_Area" localSheetId="5">'Pipe Insulation Detail'!$A$1:$W$121</definedName>
    <definedName name="_xlnm.Print_Area" localSheetId="1">'Program-Level Adjustments Tab'!$A$1:$T$27</definedName>
    <definedName name="_xlnm.Print_Area" localSheetId="4">'Unit Savings Calculations'!$C$1:$AT$425</definedName>
    <definedName name="_xlnm.Print_Area" localSheetId="3">WAML!$A$1:$I$11</definedName>
    <definedName name="_xlnm.Print_Titles" localSheetId="2">'Measure-Level Adjustments Tab'!$A:$B,'Measure-Level Adjustments Tab'!$4:$7</definedName>
    <definedName name="_xlnm.Print_Titles" localSheetId="1">'Program-Level Adjustments Tab'!$A:$A</definedName>
    <definedName name="_xlnm.Print_Titles" localSheetId="4">'Unit Savings Calculations'!$C:$D,'Unit Savings Calculations'!$2:$3</definedName>
    <definedName name="saraaksdf"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Thousand">1000</definedName>
    <definedName name="wrn.COST._.ALLOC._.STUDY._.1997._.CLFP."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0" hidden="1">{#N/A,#N/A,TRUE,"DATA INPUTS"}</definedName>
    <definedName name="wrn.DATA._.INPUTS." hidden="1">{#N/A,#N/A,TRUE,"DATA INPUTS"}</definedName>
    <definedName name="wrn.Other._.Schedules."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0" hidden="1">{"RAK-1, Schedule 1",#N/A,FALSE,"Electric";"RAK-1, Schedule 2",#N/A,FALSE,"Electric";"RAK-1, Schedule 4",#N/A,FALSE,"Electric"}</definedName>
    <definedName name="wrn.RAK1." hidden="1">{"RAK-1, Schedule 1",#N/A,FALSE,"Electric";"RAK-1, Schedule 2",#N/A,FALSE,"Electric";"RAK-1, Schedule 4",#N/A,FALSE,"Electric"}</definedName>
    <definedName name="wrn.RAK2." localSheetId="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0"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0"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0" hidden="1">{"EE1",#N/A,FALSE,"Electric";"EE2",#N/A,FALSE,"Electric";"EE3",#N/A,FALSE,"Electric";"EE4",#N/A,FALSE,"Electric";"EE5",#N/A,FALSE,"Electric"}</definedName>
    <definedName name="wrn.Schedule._.5." hidden="1">{"EE1",#N/A,FALSE,"Electric";"EE2",#N/A,FALSE,"Electric";"EE3",#N/A,FALSE,"Electric";"EE4",#N/A,FALSE,"Electric";"EE5",#N/A,FALSE,"Electric"}</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71" i="20" l="1"/>
  <c r="N383" i="10" l="1"/>
  <c r="N104" i="10"/>
  <c r="N61" i="10"/>
  <c r="N384" i="10" l="1"/>
  <c r="N62" i="10"/>
  <c r="AD309" i="10" l="1"/>
  <c r="AD253" i="10"/>
  <c r="AD164" i="10"/>
  <c r="AD112" i="10"/>
  <c r="AD76" i="10"/>
  <c r="R12" i="20" l="1"/>
  <c r="L12" i="20"/>
  <c r="J12" i="20"/>
  <c r="N12" i="20" l="1"/>
  <c r="M12" i="20"/>
  <c r="L8" i="20"/>
  <c r="L9" i="20"/>
  <c r="L10" i="20"/>
  <c r="L11" i="20"/>
  <c r="L13" i="20"/>
  <c r="L181" i="20"/>
  <c r="L182" i="20"/>
  <c r="L183" i="20"/>
  <c r="L184" i="20"/>
  <c r="L7" i="20"/>
  <c r="R184" i="20"/>
  <c r="J184" i="20"/>
  <c r="R183" i="20"/>
  <c r="J183" i="20"/>
  <c r="R182" i="20"/>
  <c r="J182" i="20"/>
  <c r="R181" i="20"/>
  <c r="J181" i="20"/>
  <c r="R180" i="20"/>
  <c r="J180" i="20"/>
  <c r="R179" i="20"/>
  <c r="J179" i="20"/>
  <c r="K179" i="20" s="1"/>
  <c r="R178" i="20"/>
  <c r="J178" i="20"/>
  <c r="R177" i="20"/>
  <c r="J177" i="20"/>
  <c r="R176" i="20"/>
  <c r="J176" i="20"/>
  <c r="R175" i="20"/>
  <c r="J175" i="20"/>
  <c r="K175" i="20" s="1"/>
  <c r="R174" i="20"/>
  <c r="J174" i="20"/>
  <c r="R173" i="20"/>
  <c r="J173" i="20"/>
  <c r="R172" i="20"/>
  <c r="J172" i="20"/>
  <c r="R171" i="20"/>
  <c r="R170" i="20"/>
  <c r="R169" i="20"/>
  <c r="J169" i="20"/>
  <c r="R168" i="20"/>
  <c r="J168" i="20"/>
  <c r="R167" i="20"/>
  <c r="J167" i="20"/>
  <c r="K167" i="20" s="1"/>
  <c r="R166" i="20"/>
  <c r="J166" i="20"/>
  <c r="R165" i="20"/>
  <c r="J165" i="20"/>
  <c r="K165" i="20" s="1"/>
  <c r="R164" i="20"/>
  <c r="J164" i="20"/>
  <c r="R163" i="20"/>
  <c r="J163" i="20"/>
  <c r="K163" i="20" s="1"/>
  <c r="R162" i="20"/>
  <c r="J162" i="20"/>
  <c r="R161" i="20"/>
  <c r="J161" i="20"/>
  <c r="R160" i="20"/>
  <c r="J160" i="20"/>
  <c r="R159" i="20"/>
  <c r="J159" i="20"/>
  <c r="R158" i="20"/>
  <c r="J158" i="20"/>
  <c r="R157" i="20"/>
  <c r="J157" i="20"/>
  <c r="R156" i="20"/>
  <c r="J156" i="20"/>
  <c r="R155" i="20"/>
  <c r="J155" i="20"/>
  <c r="R154" i="20"/>
  <c r="J154" i="20"/>
  <c r="R153" i="20"/>
  <c r="J153" i="20"/>
  <c r="R152" i="20"/>
  <c r="J152" i="20"/>
  <c r="R151" i="20"/>
  <c r="J151" i="20"/>
  <c r="R150" i="20"/>
  <c r="J150" i="20"/>
  <c r="R149" i="20"/>
  <c r="J149" i="20"/>
  <c r="R148" i="20"/>
  <c r="J148" i="20"/>
  <c r="R147" i="20"/>
  <c r="J147" i="20"/>
  <c r="R146" i="20"/>
  <c r="J146" i="20"/>
  <c r="R145" i="20"/>
  <c r="J145" i="20"/>
  <c r="R144" i="20"/>
  <c r="J144" i="20"/>
  <c r="R143" i="20"/>
  <c r="J143" i="20"/>
  <c r="R142" i="20"/>
  <c r="J142" i="20"/>
  <c r="R141" i="20"/>
  <c r="J141" i="20"/>
  <c r="R140" i="20"/>
  <c r="J140" i="20"/>
  <c r="R139" i="20"/>
  <c r="J139" i="20"/>
  <c r="R138" i="20"/>
  <c r="J138" i="20"/>
  <c r="R137" i="20"/>
  <c r="J137" i="20"/>
  <c r="R136" i="20"/>
  <c r="J136" i="20"/>
  <c r="R135" i="20"/>
  <c r="J135" i="20"/>
  <c r="R134" i="20"/>
  <c r="J134" i="20"/>
  <c r="R133" i="20"/>
  <c r="J133" i="20"/>
  <c r="R132" i="20"/>
  <c r="J132" i="20"/>
  <c r="R131" i="20"/>
  <c r="J131" i="20"/>
  <c r="R130" i="20"/>
  <c r="J130" i="20"/>
  <c r="R129" i="20"/>
  <c r="J129" i="20"/>
  <c r="R128" i="20"/>
  <c r="J128" i="20"/>
  <c r="R127" i="20"/>
  <c r="J127" i="20"/>
  <c r="R126" i="20"/>
  <c r="J126" i="20"/>
  <c r="R125" i="20"/>
  <c r="J125" i="20"/>
  <c r="R124" i="20"/>
  <c r="J124" i="20"/>
  <c r="R123" i="20"/>
  <c r="J123" i="20"/>
  <c r="R122" i="20"/>
  <c r="J122" i="20"/>
  <c r="R121" i="20"/>
  <c r="J121" i="20"/>
  <c r="R120" i="20"/>
  <c r="J120" i="20"/>
  <c r="R119" i="20"/>
  <c r="J119" i="20"/>
  <c r="R118" i="20"/>
  <c r="J118" i="20"/>
  <c r="R117" i="20"/>
  <c r="J117" i="20"/>
  <c r="R116" i="20"/>
  <c r="J116" i="20"/>
  <c r="R115" i="20"/>
  <c r="J115" i="20"/>
  <c r="R114" i="20"/>
  <c r="J114" i="20"/>
  <c r="R113" i="20"/>
  <c r="J113" i="20"/>
  <c r="R112" i="20"/>
  <c r="J112" i="20"/>
  <c r="R111" i="20"/>
  <c r="J111" i="20"/>
  <c r="R110" i="20"/>
  <c r="J110" i="20"/>
  <c r="R109" i="20"/>
  <c r="J109" i="20"/>
  <c r="R108" i="20"/>
  <c r="J108" i="20"/>
  <c r="R107" i="20"/>
  <c r="J107" i="20"/>
  <c r="R106" i="20"/>
  <c r="J106" i="20"/>
  <c r="R105" i="20"/>
  <c r="J105" i="20"/>
  <c r="R104" i="20"/>
  <c r="J104" i="20"/>
  <c r="R103" i="20"/>
  <c r="J103" i="20"/>
  <c r="R102" i="20"/>
  <c r="J102" i="20"/>
  <c r="R101" i="20"/>
  <c r="J101" i="20"/>
  <c r="R100" i="20"/>
  <c r="J100" i="20"/>
  <c r="R99" i="20"/>
  <c r="J99" i="20"/>
  <c r="R98" i="20"/>
  <c r="J98" i="20"/>
  <c r="R97" i="20"/>
  <c r="J97" i="20"/>
  <c r="R96" i="20"/>
  <c r="J96" i="20"/>
  <c r="R95" i="20"/>
  <c r="J95" i="20"/>
  <c r="R94" i="20"/>
  <c r="J94" i="20"/>
  <c r="R93" i="20"/>
  <c r="J93" i="20"/>
  <c r="R92" i="20"/>
  <c r="J92" i="20"/>
  <c r="R91" i="20"/>
  <c r="J91" i="20"/>
  <c r="R90" i="20"/>
  <c r="J90" i="20"/>
  <c r="R89" i="20"/>
  <c r="J89" i="20"/>
  <c r="R88" i="20"/>
  <c r="J88" i="20"/>
  <c r="R87" i="20"/>
  <c r="J87" i="20"/>
  <c r="R86" i="20"/>
  <c r="J86" i="20"/>
  <c r="R85" i="20"/>
  <c r="J85" i="20"/>
  <c r="R84" i="20"/>
  <c r="J84" i="20"/>
  <c r="R83" i="20"/>
  <c r="J83" i="20"/>
  <c r="R82" i="20"/>
  <c r="J82" i="20"/>
  <c r="R81" i="20"/>
  <c r="J81" i="20"/>
  <c r="K81" i="20" s="1"/>
  <c r="R80" i="20"/>
  <c r="J80" i="20"/>
  <c r="R79" i="20"/>
  <c r="J79" i="20"/>
  <c r="R78" i="20"/>
  <c r="J78" i="20"/>
  <c r="R77" i="20"/>
  <c r="J77" i="20"/>
  <c r="K77" i="20" s="1"/>
  <c r="R76" i="20"/>
  <c r="J76" i="20"/>
  <c r="R75" i="20"/>
  <c r="J75" i="20"/>
  <c r="K75" i="20" s="1"/>
  <c r="R74" i="20"/>
  <c r="J74" i="20"/>
  <c r="K74" i="20" s="1"/>
  <c r="R73" i="20"/>
  <c r="J73" i="20"/>
  <c r="R72" i="20"/>
  <c r="J72" i="20"/>
  <c r="R71" i="20"/>
  <c r="J71" i="20"/>
  <c r="K71" i="20" s="1"/>
  <c r="R70" i="20"/>
  <c r="J70" i="20"/>
  <c r="R69" i="20"/>
  <c r="J69" i="20"/>
  <c r="K69" i="20" s="1"/>
  <c r="R68" i="20"/>
  <c r="J68" i="20"/>
  <c r="R67" i="20"/>
  <c r="J67" i="20"/>
  <c r="R66" i="20"/>
  <c r="J66" i="20"/>
  <c r="R65" i="20"/>
  <c r="J65" i="20"/>
  <c r="R64" i="20"/>
  <c r="J64" i="20"/>
  <c r="R63" i="20"/>
  <c r="J63" i="20"/>
  <c r="K63" i="20" s="1"/>
  <c r="R62" i="20"/>
  <c r="J62" i="20"/>
  <c r="R61" i="20"/>
  <c r="J61" i="20"/>
  <c r="K61" i="20" s="1"/>
  <c r="R60" i="20"/>
  <c r="J60" i="20"/>
  <c r="R59" i="20"/>
  <c r="J59" i="20"/>
  <c r="R58" i="20"/>
  <c r="J58" i="20"/>
  <c r="R57" i="20"/>
  <c r="J57" i="20"/>
  <c r="R56" i="20"/>
  <c r="J56" i="20"/>
  <c r="R55" i="20"/>
  <c r="J55" i="20"/>
  <c r="R54" i="20"/>
  <c r="J54" i="20"/>
  <c r="R53" i="20"/>
  <c r="J53" i="20"/>
  <c r="K53" i="20" s="1"/>
  <c r="R52" i="20"/>
  <c r="J52" i="20"/>
  <c r="R51" i="20"/>
  <c r="J51" i="20"/>
  <c r="R50" i="20"/>
  <c r="J50" i="20"/>
  <c r="R49" i="20"/>
  <c r="J49" i="20"/>
  <c r="R48" i="20"/>
  <c r="J48" i="20"/>
  <c r="R47" i="20"/>
  <c r="J47" i="20"/>
  <c r="R46" i="20"/>
  <c r="J46" i="20"/>
  <c r="K46" i="20" s="1"/>
  <c r="R45" i="20"/>
  <c r="J45" i="20"/>
  <c r="R44" i="20"/>
  <c r="J44" i="20"/>
  <c r="R43" i="20"/>
  <c r="J43" i="20"/>
  <c r="N43" i="20" s="1"/>
  <c r="R42" i="20"/>
  <c r="J42" i="20"/>
  <c r="N42" i="20" s="1"/>
  <c r="R41" i="20"/>
  <c r="J41" i="20"/>
  <c r="R40" i="20"/>
  <c r="J40" i="20"/>
  <c r="R39" i="20"/>
  <c r="J39" i="20"/>
  <c r="R38" i="20"/>
  <c r="J38" i="20"/>
  <c r="R37" i="20"/>
  <c r="J37" i="20"/>
  <c r="R36" i="20"/>
  <c r="J36" i="20"/>
  <c r="R35" i="20"/>
  <c r="J35" i="20"/>
  <c r="R34" i="20"/>
  <c r="J34" i="20"/>
  <c r="K34" i="20" s="1"/>
  <c r="R33" i="20"/>
  <c r="J33" i="20"/>
  <c r="R32" i="20"/>
  <c r="J32" i="20"/>
  <c r="R31" i="20"/>
  <c r="J31" i="20"/>
  <c r="R30" i="20"/>
  <c r="J30" i="20"/>
  <c r="R29" i="20"/>
  <c r="J29" i="20"/>
  <c r="R28" i="20"/>
  <c r="J28" i="20"/>
  <c r="R27" i="20"/>
  <c r="J27" i="20"/>
  <c r="K27" i="20" s="1"/>
  <c r="R26" i="20"/>
  <c r="J26" i="20"/>
  <c r="R25" i="20"/>
  <c r="J25" i="20"/>
  <c r="R24" i="20"/>
  <c r="J24" i="20"/>
  <c r="R23" i="20"/>
  <c r="J23" i="20"/>
  <c r="R22" i="20"/>
  <c r="J22" i="20"/>
  <c r="K22" i="20" s="1"/>
  <c r="R21" i="20"/>
  <c r="J21" i="20"/>
  <c r="R20" i="20"/>
  <c r="J20" i="20"/>
  <c r="R19" i="20"/>
  <c r="J19" i="20"/>
  <c r="K19" i="20" s="1"/>
  <c r="R18" i="20"/>
  <c r="J18" i="20"/>
  <c r="R17" i="20"/>
  <c r="K17" i="20"/>
  <c r="J17" i="20"/>
  <c r="R16" i="20"/>
  <c r="J16" i="20"/>
  <c r="R15" i="20"/>
  <c r="J15" i="20"/>
  <c r="R14" i="20"/>
  <c r="J14" i="20"/>
  <c r="K14" i="20" s="1"/>
  <c r="R13" i="20"/>
  <c r="J13" i="20"/>
  <c r="R11" i="20"/>
  <c r="J11" i="20"/>
  <c r="R10" i="20"/>
  <c r="J10" i="20"/>
  <c r="M10" i="20" s="1"/>
  <c r="R9" i="20"/>
  <c r="J9" i="20"/>
  <c r="R8" i="20"/>
  <c r="J8" i="20"/>
  <c r="R7" i="20"/>
  <c r="J7" i="20"/>
  <c r="A1" i="20"/>
  <c r="N11" i="20" l="1"/>
  <c r="N181" i="20"/>
  <c r="M7" i="20"/>
  <c r="M9" i="20"/>
  <c r="N13" i="20"/>
  <c r="M8" i="20"/>
  <c r="K12" i="20"/>
  <c r="K67" i="20"/>
  <c r="K38" i="20"/>
  <c r="K39" i="20"/>
  <c r="K24" i="20"/>
  <c r="K32" i="20"/>
  <c r="K23" i="20"/>
  <c r="K44" i="20"/>
  <c r="K31" i="20"/>
  <c r="M43" i="20"/>
  <c r="K49" i="20"/>
  <c r="K72" i="20"/>
  <c r="M13" i="20"/>
  <c r="K16" i="20"/>
  <c r="M11" i="20"/>
  <c r="K15" i="20"/>
  <c r="K25" i="20"/>
  <c r="K30" i="20"/>
  <c r="K40" i="20"/>
  <c r="K62" i="20"/>
  <c r="K80" i="20"/>
  <c r="K8" i="20"/>
  <c r="K66" i="20"/>
  <c r="K78" i="20"/>
  <c r="K70" i="20"/>
  <c r="K20" i="20"/>
  <c r="K21" i="20"/>
  <c r="K28" i="20"/>
  <c r="K29" i="20"/>
  <c r="K35" i="20"/>
  <c r="K36" i="20"/>
  <c r="K47" i="20"/>
  <c r="K51" i="20"/>
  <c r="K64" i="20"/>
  <c r="M183" i="20"/>
  <c r="K50" i="20"/>
  <c r="K54" i="20"/>
  <c r="K58" i="20"/>
  <c r="K76" i="20"/>
  <c r="K37" i="20"/>
  <c r="K60" i="20"/>
  <c r="M182" i="20"/>
  <c r="M181" i="20"/>
  <c r="N184" i="20"/>
  <c r="K42" i="20"/>
  <c r="M41" i="20"/>
  <c r="K184" i="20"/>
  <c r="K182" i="20"/>
  <c r="K183" i="20"/>
  <c r="K181" i="20"/>
  <c r="N7" i="20"/>
  <c r="K9" i="20"/>
  <c r="K18" i="20"/>
  <c r="K26" i="20"/>
  <c r="K33" i="20"/>
  <c r="K41" i="20"/>
  <c r="M42" i="20"/>
  <c r="K43" i="20"/>
  <c r="K45" i="20"/>
  <c r="K65" i="20"/>
  <c r="K73" i="20"/>
  <c r="N9" i="20"/>
  <c r="K11" i="20"/>
  <c r="K7" i="20"/>
  <c r="N10" i="20"/>
  <c r="K13" i="20"/>
  <c r="K48" i="20"/>
  <c r="K56" i="20"/>
  <c r="K59" i="20"/>
  <c r="K57" i="20"/>
  <c r="K162" i="20"/>
  <c r="N41" i="20"/>
  <c r="K52" i="20"/>
  <c r="K68" i="20"/>
  <c r="N8" i="20"/>
  <c r="K10" i="20"/>
  <c r="K55" i="20"/>
  <c r="K79" i="20"/>
  <c r="K82" i="20"/>
  <c r="K83" i="20"/>
  <c r="K84" i="20"/>
  <c r="K85" i="20"/>
  <c r="K86" i="20"/>
  <c r="K88" i="20"/>
  <c r="K87" i="20"/>
  <c r="K90" i="20"/>
  <c r="K89" i="20"/>
  <c r="K91" i="20"/>
  <c r="K92" i="20"/>
  <c r="K93" i="20"/>
  <c r="K94" i="20"/>
  <c r="K95" i="20"/>
  <c r="K96" i="20"/>
  <c r="K97" i="20"/>
  <c r="K98" i="20"/>
  <c r="K99" i="20"/>
  <c r="K100" i="20"/>
  <c r="K102" i="20"/>
  <c r="K101" i="20"/>
  <c r="K166" i="20"/>
  <c r="K105" i="20"/>
  <c r="K103" i="20"/>
  <c r="K104" i="20"/>
  <c r="K106" i="20"/>
  <c r="K107" i="20"/>
  <c r="K108" i="20"/>
  <c r="K109" i="20"/>
  <c r="K110" i="20"/>
  <c r="K111" i="20"/>
  <c r="K112" i="20"/>
  <c r="K113" i="20"/>
  <c r="K114" i="20"/>
  <c r="K115" i="20"/>
  <c r="K116" i="20"/>
  <c r="K117" i="20"/>
  <c r="K118" i="20"/>
  <c r="K119" i="20"/>
  <c r="K121" i="20"/>
  <c r="K120" i="20"/>
  <c r="K123" i="20"/>
  <c r="K124" i="20"/>
  <c r="K122" i="20"/>
  <c r="K125" i="20"/>
  <c r="K126" i="20"/>
  <c r="K127" i="20"/>
  <c r="K128" i="20"/>
  <c r="K129" i="20"/>
  <c r="K131" i="20"/>
  <c r="K130" i="20"/>
  <c r="K132" i="20"/>
  <c r="K133" i="20"/>
  <c r="K135" i="20"/>
  <c r="K134" i="20"/>
  <c r="K136" i="20"/>
  <c r="K137" i="20"/>
  <c r="K138" i="20"/>
  <c r="K139" i="20"/>
  <c r="K140" i="20"/>
  <c r="K141" i="20"/>
  <c r="K143" i="20"/>
  <c r="K142" i="20"/>
  <c r="K144" i="20"/>
  <c r="K145" i="20"/>
  <c r="K146" i="20"/>
  <c r="K147" i="20"/>
  <c r="K149" i="20"/>
  <c r="K148" i="20"/>
  <c r="K151" i="20"/>
  <c r="K150" i="20"/>
  <c r="K153" i="20"/>
  <c r="K152" i="20"/>
  <c r="K154" i="20"/>
  <c r="K155" i="20"/>
  <c r="K156" i="20"/>
  <c r="K157" i="20"/>
  <c r="K158" i="20"/>
  <c r="K159" i="20"/>
  <c r="K160" i="20"/>
  <c r="K161" i="20"/>
  <c r="K168" i="20"/>
  <c r="K171" i="20"/>
  <c r="K177" i="20"/>
  <c r="K178" i="20"/>
  <c r="K176" i="20"/>
  <c r="N182" i="20"/>
  <c r="K164" i="20"/>
  <c r="K172" i="20"/>
  <c r="K173" i="20"/>
  <c r="K180" i="20"/>
  <c r="N183" i="20"/>
  <c r="K170" i="20"/>
  <c r="K174" i="20"/>
  <c r="M184" i="20"/>
  <c r="K169" i="20"/>
  <c r="A419" i="10"/>
  <c r="A14" i="10"/>
  <c r="A13" i="10"/>
  <c r="A12" i="10"/>
  <c r="A11" i="10"/>
  <c r="A10" i="10"/>
  <c r="A9" i="10"/>
  <c r="A8" i="10"/>
  <c r="A7" i="10"/>
  <c r="A6" i="10"/>
  <c r="A5" i="10"/>
  <c r="A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20" i="10"/>
  <c r="A421" i="10"/>
  <c r="E426" i="5" l="1"/>
  <c r="E427" i="5"/>
  <c r="N117" i="10" l="1"/>
  <c r="N80" i="10"/>
  <c r="V220" i="10"/>
  <c r="AU373" i="5" l="1"/>
  <c r="AO373" i="5"/>
  <c r="AI373" i="5"/>
  <c r="AC371" i="5"/>
  <c r="AC373" i="5"/>
  <c r="AC374" i="5"/>
  <c r="N387" i="10" l="1"/>
  <c r="N385" i="10"/>
  <c r="N64" i="10"/>
  <c r="AC412" i="5" s="1"/>
  <c r="AC410" i="5"/>
  <c r="AC16" i="5" l="1"/>
  <c r="AC14" i="5"/>
  <c r="X418" i="10"/>
  <c r="X388" i="10"/>
  <c r="AD396" i="10"/>
  <c r="N396" i="10" s="1"/>
  <c r="AD374" i="10"/>
  <c r="N374" i="10" s="1"/>
  <c r="AD40" i="10"/>
  <c r="N40" i="10" s="1"/>
  <c r="N417" i="10"/>
  <c r="N390" i="10"/>
  <c r="N114" i="10"/>
  <c r="N54" i="10"/>
  <c r="N53" i="10"/>
  <c r="N389" i="10"/>
  <c r="N52" i="10"/>
  <c r="AC13" i="5" l="1"/>
  <c r="AC378" i="5"/>
  <c r="N51" i="10"/>
  <c r="AD334" i="10" l="1"/>
  <c r="AD278" i="10"/>
  <c r="AD205" i="10"/>
  <c r="D68" i="15" l="1"/>
  <c r="D69" i="15" s="1"/>
  <c r="E68" i="15"/>
  <c r="E69" i="15" s="1"/>
  <c r="F68" i="15"/>
  <c r="F69" i="15" s="1"/>
  <c r="C68" i="15"/>
  <c r="C69" i="15" s="1"/>
  <c r="B113" i="12" l="1"/>
  <c r="B106" i="12"/>
  <c r="B114" i="12" s="1"/>
  <c r="B115" i="12" s="1"/>
  <c r="K97" i="12"/>
  <c r="L97" i="12" s="1"/>
  <c r="K96" i="12"/>
  <c r="L96" i="12" s="1"/>
  <c r="K95" i="12"/>
  <c r="L95" i="12" s="1"/>
  <c r="K94" i="12"/>
  <c r="L94" i="12" s="1"/>
  <c r="K93" i="12"/>
  <c r="L93" i="12" s="1"/>
  <c r="K92" i="12"/>
  <c r="L92" i="12" s="1"/>
  <c r="K91" i="12"/>
  <c r="L91" i="12" s="1"/>
  <c r="K90" i="12"/>
  <c r="L90" i="12" s="1"/>
  <c r="C121" i="12" l="1"/>
  <c r="B121" i="12"/>
  <c r="L98" i="12"/>
  <c r="K98" i="12"/>
  <c r="T241" i="10"/>
  <c r="T215" i="10"/>
  <c r="U152" i="10"/>
  <c r="T152" i="10"/>
  <c r="O38" i="16" l="1"/>
  <c r="P38" i="16"/>
  <c r="Q38" i="16"/>
  <c r="N38" i="16"/>
  <c r="S215" i="10" l="1"/>
  <c r="S241" i="10"/>
  <c r="S244" i="10"/>
  <c r="S245" i="10"/>
  <c r="V236" i="10"/>
  <c r="V237" i="10"/>
  <c r="V238" i="10"/>
  <c r="V239" i="10"/>
  <c r="V240" i="10"/>
  <c r="V243" i="10"/>
  <c r="V245" i="10"/>
  <c r="V217" i="10"/>
  <c r="V218" i="10"/>
  <c r="V219" i="10"/>
  <c r="V216" i="10"/>
  <c r="V210" i="10"/>
  <c r="V211" i="10"/>
  <c r="V212" i="10"/>
  <c r="V213" i="10"/>
  <c r="V214" i="10"/>
  <c r="V215" i="10"/>
  <c r="W209" i="10"/>
  <c r="X209" i="10"/>
  <c r="Y209" i="10"/>
  <c r="Z209" i="10"/>
  <c r="AA209" i="10"/>
  <c r="AB209" i="10"/>
  <c r="AC209" i="10"/>
  <c r="AD209" i="10"/>
  <c r="AE209" i="10"/>
  <c r="AF209" i="10"/>
  <c r="AG209" i="10"/>
  <c r="AH209" i="10"/>
  <c r="AI209" i="10"/>
  <c r="AJ209" i="10"/>
  <c r="AK209" i="10"/>
  <c r="AL209" i="10"/>
  <c r="AM209" i="10"/>
  <c r="AN209" i="10"/>
  <c r="AO209" i="10"/>
  <c r="AP209" i="10"/>
  <c r="AQ209" i="10"/>
  <c r="AR209" i="10"/>
  <c r="AS209" i="10"/>
  <c r="AT209" i="10"/>
  <c r="V209" i="10"/>
  <c r="BE9" i="5"/>
  <c r="BE10" i="5"/>
  <c r="BE11" i="5"/>
  <c r="BE12" i="5"/>
  <c r="BE13" i="5"/>
  <c r="BE14" i="5"/>
  <c r="BE15" i="5"/>
  <c r="BE16" i="5"/>
  <c r="BE17" i="5"/>
  <c r="BE18" i="5"/>
  <c r="BE19" i="5"/>
  <c r="BE20" i="5"/>
  <c r="BE21" i="5"/>
  <c r="BE22" i="5"/>
  <c r="BE23" i="5"/>
  <c r="BE24" i="5"/>
  <c r="BE25" i="5"/>
  <c r="BE26" i="5"/>
  <c r="BE27" i="5"/>
  <c r="BE29" i="5"/>
  <c r="BE30" i="5"/>
  <c r="BE31" i="5"/>
  <c r="BE32" i="5"/>
  <c r="BE33" i="5"/>
  <c r="BE34" i="5"/>
  <c r="BE35" i="5"/>
  <c r="BE36" i="5"/>
  <c r="BE37" i="5"/>
  <c r="BE38" i="5"/>
  <c r="BE39" i="5"/>
  <c r="BE40" i="5"/>
  <c r="BE41" i="5"/>
  <c r="BE42" i="5"/>
  <c r="BE43" i="5"/>
  <c r="BE44" i="5"/>
  <c r="BE45" i="5"/>
  <c r="BE46" i="5"/>
  <c r="BE47" i="5"/>
  <c r="BE48" i="5"/>
  <c r="BE49" i="5"/>
  <c r="BE50" i="5"/>
  <c r="BE51" i="5"/>
  <c r="BE52" i="5"/>
  <c r="BE54" i="5"/>
  <c r="BE55" i="5"/>
  <c r="BE56" i="5"/>
  <c r="BE57" i="5"/>
  <c r="BE58" i="5"/>
  <c r="BE59" i="5"/>
  <c r="BE60" i="5"/>
  <c r="BE61" i="5"/>
  <c r="BE62" i="5"/>
  <c r="BE63" i="5"/>
  <c r="BE64" i="5"/>
  <c r="BE65" i="5"/>
  <c r="BE66" i="5"/>
  <c r="BE67" i="5"/>
  <c r="BE68" i="5"/>
  <c r="BE69" i="5"/>
  <c r="BE74" i="5"/>
  <c r="BE75" i="5"/>
  <c r="BE76" i="5"/>
  <c r="BE77" i="5"/>
  <c r="BE78" i="5"/>
  <c r="BE79" i="5"/>
  <c r="BE81" i="5"/>
  <c r="BE82" i="5"/>
  <c r="BE83" i="5"/>
  <c r="BE84" i="5"/>
  <c r="BE85" i="5"/>
  <c r="BE86" i="5"/>
  <c r="BE87" i="5"/>
  <c r="BE88" i="5"/>
  <c r="BE89" i="5"/>
  <c r="BE90" i="5"/>
  <c r="BE91" i="5"/>
  <c r="BE92" i="5"/>
  <c r="BE93" i="5"/>
  <c r="BE94" i="5"/>
  <c r="BE95" i="5"/>
  <c r="BE96" i="5"/>
  <c r="BE97" i="5"/>
  <c r="BE98" i="5"/>
  <c r="BE99" i="5"/>
  <c r="BE100" i="5"/>
  <c r="BE101" i="5"/>
  <c r="BE102" i="5"/>
  <c r="BE103" i="5"/>
  <c r="BE104" i="5"/>
  <c r="BE105" i="5"/>
  <c r="BE107" i="5"/>
  <c r="BE108" i="5"/>
  <c r="BE109" i="5"/>
  <c r="BE110" i="5"/>
  <c r="BE111" i="5"/>
  <c r="BE112" i="5"/>
  <c r="BE113" i="5"/>
  <c r="BE114" i="5"/>
  <c r="BE115" i="5"/>
  <c r="BE117" i="5"/>
  <c r="BE118"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4" i="5"/>
  <c r="BE146" i="5"/>
  <c r="BE147" i="5"/>
  <c r="BE148" i="5"/>
  <c r="BE149" i="5"/>
  <c r="BE151" i="5"/>
  <c r="BE152" i="5"/>
  <c r="BE153" i="5"/>
  <c r="BE154" i="5"/>
  <c r="BE155" i="5"/>
  <c r="BE156" i="5"/>
  <c r="BE161" i="5"/>
  <c r="BE162" i="5"/>
  <c r="BE163" i="5"/>
  <c r="BE164" i="5"/>
  <c r="BE165" i="5"/>
  <c r="BE166" i="5"/>
  <c r="BE167" i="5"/>
  <c r="BE169" i="5"/>
  <c r="BE170" i="5"/>
  <c r="BE171" i="5"/>
  <c r="BE172" i="5"/>
  <c r="BE173" i="5"/>
  <c r="BE174" i="5"/>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8" i="5"/>
  <c r="BE209" i="5"/>
  <c r="BE210" i="5"/>
  <c r="BE211" i="5"/>
  <c r="BE246" i="5"/>
  <c r="BE248" i="5"/>
  <c r="BE249" i="5"/>
  <c r="BE250" i="5"/>
  <c r="BE251" i="5"/>
  <c r="BE252" i="5"/>
  <c r="BE253" i="5"/>
  <c r="BE254" i="5"/>
  <c r="BE255" i="5"/>
  <c r="BE256" i="5"/>
  <c r="BE258" i="5"/>
  <c r="BE259" i="5"/>
  <c r="BE260" i="5"/>
  <c r="BE261" i="5"/>
  <c r="BE262" i="5"/>
  <c r="BE263" i="5"/>
  <c r="BE264" i="5"/>
  <c r="BE265" i="5"/>
  <c r="BE266" i="5"/>
  <c r="BE267" i="5"/>
  <c r="BE268" i="5"/>
  <c r="BE269" i="5"/>
  <c r="BE270" i="5"/>
  <c r="BE271" i="5"/>
  <c r="BE272" i="5"/>
  <c r="BE273" i="5"/>
  <c r="BE274" i="5"/>
  <c r="BE275" i="5"/>
  <c r="BE276" i="5"/>
  <c r="BE277" i="5"/>
  <c r="BE278" i="5"/>
  <c r="BE279" i="5"/>
  <c r="BE281" i="5"/>
  <c r="BE282" i="5"/>
  <c r="BE283" i="5"/>
  <c r="BE284" i="5"/>
  <c r="BE285" i="5"/>
  <c r="BE286" i="5"/>
  <c r="BE287" i="5"/>
  <c r="BE288" i="5"/>
  <c r="BE289" i="5"/>
  <c r="BE290" i="5"/>
  <c r="BE291" i="5"/>
  <c r="BE292" i="5"/>
  <c r="BE293" i="5"/>
  <c r="BE294" i="5"/>
  <c r="BE295" i="5"/>
  <c r="BE299" i="5"/>
  <c r="BE300" i="5"/>
  <c r="BE301" i="5"/>
  <c r="BE302" i="5"/>
  <c r="BE303" i="5"/>
  <c r="BE306" i="5"/>
  <c r="BE307" i="5"/>
  <c r="BE308" i="5"/>
  <c r="BE309" i="5"/>
  <c r="BE310" i="5"/>
  <c r="BE311" i="5"/>
  <c r="BE312" i="5"/>
  <c r="BE314" i="5"/>
  <c r="BE315" i="5"/>
  <c r="BE316" i="5"/>
  <c r="BE317" i="5"/>
  <c r="BE318" i="5"/>
  <c r="BE319" i="5"/>
  <c r="BE320" i="5"/>
  <c r="BE321" i="5"/>
  <c r="BE322" i="5"/>
  <c r="BE323" i="5"/>
  <c r="BE324" i="5"/>
  <c r="BE325" i="5"/>
  <c r="BE326" i="5"/>
  <c r="BE327" i="5"/>
  <c r="BE328" i="5"/>
  <c r="BE329" i="5"/>
  <c r="BE330" i="5"/>
  <c r="BE331" i="5"/>
  <c r="BE332" i="5"/>
  <c r="BE333" i="5"/>
  <c r="BE334" i="5"/>
  <c r="BE335" i="5"/>
  <c r="BE337" i="5"/>
  <c r="BE338" i="5"/>
  <c r="BE339" i="5"/>
  <c r="BE340" i="5"/>
  <c r="BE341" i="5"/>
  <c r="BE342" i="5"/>
  <c r="BE343" i="5"/>
  <c r="BE344" i="5"/>
  <c r="BE345" i="5"/>
  <c r="BE346" i="5"/>
  <c r="BE347" i="5"/>
  <c r="BE348" i="5"/>
  <c r="BE349" i="5"/>
  <c r="BE350" i="5"/>
  <c r="BE351" i="5"/>
  <c r="BE354" i="5"/>
  <c r="BE355" i="5"/>
  <c r="BE356" i="5"/>
  <c r="BE357" i="5"/>
  <c r="BE358" i="5"/>
  <c r="BE359" i="5"/>
  <c r="BE360" i="5"/>
  <c r="BE361" i="5"/>
  <c r="BE362" i="5"/>
  <c r="BE363" i="5"/>
  <c r="BE364" i="5"/>
  <c r="BE365" i="5"/>
  <c r="BE366" i="5"/>
  <c r="BE367" i="5"/>
  <c r="BE368" i="5"/>
  <c r="BE369" i="5"/>
  <c r="BE370" i="5"/>
  <c r="BE371" i="5"/>
  <c r="BE372" i="5"/>
  <c r="BE373" i="5"/>
  <c r="BE375" i="5"/>
  <c r="BE376" i="5"/>
  <c r="BE377" i="5"/>
  <c r="BE378" i="5"/>
  <c r="BE379" i="5"/>
  <c r="BE380" i="5"/>
  <c r="BE381" i="5"/>
  <c r="BE382" i="5"/>
  <c r="BE383" i="5"/>
  <c r="BE384" i="5"/>
  <c r="BE385" i="5"/>
  <c r="BE386" i="5"/>
  <c r="BE387" i="5"/>
  <c r="BE388" i="5"/>
  <c r="BE389" i="5"/>
  <c r="BE390" i="5"/>
  <c r="BE391" i="5"/>
  <c r="BE392" i="5"/>
  <c r="BE393" i="5"/>
  <c r="BE394" i="5"/>
  <c r="BE395" i="5"/>
  <c r="BE396" i="5"/>
  <c r="BE397" i="5"/>
  <c r="BE398" i="5"/>
  <c r="BE399" i="5"/>
  <c r="BE400" i="5"/>
  <c r="BE401" i="5"/>
  <c r="BE402" i="5"/>
  <c r="BE403" i="5"/>
  <c r="BE404" i="5"/>
  <c r="BE405" i="5"/>
  <c r="BE406" i="5"/>
  <c r="BE407" i="5"/>
  <c r="BE421" i="5"/>
  <c r="BE422" i="5"/>
  <c r="BE423" i="5"/>
  <c r="BE424" i="5"/>
  <c r="BE8" i="5"/>
  <c r="BE225" i="5" l="1"/>
  <c r="BE226" i="5"/>
  <c r="BE227" i="5"/>
  <c r="BE228" i="5"/>
  <c r="BE229" i="5"/>
  <c r="BE230" i="5"/>
  <c r="BE231" i="5"/>
  <c r="BE232" i="5"/>
  <c r="BE233" i="5"/>
  <c r="BE234" i="5"/>
  <c r="BE235" i="5"/>
  <c r="BE236" i="5"/>
  <c r="BE237" i="5"/>
  <c r="BE238" i="5"/>
  <c r="BE239" i="5"/>
  <c r="H9" i="5" l="1"/>
  <c r="I9" i="5"/>
  <c r="J9" i="5"/>
  <c r="K9" i="5"/>
  <c r="H10" i="5"/>
  <c r="I10" i="5"/>
  <c r="J10" i="5"/>
  <c r="K10" i="5"/>
  <c r="H11" i="5"/>
  <c r="I11" i="5"/>
  <c r="J11" i="5"/>
  <c r="K11" i="5"/>
  <c r="K12" i="5"/>
  <c r="K15" i="5"/>
  <c r="K16" i="5"/>
  <c r="K17" i="5"/>
  <c r="K18" i="5"/>
  <c r="K19" i="5"/>
  <c r="K20" i="5"/>
  <c r="K21" i="5"/>
  <c r="K22" i="5"/>
  <c r="K23" i="5"/>
  <c r="K153" i="10"/>
  <c r="L153" i="10" s="1"/>
  <c r="M153" i="10" s="1"/>
  <c r="K13" i="5" s="1"/>
  <c r="K154" i="10"/>
  <c r="L154" i="10" s="1"/>
  <c r="M154" i="10" s="1"/>
  <c r="K14" i="5" s="1"/>
  <c r="K293" i="10"/>
  <c r="L293" i="10" s="1"/>
  <c r="M293" i="10" s="1"/>
  <c r="K294" i="10"/>
  <c r="L294" i="10" s="1"/>
  <c r="M294" i="10" s="1"/>
  <c r="A156" i="5" l="1"/>
  <c r="B156" i="5"/>
  <c r="D156" i="5"/>
  <c r="AV156" i="5" s="1"/>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12" i="5"/>
  <c r="D12" i="5"/>
  <c r="AV12" i="5" s="1"/>
  <c r="G12" i="5"/>
  <c r="L12" i="5"/>
  <c r="R12" i="5"/>
  <c r="V12" i="5" s="1"/>
  <c r="S12" i="5"/>
  <c r="T12" i="5"/>
  <c r="U12" i="5"/>
  <c r="AH12" i="5"/>
  <c r="A13" i="5"/>
  <c r="B13" i="5"/>
  <c r="D13" i="5"/>
  <c r="AV13" i="5" s="1"/>
  <c r="G13" i="5"/>
  <c r="L13" i="5"/>
  <c r="R13" i="5"/>
  <c r="S13" i="5"/>
  <c r="T13" i="5"/>
  <c r="U13" i="5"/>
  <c r="AH13" i="5"/>
  <c r="A14" i="5"/>
  <c r="B14" i="5"/>
  <c r="D14" i="5"/>
  <c r="AV14" i="5" s="1"/>
  <c r="G14" i="5"/>
  <c r="L14" i="5"/>
  <c r="R14" i="5"/>
  <c r="S14" i="5"/>
  <c r="T14" i="5"/>
  <c r="U14" i="5"/>
  <c r="AH14" i="5"/>
  <c r="A15" i="5"/>
  <c r="B15" i="5"/>
  <c r="D15" i="5"/>
  <c r="AV15" i="5" s="1"/>
  <c r="G15" i="5"/>
  <c r="L15" i="5"/>
  <c r="R15" i="5"/>
  <c r="S15" i="5"/>
  <c r="T15" i="5"/>
  <c r="U15" i="5"/>
  <c r="AH15" i="5"/>
  <c r="A16" i="5"/>
  <c r="B16" i="5"/>
  <c r="D16" i="5"/>
  <c r="AV16" i="5" s="1"/>
  <c r="G16" i="5"/>
  <c r="L16" i="5"/>
  <c r="R16" i="5"/>
  <c r="S16" i="5"/>
  <c r="T16" i="5"/>
  <c r="U16" i="5"/>
  <c r="AH16" i="5"/>
  <c r="A17" i="5"/>
  <c r="B17" i="5"/>
  <c r="D17" i="5"/>
  <c r="AV17" i="5" s="1"/>
  <c r="G17" i="5"/>
  <c r="L17" i="5"/>
  <c r="R17" i="5"/>
  <c r="S17" i="5"/>
  <c r="T17" i="5"/>
  <c r="U17" i="5"/>
  <c r="AH17" i="5"/>
  <c r="A18" i="5"/>
  <c r="B18" i="5"/>
  <c r="D18" i="5"/>
  <c r="AV18" i="5" s="1"/>
  <c r="G18" i="5"/>
  <c r="L18" i="5"/>
  <c r="R18" i="5"/>
  <c r="S18" i="5"/>
  <c r="T18" i="5"/>
  <c r="U18" i="5"/>
  <c r="AH18" i="5"/>
  <c r="A19" i="5"/>
  <c r="B19" i="5"/>
  <c r="D19" i="5"/>
  <c r="AV19" i="5" s="1"/>
  <c r="G19" i="5"/>
  <c r="L19" i="5"/>
  <c r="R19" i="5"/>
  <c r="S19" i="5"/>
  <c r="T19" i="5"/>
  <c r="U19" i="5"/>
  <c r="AH19" i="5"/>
  <c r="A20" i="5"/>
  <c r="B20" i="5"/>
  <c r="D20" i="5"/>
  <c r="AV20" i="5" s="1"/>
  <c r="G20" i="5"/>
  <c r="L20" i="5"/>
  <c r="R20" i="5"/>
  <c r="S20" i="5"/>
  <c r="T20" i="5"/>
  <c r="U20" i="5"/>
  <c r="AH20" i="5"/>
  <c r="A21" i="5"/>
  <c r="B21" i="5"/>
  <c r="D21" i="5"/>
  <c r="AV21" i="5" s="1"/>
  <c r="G21" i="5"/>
  <c r="L21" i="5"/>
  <c r="R21" i="5"/>
  <c r="S21" i="5"/>
  <c r="T21" i="5"/>
  <c r="U21" i="5"/>
  <c r="AH21" i="5"/>
  <c r="A22" i="5"/>
  <c r="B22" i="5"/>
  <c r="D22" i="5"/>
  <c r="AV22" i="5" s="1"/>
  <c r="G22" i="5"/>
  <c r="L22" i="5"/>
  <c r="R22" i="5"/>
  <c r="S22" i="5"/>
  <c r="T22" i="5"/>
  <c r="U22" i="5"/>
  <c r="AH22" i="5"/>
  <c r="A23" i="5"/>
  <c r="B23" i="5"/>
  <c r="D23" i="5"/>
  <c r="AV23" i="5" s="1"/>
  <c r="G23" i="5"/>
  <c r="L23" i="5"/>
  <c r="R23" i="5"/>
  <c r="S23" i="5"/>
  <c r="T23" i="5"/>
  <c r="U23" i="5"/>
  <c r="AH23" i="5"/>
  <c r="A24" i="5"/>
  <c r="B24" i="5"/>
  <c r="D24" i="5"/>
  <c r="AV24" i="5" s="1"/>
  <c r="G24" i="5"/>
  <c r="L24" i="5"/>
  <c r="R24" i="5"/>
  <c r="S24" i="5"/>
  <c r="T24" i="5"/>
  <c r="U24" i="5"/>
  <c r="AH24" i="5"/>
  <c r="A25" i="5"/>
  <c r="B25" i="5"/>
  <c r="D25" i="5"/>
  <c r="AV25" i="5" s="1"/>
  <c r="G25" i="5"/>
  <c r="L25" i="5"/>
  <c r="R25" i="5"/>
  <c r="S25" i="5"/>
  <c r="T25" i="5"/>
  <c r="U25" i="5"/>
  <c r="AH25" i="5"/>
  <c r="A26" i="5"/>
  <c r="B26" i="5"/>
  <c r="D26" i="5"/>
  <c r="AV26" i="5" s="1"/>
  <c r="G26" i="5"/>
  <c r="L26" i="5"/>
  <c r="R26" i="5"/>
  <c r="S26" i="5"/>
  <c r="T26" i="5"/>
  <c r="U26" i="5"/>
  <c r="AH26" i="5"/>
  <c r="A27" i="5"/>
  <c r="B27" i="5"/>
  <c r="D27" i="5"/>
  <c r="AV27" i="5" s="1"/>
  <c r="G27" i="5"/>
  <c r="L27" i="5"/>
  <c r="R27" i="5"/>
  <c r="S27" i="5"/>
  <c r="T27" i="5"/>
  <c r="U27" i="5"/>
  <c r="AH27" i="5"/>
  <c r="A28" i="5"/>
  <c r="B28" i="5"/>
  <c r="D28" i="5"/>
  <c r="AV28" i="5" s="1"/>
  <c r="G28" i="5"/>
  <c r="H28" i="5"/>
  <c r="I28" i="5"/>
  <c r="J28" i="5"/>
  <c r="K28" i="5"/>
  <c r="L28" i="5"/>
  <c r="M28" i="5"/>
  <c r="BE28" i="5" s="1"/>
  <c r="R28" i="5"/>
  <c r="S28" i="5"/>
  <c r="T28" i="5"/>
  <c r="U28" i="5"/>
  <c r="AH28" i="5"/>
  <c r="C426" i="5"/>
  <c r="C427" i="5"/>
  <c r="O24" i="10"/>
  <c r="AH25" i="10"/>
  <c r="N25" i="10" s="1"/>
  <c r="AH26" i="10"/>
  <c r="N26" i="10" s="1"/>
  <c r="AD27" i="10"/>
  <c r="N27" i="10" s="1"/>
  <c r="AD28" i="10"/>
  <c r="Z29" i="10"/>
  <c r="AD29" i="10"/>
  <c r="AF29" i="10"/>
  <c r="AJ29" i="10"/>
  <c r="N30" i="10"/>
  <c r="N31" i="10"/>
  <c r="N32" i="10"/>
  <c r="N33" i="10"/>
  <c r="N34" i="10"/>
  <c r="N35" i="10"/>
  <c r="N36" i="10"/>
  <c r="AH37" i="10"/>
  <c r="N37" i="10" s="1"/>
  <c r="AH38" i="10"/>
  <c r="N38" i="10" s="1"/>
  <c r="AD39" i="10"/>
  <c r="N39" i="10" s="1"/>
  <c r="O40" i="10"/>
  <c r="Z41" i="10"/>
  <c r="AD41" i="10"/>
  <c r="AF41" i="10"/>
  <c r="AJ41" i="10"/>
  <c r="N42" i="10"/>
  <c r="N43" i="10"/>
  <c r="N44" i="10"/>
  <c r="N45" i="10"/>
  <c r="AC296" i="5" s="1"/>
  <c r="N46" i="10"/>
  <c r="N47" i="10"/>
  <c r="N48" i="10"/>
  <c r="O49" i="10"/>
  <c r="AF50" i="10"/>
  <c r="N50" i="10" s="1"/>
  <c r="AC413" i="5" s="1"/>
  <c r="O51" i="10"/>
  <c r="O52" i="10"/>
  <c r="O53" i="10"/>
  <c r="O54" i="10"/>
  <c r="N55" i="10"/>
  <c r="AC414" i="5" s="1"/>
  <c r="N56" i="10"/>
  <c r="AC415" i="5" s="1"/>
  <c r="N57" i="10"/>
  <c r="AC416" i="5" s="1"/>
  <c r="N58" i="10"/>
  <c r="AC417" i="5" s="1"/>
  <c r="N59" i="10"/>
  <c r="AC418" i="5" s="1"/>
  <c r="N60" i="10"/>
  <c r="AC419" i="5" s="1"/>
  <c r="O61" i="10"/>
  <c r="Z62" i="10"/>
  <c r="AC411" i="5" s="1"/>
  <c r="N63" i="10"/>
  <c r="AC420" i="5" s="1"/>
  <c r="O64" i="10"/>
  <c r="Z65" i="10"/>
  <c r="N65" i="10" s="1"/>
  <c r="AC421" i="5" s="1"/>
  <c r="N66" i="10"/>
  <c r="N67" i="10"/>
  <c r="N68" i="10"/>
  <c r="N69" i="10"/>
  <c r="AC425" i="5" s="1"/>
  <c r="N70" i="10"/>
  <c r="N71" i="10"/>
  <c r="N72" i="10"/>
  <c r="N73" i="10"/>
  <c r="N74" i="10"/>
  <c r="N75" i="10"/>
  <c r="N76" i="10"/>
  <c r="N77" i="10"/>
  <c r="N78" i="10"/>
  <c r="N79" i="10"/>
  <c r="N97" i="10"/>
  <c r="AC366" i="5" s="1"/>
  <c r="N98" i="10"/>
  <c r="AC367" i="5" s="1"/>
  <c r="N99" i="10"/>
  <c r="AC368" i="5" s="1"/>
  <c r="N100" i="10"/>
  <c r="AC369" i="5" s="1"/>
  <c r="N101" i="10"/>
  <c r="O102" i="10"/>
  <c r="AI371" i="5" s="1"/>
  <c r="AB104" i="10"/>
  <c r="N105" i="10"/>
  <c r="N106" i="10"/>
  <c r="N107" i="10"/>
  <c r="N108" i="10"/>
  <c r="N109" i="10"/>
  <c r="N110" i="10"/>
  <c r="N111" i="10"/>
  <c r="N112" i="10"/>
  <c r="N113" i="10"/>
  <c r="O114" i="10"/>
  <c r="N115" i="10"/>
  <c r="N116" i="10"/>
  <c r="N134" i="10"/>
  <c r="N135" i="10"/>
  <c r="N136" i="10"/>
  <c r="N137" i="10"/>
  <c r="N138" i="10"/>
  <c r="O139" i="10"/>
  <c r="O141" i="10"/>
  <c r="N142" i="10"/>
  <c r="N143" i="10"/>
  <c r="N144" i="10"/>
  <c r="AF145" i="10"/>
  <c r="N145" i="10" s="1"/>
  <c r="N146" i="10"/>
  <c r="AC12" i="5" s="1"/>
  <c r="N147" i="10"/>
  <c r="N148" i="10"/>
  <c r="N149" i="10"/>
  <c r="AF151" i="10"/>
  <c r="N151" i="10" s="1"/>
  <c r="O153" i="10"/>
  <c r="O154" i="10"/>
  <c r="O155" i="10"/>
  <c r="O156" i="10"/>
  <c r="N157" i="10"/>
  <c r="N158" i="10"/>
  <c r="N159" i="10"/>
  <c r="N160" i="10"/>
  <c r="N161" i="10"/>
  <c r="N162" i="10"/>
  <c r="N163" i="10"/>
  <c r="N164" i="10"/>
  <c r="O165" i="10"/>
  <c r="X166" i="10"/>
  <c r="Z166" i="10"/>
  <c r="AB166" i="10"/>
  <c r="O167" i="10"/>
  <c r="X168" i="10"/>
  <c r="Z168" i="10"/>
  <c r="AB168" i="10"/>
  <c r="N173" i="10"/>
  <c r="N174" i="10"/>
  <c r="N175" i="10"/>
  <c r="N176" i="10"/>
  <c r="N177" i="10"/>
  <c r="N178" i="10"/>
  <c r="N179" i="10"/>
  <c r="N180" i="10"/>
  <c r="N181" i="10"/>
  <c r="N182" i="10"/>
  <c r="AF198" i="10"/>
  <c r="N198" i="10" s="1"/>
  <c r="N199" i="10"/>
  <c r="N200" i="10"/>
  <c r="AC169" i="5" s="1"/>
  <c r="N201" i="10"/>
  <c r="N202" i="10"/>
  <c r="AC171" i="5" s="1"/>
  <c r="O203" i="10"/>
  <c r="AB205" i="10"/>
  <c r="AJ205" i="10"/>
  <c r="V208" i="10"/>
  <c r="N246" i="10"/>
  <c r="N247" i="10"/>
  <c r="AC18" i="5" s="1"/>
  <c r="N248" i="10"/>
  <c r="AC19" i="5" s="1"/>
  <c r="N249" i="10"/>
  <c r="AC20" i="5" s="1"/>
  <c r="N250" i="10"/>
  <c r="N251" i="10"/>
  <c r="AC22" i="5" s="1"/>
  <c r="N252" i="10"/>
  <c r="AC23" i="5" s="1"/>
  <c r="N253" i="10"/>
  <c r="N254" i="10"/>
  <c r="AC25" i="5" s="1"/>
  <c r="N255" i="10"/>
  <c r="AC26" i="5" s="1"/>
  <c r="N256" i="10"/>
  <c r="AC27" i="5" s="1"/>
  <c r="N257" i="10"/>
  <c r="AC28" i="5" s="1"/>
  <c r="AF271" i="10"/>
  <c r="N271" i="10" s="1"/>
  <c r="N272" i="10"/>
  <c r="N273" i="10"/>
  <c r="AC44" i="5" s="1"/>
  <c r="N274" i="10"/>
  <c r="N275" i="10"/>
  <c r="O276" i="10"/>
  <c r="AB278" i="10"/>
  <c r="AJ278" i="10"/>
  <c r="O279" i="10"/>
  <c r="X280" i="10"/>
  <c r="Z280" i="10"/>
  <c r="AB280" i="10"/>
  <c r="O281" i="10"/>
  <c r="X282" i="10"/>
  <c r="Z282" i="10"/>
  <c r="AB282" i="10"/>
  <c r="N287" i="10"/>
  <c r="N288" i="10"/>
  <c r="N289" i="10"/>
  <c r="N290" i="10"/>
  <c r="AC305" i="5" s="1"/>
  <c r="N291" i="10"/>
  <c r="O292" i="10"/>
  <c r="O293" i="10"/>
  <c r="O294" i="10"/>
  <c r="N295" i="10"/>
  <c r="N296" i="10"/>
  <c r="N297" i="10"/>
  <c r="AF299" i="10"/>
  <c r="N299" i="10" s="1"/>
  <c r="O300" i="10"/>
  <c r="O301" i="10"/>
  <c r="N302" i="10"/>
  <c r="N303" i="10"/>
  <c r="N304" i="10"/>
  <c r="N305" i="10"/>
  <c r="N306" i="10"/>
  <c r="N307" i="10"/>
  <c r="N308" i="10"/>
  <c r="N309" i="10"/>
  <c r="N310" i="10"/>
  <c r="N311" i="10"/>
  <c r="N312" i="10"/>
  <c r="N313" i="10"/>
  <c r="AF327" i="10"/>
  <c r="N327" i="10" s="1"/>
  <c r="N328" i="10"/>
  <c r="N329" i="10"/>
  <c r="N330" i="10"/>
  <c r="N331" i="10"/>
  <c r="O332" i="10"/>
  <c r="AB334" i="10"/>
  <c r="AJ334" i="10"/>
  <c r="O335" i="10"/>
  <c r="X336" i="10"/>
  <c r="Z336" i="10"/>
  <c r="AB336" i="10"/>
  <c r="O337" i="10"/>
  <c r="X338" i="10"/>
  <c r="Z338" i="10"/>
  <c r="AB338" i="10"/>
  <c r="N343" i="10"/>
  <c r="N344" i="10"/>
  <c r="N345" i="10"/>
  <c r="N346" i="10"/>
  <c r="N347" i="10"/>
  <c r="O348" i="10"/>
  <c r="O349" i="10"/>
  <c r="O370" i="10"/>
  <c r="AH371" i="10"/>
  <c r="N371" i="10" s="1"/>
  <c r="AH372" i="10"/>
  <c r="N372" i="10" s="1"/>
  <c r="AC387" i="5" s="1"/>
  <c r="AD373" i="10"/>
  <c r="N373" i="10" s="1"/>
  <c r="O374" i="10"/>
  <c r="Z375" i="10"/>
  <c r="AD375" i="10"/>
  <c r="AF375" i="10"/>
  <c r="AJ375" i="10"/>
  <c r="N376" i="10"/>
  <c r="N377" i="10"/>
  <c r="AC391" i="5" s="1"/>
  <c r="N378" i="10"/>
  <c r="N379" i="10"/>
  <c r="AC393" i="5" s="1"/>
  <c r="N380" i="10"/>
  <c r="N381" i="10"/>
  <c r="N382" i="10"/>
  <c r="O383" i="10"/>
  <c r="Z384" i="10"/>
  <c r="O385" i="10"/>
  <c r="Z386" i="10"/>
  <c r="N386" i="10" s="1"/>
  <c r="O387" i="10"/>
  <c r="N388" i="10"/>
  <c r="O389" i="10"/>
  <c r="O390" i="10"/>
  <c r="N391" i="10"/>
  <c r="O392" i="10"/>
  <c r="AH393" i="10"/>
  <c r="N393" i="10" s="1"/>
  <c r="AC400" i="5" s="1"/>
  <c r="AH394" i="10"/>
  <c r="N394" i="10" s="1"/>
  <c r="AD395" i="10"/>
  <c r="N395" i="10" s="1"/>
  <c r="O396" i="10"/>
  <c r="N397" i="10"/>
  <c r="N398" i="10"/>
  <c r="N399" i="10"/>
  <c r="N400" i="10"/>
  <c r="N401" i="10"/>
  <c r="N402" i="10"/>
  <c r="AC408" i="5" s="1"/>
  <c r="N403" i="10"/>
  <c r="AC409" i="5" s="1"/>
  <c r="O404" i="10"/>
  <c r="O405" i="10"/>
  <c r="O406" i="10"/>
  <c r="O407" i="10"/>
  <c r="O408" i="10"/>
  <c r="O409" i="10"/>
  <c r="O410" i="10"/>
  <c r="O411" i="10"/>
  <c r="O412" i="10"/>
  <c r="O413" i="10"/>
  <c r="O414" i="10"/>
  <c r="O415" i="10"/>
  <c r="O416" i="10"/>
  <c r="O417" i="10"/>
  <c r="N418" i="10"/>
  <c r="N419" i="10"/>
  <c r="N420" i="10"/>
  <c r="O421" i="10"/>
  <c r="E27" i="5" l="1"/>
  <c r="E25" i="5"/>
  <c r="E23" i="5"/>
  <c r="E21" i="5"/>
  <c r="E19" i="5"/>
  <c r="E17" i="5"/>
  <c r="E15" i="5"/>
  <c r="E13" i="5"/>
  <c r="E28" i="5"/>
  <c r="E26" i="5"/>
  <c r="E24" i="5"/>
  <c r="E22" i="5"/>
  <c r="E20" i="5"/>
  <c r="E18" i="5"/>
  <c r="E16" i="5"/>
  <c r="E14" i="5"/>
  <c r="E12" i="5"/>
  <c r="E156" i="5"/>
  <c r="F12" i="5"/>
  <c r="K13" i="11"/>
  <c r="F27" i="5"/>
  <c r="F25" i="5"/>
  <c r="F23" i="5"/>
  <c r="F21" i="5"/>
  <c r="F19" i="5"/>
  <c r="F17" i="5"/>
  <c r="F15" i="5"/>
  <c r="F13" i="5"/>
  <c r="F28" i="5"/>
  <c r="F26" i="5"/>
  <c r="F24" i="5"/>
  <c r="F22" i="5"/>
  <c r="F20" i="5"/>
  <c r="F18" i="5"/>
  <c r="F16" i="5"/>
  <c r="F14" i="5"/>
  <c r="F156" i="5"/>
  <c r="AI16" i="5"/>
  <c r="AK16" i="5" s="1"/>
  <c r="AC168" i="5"/>
  <c r="AC24" i="5"/>
  <c r="AE24" i="5" s="1"/>
  <c r="AC9" i="5"/>
  <c r="AC304" i="5"/>
  <c r="AI13" i="5"/>
  <c r="AK13" i="5" s="1"/>
  <c r="AC58" i="5"/>
  <c r="AC10" i="5"/>
  <c r="AC118" i="5"/>
  <c r="AC370" i="5"/>
  <c r="AC396" i="5"/>
  <c r="AC11" i="5"/>
  <c r="AI14" i="5"/>
  <c r="AK14" i="5" s="1"/>
  <c r="AC167" i="5"/>
  <c r="AC66" i="5"/>
  <c r="AC15" i="5"/>
  <c r="AE15" i="5" s="1"/>
  <c r="O62" i="10"/>
  <c r="AI15" i="5" s="1"/>
  <c r="AK15" i="5" s="1"/>
  <c r="O67" i="10"/>
  <c r="P67" i="10" s="1"/>
  <c r="AC71" i="5"/>
  <c r="O66" i="10"/>
  <c r="P66" i="10" s="1"/>
  <c r="AC70" i="5"/>
  <c r="O312" i="10"/>
  <c r="P312" i="10" s="1"/>
  <c r="O69" i="10"/>
  <c r="P69" i="10" s="1"/>
  <c r="AC73" i="5"/>
  <c r="N28" i="10"/>
  <c r="AC394" i="5" s="1"/>
  <c r="O256" i="10"/>
  <c r="P256" i="10" s="1"/>
  <c r="O146" i="10"/>
  <c r="P146" i="10" s="1"/>
  <c r="AC150" i="5"/>
  <c r="O68" i="10"/>
  <c r="P68" i="10" s="1"/>
  <c r="AC72" i="5"/>
  <c r="O418" i="10"/>
  <c r="AC422" i="5"/>
  <c r="P414" i="10"/>
  <c r="P410" i="10"/>
  <c r="P406" i="10"/>
  <c r="AI410" i="5"/>
  <c r="O402" i="10"/>
  <c r="AI408" i="5" s="1"/>
  <c r="AC406" i="5"/>
  <c r="O398" i="10"/>
  <c r="AC402" i="5"/>
  <c r="O394" i="10"/>
  <c r="P390" i="10"/>
  <c r="O386" i="10"/>
  <c r="AC390" i="5"/>
  <c r="O382" i="10"/>
  <c r="AC386" i="5"/>
  <c r="O378" i="10"/>
  <c r="AC382" i="5"/>
  <c r="O373" i="10"/>
  <c r="AC377" i="5"/>
  <c r="P349" i="10"/>
  <c r="O345" i="10"/>
  <c r="O329" i="10"/>
  <c r="O309" i="10"/>
  <c r="O305" i="10"/>
  <c r="AC309" i="5"/>
  <c r="P301" i="10"/>
  <c r="O296" i="10"/>
  <c r="P292" i="10"/>
  <c r="O288" i="10"/>
  <c r="P276" i="10"/>
  <c r="O272" i="10"/>
  <c r="O255" i="10"/>
  <c r="AI26" i="5" s="1"/>
  <c r="AK26" i="5" s="1"/>
  <c r="O252" i="10"/>
  <c r="AI23" i="5" s="1"/>
  <c r="AK23" i="5" s="1"/>
  <c r="AC256" i="5"/>
  <c r="O248" i="10"/>
  <c r="AI19" i="5" s="1"/>
  <c r="AK19" i="5" s="1"/>
  <c r="O174" i="10"/>
  <c r="P155" i="10"/>
  <c r="O149" i="10"/>
  <c r="O145" i="10"/>
  <c r="AI11" i="5" s="1"/>
  <c r="AC149" i="5"/>
  <c r="P141" i="10"/>
  <c r="O136" i="10"/>
  <c r="O116" i="10"/>
  <c r="O112" i="10"/>
  <c r="AC116" i="5"/>
  <c r="O108" i="10"/>
  <c r="O99" i="10"/>
  <c r="AI368" i="5" s="1"/>
  <c r="O79" i="10"/>
  <c r="AC83" i="5"/>
  <c r="O75" i="10"/>
  <c r="AC79" i="5"/>
  <c r="O71" i="10"/>
  <c r="AC75" i="5"/>
  <c r="O63" i="10"/>
  <c r="AC67" i="5"/>
  <c r="O60" i="10"/>
  <c r="AC64" i="5"/>
  <c r="O56" i="10"/>
  <c r="AC60" i="5"/>
  <c r="P52" i="10"/>
  <c r="O48" i="10"/>
  <c r="AC52" i="5"/>
  <c r="O44" i="10"/>
  <c r="O39" i="10"/>
  <c r="AC43" i="5"/>
  <c r="O35" i="10"/>
  <c r="O31" i="10"/>
  <c r="O26" i="10"/>
  <c r="P421" i="10"/>
  <c r="AI425" i="5"/>
  <c r="P417" i="10"/>
  <c r="P413" i="10"/>
  <c r="P409" i="10"/>
  <c r="P405" i="10"/>
  <c r="O401" i="10"/>
  <c r="AC405" i="5"/>
  <c r="O397" i="10"/>
  <c r="AC401" i="5"/>
  <c r="O393" i="10"/>
  <c r="AC397" i="5"/>
  <c r="P389" i="10"/>
  <c r="P385" i="10"/>
  <c r="O381" i="10"/>
  <c r="AC385" i="5"/>
  <c r="O377" i="10"/>
  <c r="AI391" i="5" s="1"/>
  <c r="AC381" i="5"/>
  <c r="O372" i="10"/>
  <c r="AI387" i="5" s="1"/>
  <c r="AC376" i="5"/>
  <c r="P348" i="10"/>
  <c r="O344" i="10"/>
  <c r="P332" i="10"/>
  <c r="O328" i="10"/>
  <c r="O311" i="10"/>
  <c r="O308" i="10"/>
  <c r="AC312" i="5"/>
  <c r="O304" i="10"/>
  <c r="AC308" i="5"/>
  <c r="P300" i="10"/>
  <c r="O295" i="10"/>
  <c r="O291" i="10"/>
  <c r="O287" i="10"/>
  <c r="AC291" i="5"/>
  <c r="P281" i="10"/>
  <c r="P279" i="10"/>
  <c r="O275" i="10"/>
  <c r="O271" i="10"/>
  <c r="O254" i="10"/>
  <c r="AI25" i="5" s="1"/>
  <c r="AK25" i="5" s="1"/>
  <c r="O251" i="10"/>
  <c r="AI22" i="5" s="1"/>
  <c r="AK22" i="5" s="1"/>
  <c r="O247" i="10"/>
  <c r="AI18" i="5" s="1"/>
  <c r="AK18" i="5" s="1"/>
  <c r="O177" i="10"/>
  <c r="O173" i="10"/>
  <c r="AC177" i="5"/>
  <c r="P167" i="10"/>
  <c r="P165" i="10"/>
  <c r="P154" i="10"/>
  <c r="O148" i="10"/>
  <c r="O144" i="10"/>
  <c r="P139" i="10"/>
  <c r="O135" i="10"/>
  <c r="O115" i="10"/>
  <c r="AC119" i="5"/>
  <c r="O111" i="10"/>
  <c r="AC115" i="5"/>
  <c r="O107" i="10"/>
  <c r="P102" i="10"/>
  <c r="AO371" i="5" s="1"/>
  <c r="O98" i="10"/>
  <c r="AI367" i="5" s="1"/>
  <c r="O78" i="10"/>
  <c r="AC82" i="5"/>
  <c r="O74" i="10"/>
  <c r="AC78" i="5"/>
  <c r="O70" i="10"/>
  <c r="AC74" i="5"/>
  <c r="O59" i="10"/>
  <c r="AI418" i="5" s="1"/>
  <c r="AC63" i="5"/>
  <c r="O55" i="10"/>
  <c r="AI414" i="5" s="1"/>
  <c r="AC59" i="5"/>
  <c r="P51" i="10"/>
  <c r="O47" i="10"/>
  <c r="O43" i="10"/>
  <c r="AC47" i="5"/>
  <c r="O38" i="10"/>
  <c r="AC42" i="5"/>
  <c r="O34" i="10"/>
  <c r="O30" i="10"/>
  <c r="O25" i="10"/>
  <c r="C28" i="5"/>
  <c r="C26" i="5"/>
  <c r="C24" i="5"/>
  <c r="C22" i="5"/>
  <c r="C18" i="5"/>
  <c r="C16" i="5"/>
  <c r="C14" i="5"/>
  <c r="C156" i="5"/>
  <c r="O420" i="10"/>
  <c r="AC424" i="5"/>
  <c r="P416" i="10"/>
  <c r="AI420" i="5"/>
  <c r="P412" i="10"/>
  <c r="P408" i="10"/>
  <c r="AI412" i="5"/>
  <c r="P404" i="10"/>
  <c r="O400" i="10"/>
  <c r="AC404" i="5"/>
  <c r="P396" i="10"/>
  <c r="AO27" i="5" s="1"/>
  <c r="AQ27" i="5" s="1"/>
  <c r="P392" i="10"/>
  <c r="O388" i="10"/>
  <c r="AC392" i="5"/>
  <c r="O380" i="10"/>
  <c r="AC384" i="5"/>
  <c r="O376" i="10"/>
  <c r="AC380" i="5"/>
  <c r="O371" i="10"/>
  <c r="AC375" i="5"/>
  <c r="O347" i="10"/>
  <c r="O343" i="10"/>
  <c r="AC347" i="5"/>
  <c r="P337" i="10"/>
  <c r="P335" i="10"/>
  <c r="O331" i="10"/>
  <c r="O327" i="10"/>
  <c r="O310" i="10"/>
  <c r="AC314" i="5"/>
  <c r="O307" i="10"/>
  <c r="AC311" i="5"/>
  <c r="O303" i="10"/>
  <c r="AC307" i="5"/>
  <c r="O299" i="10"/>
  <c r="AC303" i="5"/>
  <c r="P294" i="10"/>
  <c r="O290" i="10"/>
  <c r="AI305" i="5" s="1"/>
  <c r="AC294" i="5"/>
  <c r="O274" i="10"/>
  <c r="O257" i="10"/>
  <c r="AI28" i="5" s="1"/>
  <c r="AK28" i="5" s="1"/>
  <c r="AC261" i="5"/>
  <c r="O250" i="10"/>
  <c r="O246" i="10"/>
  <c r="O176" i="10"/>
  <c r="P153" i="10"/>
  <c r="O147" i="10"/>
  <c r="AC151" i="5"/>
  <c r="O143" i="10"/>
  <c r="O138" i="10"/>
  <c r="O134" i="10"/>
  <c r="P114" i="10"/>
  <c r="O110" i="10"/>
  <c r="AC114" i="5"/>
  <c r="O106" i="10"/>
  <c r="O101" i="10"/>
  <c r="O97" i="10"/>
  <c r="AI366" i="5" s="1"/>
  <c r="O77" i="10"/>
  <c r="AC81" i="5"/>
  <c r="O73" i="10"/>
  <c r="AC77" i="5"/>
  <c r="O65" i="10"/>
  <c r="AI421" i="5" s="1"/>
  <c r="AC69" i="5"/>
  <c r="O58" i="10"/>
  <c r="AI417" i="5" s="1"/>
  <c r="AC62" i="5"/>
  <c r="P54" i="10"/>
  <c r="O50" i="10"/>
  <c r="AI413" i="5" s="1"/>
  <c r="O46" i="10"/>
  <c r="AC50" i="5"/>
  <c r="O42" i="10"/>
  <c r="AC46" i="5"/>
  <c r="O37" i="10"/>
  <c r="O33" i="10"/>
  <c r="AI58" i="5" s="1"/>
  <c r="C12" i="5"/>
  <c r="C20" i="5"/>
  <c r="O419" i="10"/>
  <c r="AC423" i="5"/>
  <c r="P415" i="10"/>
  <c r="AI419" i="5"/>
  <c r="P411" i="10"/>
  <c r="AI415" i="5"/>
  <c r="P407" i="10"/>
  <c r="AI411" i="5"/>
  <c r="O403" i="10"/>
  <c r="AI409" i="5" s="1"/>
  <c r="AC407" i="5"/>
  <c r="O399" i="10"/>
  <c r="AC403" i="5"/>
  <c r="O395" i="10"/>
  <c r="AC399" i="5"/>
  <c r="O391" i="10"/>
  <c r="AC395" i="5"/>
  <c r="P387" i="10"/>
  <c r="P383" i="10"/>
  <c r="O379" i="10"/>
  <c r="AI393" i="5" s="1"/>
  <c r="AC383" i="5"/>
  <c r="P374" i="10"/>
  <c r="AI378" i="5"/>
  <c r="P370" i="10"/>
  <c r="AI374" i="5"/>
  <c r="O346" i="10"/>
  <c r="O330" i="10"/>
  <c r="O313" i="10"/>
  <c r="O306" i="10"/>
  <c r="AC310" i="5"/>
  <c r="O302" i="10"/>
  <c r="AC306" i="5"/>
  <c r="O297" i="10"/>
  <c r="P293" i="10"/>
  <c r="O289" i="10"/>
  <c r="O273" i="10"/>
  <c r="AI44" i="5" s="1"/>
  <c r="O253" i="10"/>
  <c r="O249" i="10"/>
  <c r="AI20" i="5" s="1"/>
  <c r="AK20" i="5" s="1"/>
  <c r="O175" i="10"/>
  <c r="P156" i="10"/>
  <c r="O151" i="10"/>
  <c r="O142" i="10"/>
  <c r="O137" i="10"/>
  <c r="O117" i="10"/>
  <c r="AC121" i="5"/>
  <c r="O113" i="10"/>
  <c r="AC117" i="5"/>
  <c r="O109" i="10"/>
  <c r="O105" i="10"/>
  <c r="O100" i="10"/>
  <c r="AI369" i="5" s="1"/>
  <c r="O80" i="10"/>
  <c r="O76" i="10"/>
  <c r="AC80" i="5"/>
  <c r="O72" i="10"/>
  <c r="AC76" i="5"/>
  <c r="P64" i="10"/>
  <c r="P61" i="10"/>
  <c r="AO14" i="5" s="1"/>
  <c r="AQ14" i="5" s="1"/>
  <c r="O57" i="10"/>
  <c r="AI416" i="5" s="1"/>
  <c r="AC61" i="5"/>
  <c r="P53" i="10"/>
  <c r="P49" i="10"/>
  <c r="O45" i="10"/>
  <c r="AI296" i="5" s="1"/>
  <c r="P40" i="10"/>
  <c r="O36" i="10"/>
  <c r="O32" i="10"/>
  <c r="O27" i="10"/>
  <c r="C27" i="5"/>
  <c r="C25" i="5"/>
  <c r="C23" i="5"/>
  <c r="C21" i="5"/>
  <c r="C19" i="5"/>
  <c r="C17" i="5"/>
  <c r="C15" i="5"/>
  <c r="C13" i="5"/>
  <c r="L13" i="11"/>
  <c r="N152" i="10" s="1"/>
  <c r="N166" i="10"/>
  <c r="N334" i="10"/>
  <c r="AC349" i="5" s="1"/>
  <c r="N29" i="10"/>
  <c r="N41" i="10"/>
  <c r="AC65" i="5" s="1"/>
  <c r="O181" i="10"/>
  <c r="N219" i="10"/>
  <c r="P203" i="10"/>
  <c r="O199" i="10"/>
  <c r="N237" i="10"/>
  <c r="AC252" i="5" s="1"/>
  <c r="O179" i="10"/>
  <c r="N217" i="10"/>
  <c r="O161" i="10"/>
  <c r="N212" i="10"/>
  <c r="AC182" i="5" s="1"/>
  <c r="O157" i="10"/>
  <c r="N208" i="10"/>
  <c r="AC178" i="5" s="1"/>
  <c r="O202" i="10"/>
  <c r="AI171" i="5" s="1"/>
  <c r="N240" i="10"/>
  <c r="AC255" i="5" s="1"/>
  <c r="O178" i="10"/>
  <c r="N216" i="10"/>
  <c r="O200" i="10"/>
  <c r="AI169" i="5" s="1"/>
  <c r="N238" i="10"/>
  <c r="O180" i="10"/>
  <c r="N218" i="10"/>
  <c r="O162" i="10"/>
  <c r="N213" i="10"/>
  <c r="O158" i="10"/>
  <c r="N209" i="10"/>
  <c r="AC179" i="5" s="1"/>
  <c r="O198" i="10"/>
  <c r="N236" i="10"/>
  <c r="O182" i="10"/>
  <c r="O164" i="10"/>
  <c r="N215" i="10"/>
  <c r="O160" i="10"/>
  <c r="N211" i="10"/>
  <c r="O201" i="10"/>
  <c r="N239" i="10"/>
  <c r="AC254" i="5" s="1"/>
  <c r="O163" i="10"/>
  <c r="N214" i="10"/>
  <c r="O159" i="10"/>
  <c r="N210" i="10"/>
  <c r="AC180" i="5" s="1"/>
  <c r="V17" i="5"/>
  <c r="W12" i="5"/>
  <c r="W17" i="5"/>
  <c r="V28" i="5"/>
  <c r="Y22" i="5"/>
  <c r="Y18" i="5"/>
  <c r="AE25" i="5"/>
  <c r="X27" i="5"/>
  <c r="AE26" i="5"/>
  <c r="Y14" i="5"/>
  <c r="W16" i="5"/>
  <c r="W15" i="5"/>
  <c r="X22" i="5"/>
  <c r="X18" i="5"/>
  <c r="W13" i="5"/>
  <c r="X21" i="5"/>
  <c r="W21" i="5"/>
  <c r="Y19" i="5"/>
  <c r="Y26" i="5"/>
  <c r="X24" i="5"/>
  <c r="Y21" i="5"/>
  <c r="W19" i="5"/>
  <c r="X26" i="5"/>
  <c r="X23" i="5"/>
  <c r="AE22" i="5"/>
  <c r="W22" i="5"/>
  <c r="Y20" i="5"/>
  <c r="W23" i="5"/>
  <c r="X20" i="5"/>
  <c r="W18" i="5"/>
  <c r="V15" i="5"/>
  <c r="X14" i="5"/>
  <c r="P24" i="10"/>
  <c r="AE27" i="5"/>
  <c r="X25" i="5"/>
  <c r="Y24" i="5"/>
  <c r="X19" i="5"/>
  <c r="AE18" i="5"/>
  <c r="Y27" i="5"/>
  <c r="AE23" i="5"/>
  <c r="AE19" i="5"/>
  <c r="X16" i="5"/>
  <c r="Y16" i="5"/>
  <c r="W14" i="5"/>
  <c r="V14" i="5"/>
  <c r="X13" i="5"/>
  <c r="Y13" i="5"/>
  <c r="W26" i="5"/>
  <c r="W25" i="5"/>
  <c r="W24" i="5"/>
  <c r="AE20" i="5"/>
  <c r="W20" i="5"/>
  <c r="V16" i="5"/>
  <c r="X15" i="5"/>
  <c r="Y15" i="5"/>
  <c r="V13" i="5"/>
  <c r="Y12" i="5"/>
  <c r="W27" i="5"/>
  <c r="Y25" i="5"/>
  <c r="AE12" i="5"/>
  <c r="AF12" i="5" s="1"/>
  <c r="Y23" i="5"/>
  <c r="AE28" i="5"/>
  <c r="Y17" i="5"/>
  <c r="AE16" i="5"/>
  <c r="AE14" i="5"/>
  <c r="AE13" i="5"/>
  <c r="V27" i="5"/>
  <c r="V26" i="5"/>
  <c r="V25" i="5"/>
  <c r="V24" i="5"/>
  <c r="V23" i="5"/>
  <c r="V22" i="5"/>
  <c r="V21" i="5"/>
  <c r="V20" i="5"/>
  <c r="V19" i="5"/>
  <c r="V18" i="5"/>
  <c r="X17" i="5"/>
  <c r="X12" i="5"/>
  <c r="N282" i="10"/>
  <c r="AC297" i="5" s="1"/>
  <c r="N336" i="10"/>
  <c r="N280" i="10"/>
  <c r="AC295" i="5" s="1"/>
  <c r="N205" i="10"/>
  <c r="N168" i="10"/>
  <c r="AC183" i="5" s="1"/>
  <c r="N375" i="10"/>
  <c r="AC389" i="5" s="1"/>
  <c r="N338" i="10"/>
  <c r="N278" i="10"/>
  <c r="AC293" i="5" s="1"/>
  <c r="AI66" i="5" l="1"/>
  <c r="AI71" i="5"/>
  <c r="AI73" i="5"/>
  <c r="AI72" i="5"/>
  <c r="AC181" i="5"/>
  <c r="AI304" i="5"/>
  <c r="AZ25" i="5"/>
  <c r="AI12" i="5"/>
  <c r="AK12" i="5" s="1"/>
  <c r="AZ12" i="5" s="1"/>
  <c r="AI24" i="5"/>
  <c r="AK24" i="5" s="1"/>
  <c r="AL24" i="5" s="1"/>
  <c r="AC53" i="5"/>
  <c r="AO12" i="5"/>
  <c r="AQ12" i="5" s="1"/>
  <c r="BA12" i="5" s="1"/>
  <c r="AI118" i="5"/>
  <c r="AI370" i="5"/>
  <c r="AC51" i="5"/>
  <c r="AO16" i="5"/>
  <c r="AQ16" i="5" s="1"/>
  <c r="AR16" i="5" s="1"/>
  <c r="AC49" i="5"/>
  <c r="AO13" i="5"/>
  <c r="AQ13" i="5" s="1"/>
  <c r="BA13" i="5" s="1"/>
  <c r="AI400" i="5"/>
  <c r="AI396" i="5"/>
  <c r="AC398" i="5"/>
  <c r="AI9" i="5"/>
  <c r="AI10" i="5"/>
  <c r="AI27" i="5"/>
  <c r="AK27" i="5" s="1"/>
  <c r="AZ27" i="5" s="1"/>
  <c r="P62" i="10"/>
  <c r="AO15" i="5" s="1"/>
  <c r="AQ15" i="5" s="1"/>
  <c r="BA15" i="5" s="1"/>
  <c r="AF28" i="5"/>
  <c r="AZ16" i="5"/>
  <c r="AC17" i="5"/>
  <c r="AE17" i="5" s="1"/>
  <c r="AF17" i="5" s="1"/>
  <c r="AC220" i="5"/>
  <c r="AC8" i="5"/>
  <c r="AC388" i="5"/>
  <c r="AC21" i="5"/>
  <c r="AE21" i="5" s="1"/>
  <c r="AY21" i="5" s="1"/>
  <c r="AZ22" i="5"/>
  <c r="AY26" i="5"/>
  <c r="AY25" i="5"/>
  <c r="AZ13" i="5"/>
  <c r="AC223" i="5"/>
  <c r="AC253" i="5"/>
  <c r="AC251" i="5"/>
  <c r="AZ14" i="5"/>
  <c r="BA27" i="5"/>
  <c r="AY20" i="5"/>
  <c r="AY28" i="5"/>
  <c r="AI150" i="5"/>
  <c r="AI70" i="5"/>
  <c r="AY13" i="5"/>
  <c r="AY18" i="5"/>
  <c r="AZ18" i="5"/>
  <c r="AY14" i="5"/>
  <c r="AZ20" i="5"/>
  <c r="BA14" i="5"/>
  <c r="AY24" i="5"/>
  <c r="O28" i="10"/>
  <c r="AI8" i="5" s="1"/>
  <c r="O384" i="10"/>
  <c r="AI21" i="5" s="1"/>
  <c r="AK21" i="5" s="1"/>
  <c r="AZ21" i="5" s="1"/>
  <c r="O104" i="10"/>
  <c r="AI17" i="5" s="1"/>
  <c r="AK17" i="5" s="1"/>
  <c r="AL17" i="5" s="1"/>
  <c r="AY15" i="5"/>
  <c r="AY23" i="5"/>
  <c r="O152" i="10"/>
  <c r="AZ19" i="5"/>
  <c r="O168" i="10"/>
  <c r="AC172" i="5"/>
  <c r="O278" i="10"/>
  <c r="AI293" i="5" s="1"/>
  <c r="O210" i="10"/>
  <c r="O29" i="10"/>
  <c r="P32" i="10"/>
  <c r="Q49" i="10"/>
  <c r="Q64" i="10"/>
  <c r="P72" i="10"/>
  <c r="AI76" i="5"/>
  <c r="P105" i="10"/>
  <c r="P137" i="10"/>
  <c r="Q156" i="10"/>
  <c r="Q256" i="10"/>
  <c r="P297" i="10"/>
  <c r="P330" i="10"/>
  <c r="Q370" i="10"/>
  <c r="AU374" i="5" s="1"/>
  <c r="AO374" i="5"/>
  <c r="P379" i="10"/>
  <c r="AO393" i="5" s="1"/>
  <c r="AI383" i="5"/>
  <c r="P395" i="10"/>
  <c r="AI399" i="5"/>
  <c r="P403" i="10"/>
  <c r="AO409" i="5" s="1"/>
  <c r="AI407" i="5"/>
  <c r="Q411" i="10"/>
  <c r="P419" i="10"/>
  <c r="AI423" i="5"/>
  <c r="P33" i="10"/>
  <c r="P42" i="10"/>
  <c r="AI46" i="5"/>
  <c r="P58" i="10"/>
  <c r="AO417" i="5" s="1"/>
  <c r="AI62" i="5"/>
  <c r="P65" i="10"/>
  <c r="AI69" i="5"/>
  <c r="P106" i="10"/>
  <c r="P147" i="10"/>
  <c r="AI151" i="5"/>
  <c r="P250" i="10"/>
  <c r="Q294" i="10"/>
  <c r="P310" i="10"/>
  <c r="AI314" i="5"/>
  <c r="Q337" i="10"/>
  <c r="P376" i="10"/>
  <c r="AI380" i="5"/>
  <c r="Q392" i="10"/>
  <c r="Q408" i="10"/>
  <c r="AO412" i="5"/>
  <c r="Q416" i="10"/>
  <c r="P34" i="10"/>
  <c r="Q51" i="10"/>
  <c r="P70" i="10"/>
  <c r="AI74" i="5"/>
  <c r="P111" i="10"/>
  <c r="AI115" i="5"/>
  <c r="P144" i="10"/>
  <c r="Q167" i="10"/>
  <c r="P251" i="10"/>
  <c r="AO22" i="5" s="1"/>
  <c r="AQ22" i="5" s="1"/>
  <c r="P271" i="10"/>
  <c r="P287" i="10"/>
  <c r="AI291" i="5"/>
  <c r="P311" i="10"/>
  <c r="Q348" i="10"/>
  <c r="Q385" i="10"/>
  <c r="P393" i="10"/>
  <c r="AI397" i="5"/>
  <c r="Q409" i="10"/>
  <c r="P26" i="10"/>
  <c r="P44" i="10"/>
  <c r="P60" i="10"/>
  <c r="AI64" i="5"/>
  <c r="P75" i="10"/>
  <c r="AI79" i="5"/>
  <c r="P108" i="10"/>
  <c r="Q141" i="10"/>
  <c r="P174" i="10"/>
  <c r="P272" i="10"/>
  <c r="P296" i="10"/>
  <c r="Q312" i="10"/>
  <c r="P373" i="10"/>
  <c r="AI377" i="5"/>
  <c r="P382" i="10"/>
  <c r="AO396" i="5" s="1"/>
  <c r="AI386" i="5"/>
  <c r="Q390" i="10"/>
  <c r="P398" i="10"/>
  <c r="AI402" i="5"/>
  <c r="Q414" i="10"/>
  <c r="O280" i="10"/>
  <c r="AI295" i="5" s="1"/>
  <c r="AY19" i="5"/>
  <c r="AY27" i="5"/>
  <c r="AZ23" i="5"/>
  <c r="AY22" i="5"/>
  <c r="AL16" i="5"/>
  <c r="AZ15" i="5"/>
  <c r="P159" i="10"/>
  <c r="P164" i="10"/>
  <c r="AI168" i="5"/>
  <c r="P162" i="10"/>
  <c r="P161" i="10"/>
  <c r="P181" i="10"/>
  <c r="O334" i="10"/>
  <c r="AI349" i="5" s="1"/>
  <c r="O282" i="10"/>
  <c r="AI297" i="5" s="1"/>
  <c r="AC286" i="5"/>
  <c r="P163" i="10"/>
  <c r="AI167" i="5"/>
  <c r="P160" i="10"/>
  <c r="P158" i="10"/>
  <c r="P157" i="10"/>
  <c r="O215" i="10"/>
  <c r="O213" i="10"/>
  <c r="AC217" i="5"/>
  <c r="O212" i="10"/>
  <c r="AI182" i="5" s="1"/>
  <c r="AC216" i="5"/>
  <c r="Q40" i="10"/>
  <c r="P57" i="10"/>
  <c r="AO416" i="5" s="1"/>
  <c r="AI61" i="5"/>
  <c r="P80" i="10"/>
  <c r="P113" i="10"/>
  <c r="AI117" i="5"/>
  <c r="Q146" i="10"/>
  <c r="P249" i="10"/>
  <c r="AO20" i="5" s="1"/>
  <c r="AQ20" i="5" s="1"/>
  <c r="P289" i="10"/>
  <c r="AO304" i="5" s="1"/>
  <c r="P306" i="10"/>
  <c r="AI310" i="5"/>
  <c r="Q387" i="10"/>
  <c r="P50" i="10"/>
  <c r="AO413" i="5" s="1"/>
  <c r="P73" i="10"/>
  <c r="AI77" i="5"/>
  <c r="P97" i="10"/>
  <c r="AO366" i="5" s="1"/>
  <c r="Q114" i="10"/>
  <c r="P138" i="10"/>
  <c r="P176" i="10"/>
  <c r="AI180" i="5"/>
  <c r="P274" i="10"/>
  <c r="P303" i="10"/>
  <c r="AI307" i="5"/>
  <c r="P331" i="10"/>
  <c r="P347" i="10"/>
  <c r="P400" i="10"/>
  <c r="AI404" i="5"/>
  <c r="P25" i="10"/>
  <c r="P43" i="10"/>
  <c r="AI47" i="5"/>
  <c r="P59" i="10"/>
  <c r="AO418" i="5" s="1"/>
  <c r="AI63" i="5"/>
  <c r="P78" i="10"/>
  <c r="AI82" i="5"/>
  <c r="Q102" i="10"/>
  <c r="AU371" i="5" s="1"/>
  <c r="P135" i="10"/>
  <c r="AO150" i="5" s="1"/>
  <c r="Q154" i="10"/>
  <c r="P177" i="10"/>
  <c r="Q279" i="10"/>
  <c r="P295" i="10"/>
  <c r="P304" i="10"/>
  <c r="AI308" i="5"/>
  <c r="Q332" i="10"/>
  <c r="P377" i="10"/>
  <c r="AO391" i="5" s="1"/>
  <c r="AI381" i="5"/>
  <c r="P401" i="10"/>
  <c r="AI405" i="5"/>
  <c r="Q417" i="10"/>
  <c r="AO421" i="5"/>
  <c r="P35" i="10"/>
  <c r="Q52" i="10"/>
  <c r="Q67" i="10"/>
  <c r="P99" i="10"/>
  <c r="AO368" i="5" s="1"/>
  <c r="P116" i="10"/>
  <c r="P149" i="10"/>
  <c r="P252" i="10"/>
  <c r="AO23" i="5" s="1"/>
  <c r="AQ23" i="5" s="1"/>
  <c r="AI256" i="5"/>
  <c r="P288" i="10"/>
  <c r="P305" i="10"/>
  <c r="AI309" i="5"/>
  <c r="P345" i="10"/>
  <c r="Q406" i="10"/>
  <c r="AO410" i="5"/>
  <c r="O338" i="10"/>
  <c r="AC342" i="5"/>
  <c r="O375" i="10"/>
  <c r="AI389" i="5" s="1"/>
  <c r="AC379" i="5"/>
  <c r="O336" i="10"/>
  <c r="AY16" i="5"/>
  <c r="AZ26" i="5"/>
  <c r="O214" i="10"/>
  <c r="AC218" i="5"/>
  <c r="O211" i="10"/>
  <c r="O209" i="10"/>
  <c r="AI179" i="5" s="1"/>
  <c r="O208" i="10"/>
  <c r="AI178" i="5" s="1"/>
  <c r="O41" i="10"/>
  <c r="AI65" i="5" s="1"/>
  <c r="AC45" i="5"/>
  <c r="O166" i="10"/>
  <c r="AI181" i="5" s="1"/>
  <c r="AC170" i="5"/>
  <c r="P27" i="10"/>
  <c r="P36" i="10"/>
  <c r="P45" i="10"/>
  <c r="AO296" i="5" s="1"/>
  <c r="AI49" i="5"/>
  <c r="Q53" i="10"/>
  <c r="Q61" i="10"/>
  <c r="Q68" i="10"/>
  <c r="P76" i="10"/>
  <c r="AI80" i="5"/>
  <c r="P100" i="10"/>
  <c r="AO369" i="5" s="1"/>
  <c r="P109" i="10"/>
  <c r="P117" i="10"/>
  <c r="AI121" i="5"/>
  <c r="P142" i="10"/>
  <c r="P151" i="10"/>
  <c r="P175" i="10"/>
  <c r="P253" i="10"/>
  <c r="P273" i="10"/>
  <c r="AO44" i="5" s="1"/>
  <c r="Q293" i="10"/>
  <c r="P302" i="10"/>
  <c r="AI306" i="5"/>
  <c r="P313" i="10"/>
  <c r="P346" i="10"/>
  <c r="Q374" i="10"/>
  <c r="AO378" i="5"/>
  <c r="Q383" i="10"/>
  <c r="P391" i="10"/>
  <c r="AI395" i="5"/>
  <c r="P399" i="10"/>
  <c r="AI403" i="5"/>
  <c r="Q407" i="10"/>
  <c r="AO411" i="5"/>
  <c r="Q415" i="10"/>
  <c r="AO419" i="5"/>
  <c r="P37" i="10"/>
  <c r="P46" i="10"/>
  <c r="AI50" i="5"/>
  <c r="Q54" i="10"/>
  <c r="Q69" i="10"/>
  <c r="AO73" i="5"/>
  <c r="P77" i="10"/>
  <c r="AI81" i="5"/>
  <c r="P101" i="10"/>
  <c r="P110" i="10"/>
  <c r="AI114" i="5"/>
  <c r="P134" i="10"/>
  <c r="P143" i="10"/>
  <c r="AO9" i="5" s="1"/>
  <c r="Q153" i="10"/>
  <c r="P246" i="10"/>
  <c r="P257" i="10"/>
  <c r="AO28" i="5" s="1"/>
  <c r="AI261" i="5"/>
  <c r="P290" i="10"/>
  <c r="AI294" i="5"/>
  <c r="P299" i="10"/>
  <c r="AI303" i="5"/>
  <c r="P307" i="10"/>
  <c r="AI311" i="5"/>
  <c r="P327" i="10"/>
  <c r="Q335" i="10"/>
  <c r="P343" i="10"/>
  <c r="AI347" i="5"/>
  <c r="P371" i="10"/>
  <c r="AI375" i="5"/>
  <c r="P380" i="10"/>
  <c r="AI384" i="5"/>
  <c r="P388" i="10"/>
  <c r="AO24" i="5" s="1"/>
  <c r="AQ24" i="5" s="1"/>
  <c r="AR24" i="5" s="1"/>
  <c r="AI392" i="5"/>
  <c r="Q396" i="10"/>
  <c r="Q404" i="10"/>
  <c r="Q412" i="10"/>
  <c r="P420" i="10"/>
  <c r="AI424" i="5"/>
  <c r="P30" i="10"/>
  <c r="P38" i="10"/>
  <c r="AI42" i="5"/>
  <c r="P47" i="10"/>
  <c r="AO71" i="5" s="1"/>
  <c r="AI51" i="5"/>
  <c r="P55" i="10"/>
  <c r="AO414" i="5" s="1"/>
  <c r="AI59" i="5"/>
  <c r="Q66" i="10"/>
  <c r="AO70" i="5"/>
  <c r="P74" i="10"/>
  <c r="AI78" i="5"/>
  <c r="P98" i="10"/>
  <c r="AO367" i="5" s="1"/>
  <c r="P107" i="10"/>
  <c r="P115" i="10"/>
  <c r="AI119" i="5"/>
  <c r="Q139" i="10"/>
  <c r="P148" i="10"/>
  <c r="Q165" i="10"/>
  <c r="P173" i="10"/>
  <c r="AI177" i="5"/>
  <c r="P247" i="10"/>
  <c r="AO18" i="5" s="1"/>
  <c r="AQ18" i="5" s="1"/>
  <c r="P254" i="10"/>
  <c r="AO25" i="5" s="1"/>
  <c r="AQ25" i="5" s="1"/>
  <c r="P275" i="10"/>
  <c r="Q281" i="10"/>
  <c r="P291" i="10"/>
  <c r="Q300" i="10"/>
  <c r="P308" i="10"/>
  <c r="AI312" i="5"/>
  <c r="P328" i="10"/>
  <c r="P344" i="10"/>
  <c r="P372" i="10"/>
  <c r="AO387" i="5" s="1"/>
  <c r="AI376" i="5"/>
  <c r="P381" i="10"/>
  <c r="AI385" i="5"/>
  <c r="Q389" i="10"/>
  <c r="P397" i="10"/>
  <c r="AI401" i="5"/>
  <c r="Q405" i="10"/>
  <c r="Q413" i="10"/>
  <c r="Q421" i="10"/>
  <c r="AU425" i="5" s="1"/>
  <c r="AO425" i="5"/>
  <c r="P31" i="10"/>
  <c r="P39" i="10"/>
  <c r="AI43" i="5"/>
  <c r="P48" i="10"/>
  <c r="AI52" i="5"/>
  <c r="P56" i="10"/>
  <c r="AO415" i="5" s="1"/>
  <c r="AI60" i="5"/>
  <c r="P63" i="10"/>
  <c r="AO420" i="5" s="1"/>
  <c r="AI67" i="5"/>
  <c r="P71" i="10"/>
  <c r="AI75" i="5"/>
  <c r="P79" i="10"/>
  <c r="AI83" i="5"/>
  <c r="P112" i="10"/>
  <c r="AI116" i="5"/>
  <c r="P136" i="10"/>
  <c r="P145" i="10"/>
  <c r="AO11" i="5" s="1"/>
  <c r="AI149" i="5"/>
  <c r="Q155" i="10"/>
  <c r="P248" i="10"/>
  <c r="AO19" i="5" s="1"/>
  <c r="AQ19" i="5" s="1"/>
  <c r="P255" i="10"/>
  <c r="AO26" i="5" s="1"/>
  <c r="AQ26" i="5" s="1"/>
  <c r="BA26" i="5" s="1"/>
  <c r="Q276" i="10"/>
  <c r="Q292" i="10"/>
  <c r="Q301" i="10"/>
  <c r="P309" i="10"/>
  <c r="P329" i="10"/>
  <c r="Q349" i="10"/>
  <c r="P378" i="10"/>
  <c r="AI382" i="5"/>
  <c r="P386" i="10"/>
  <c r="AI390" i="5"/>
  <c r="P394" i="10"/>
  <c r="AI398" i="5"/>
  <c r="P402" i="10"/>
  <c r="AO408" i="5" s="1"/>
  <c r="AI406" i="5"/>
  <c r="Q410" i="10"/>
  <c r="P418" i="10"/>
  <c r="AI422" i="5"/>
  <c r="Y156" i="5"/>
  <c r="W156" i="5"/>
  <c r="O219" i="10"/>
  <c r="V156" i="5"/>
  <c r="P182" i="10"/>
  <c r="P180" i="10"/>
  <c r="O218" i="10"/>
  <c r="P179" i="10"/>
  <c r="O217" i="10"/>
  <c r="Q203" i="10"/>
  <c r="O205" i="10"/>
  <c r="P201" i="10"/>
  <c r="O239" i="10"/>
  <c r="P198" i="10"/>
  <c r="O236" i="10"/>
  <c r="P200" i="10"/>
  <c r="AO169" i="5" s="1"/>
  <c r="O238" i="10"/>
  <c r="P178" i="10"/>
  <c r="O216" i="10"/>
  <c r="P202" i="10"/>
  <c r="AO171" i="5" s="1"/>
  <c r="O240" i="10"/>
  <c r="P199" i="10"/>
  <c r="O237" i="10"/>
  <c r="AL25" i="5"/>
  <c r="AL13" i="5"/>
  <c r="AY12" i="5"/>
  <c r="AL14" i="5"/>
  <c r="AF13" i="5"/>
  <c r="AL22" i="5"/>
  <c r="Z22" i="5"/>
  <c r="Z26" i="5"/>
  <c r="AF16" i="5"/>
  <c r="AL18" i="5"/>
  <c r="Z19" i="5"/>
  <c r="Z12" i="5"/>
  <c r="Z14" i="5"/>
  <c r="Z18" i="5"/>
  <c r="AF14" i="5"/>
  <c r="Z13" i="5"/>
  <c r="Z16" i="5"/>
  <c r="AF15" i="5"/>
  <c r="AL15" i="5"/>
  <c r="AF27" i="5"/>
  <c r="AR14" i="5"/>
  <c r="Z17" i="5"/>
  <c r="Z21" i="5"/>
  <c r="AL26" i="5"/>
  <c r="AL20" i="5"/>
  <c r="Z23" i="5"/>
  <c r="Z15" i="5"/>
  <c r="Q24" i="10"/>
  <c r="Z20" i="5"/>
  <c r="Z24" i="5"/>
  <c r="AL19" i="5"/>
  <c r="W28" i="5"/>
  <c r="AL23" i="5"/>
  <c r="AF20" i="5"/>
  <c r="AF24" i="5"/>
  <c r="Z27" i="5"/>
  <c r="AF19" i="5"/>
  <c r="AF23" i="5"/>
  <c r="Z25" i="5"/>
  <c r="AF25" i="5"/>
  <c r="AF18" i="5"/>
  <c r="AF22" i="5"/>
  <c r="AF26" i="5"/>
  <c r="AR27" i="5"/>
  <c r="AZ24" i="5" l="1"/>
  <c r="Q62" i="10"/>
  <c r="AL12" i="5"/>
  <c r="AR15" i="5"/>
  <c r="AR13" i="5"/>
  <c r="AZ17" i="5"/>
  <c r="AR12" i="5"/>
  <c r="BA16" i="5"/>
  <c r="AL27" i="5"/>
  <c r="BA23" i="5"/>
  <c r="AR23" i="5"/>
  <c r="BA18" i="5"/>
  <c r="AR18" i="5"/>
  <c r="AO58" i="5"/>
  <c r="AO305" i="5"/>
  <c r="AO66" i="5"/>
  <c r="AR19" i="5"/>
  <c r="BA19" i="5"/>
  <c r="AR20" i="5"/>
  <c r="BA20" i="5"/>
  <c r="AR25" i="5"/>
  <c r="BA25" i="5"/>
  <c r="BA22" i="5"/>
  <c r="AR22" i="5"/>
  <c r="AR26" i="5"/>
  <c r="AI183" i="5"/>
  <c r="AI394" i="5"/>
  <c r="AO400" i="5"/>
  <c r="AO10" i="5"/>
  <c r="AL21" i="5"/>
  <c r="AO72" i="5"/>
  <c r="AO118" i="5"/>
  <c r="AO370" i="5"/>
  <c r="AI53" i="5"/>
  <c r="AI220" i="5"/>
  <c r="AY17" i="5"/>
  <c r="AI223" i="5"/>
  <c r="AF21" i="5"/>
  <c r="AI251" i="5"/>
  <c r="AU14" i="5"/>
  <c r="AW14" i="5" s="1"/>
  <c r="BA24" i="5"/>
  <c r="AI252" i="5"/>
  <c r="AU15" i="5"/>
  <c r="AW15" i="5" s="1"/>
  <c r="AC258" i="5"/>
  <c r="AU16" i="5"/>
  <c r="AW16" i="5" s="1"/>
  <c r="AU410" i="5"/>
  <c r="AU412" i="5"/>
  <c r="AU27" i="5"/>
  <c r="AW27" i="5" s="1"/>
  <c r="AU13" i="5"/>
  <c r="AW13" i="5" s="1"/>
  <c r="AU411" i="5"/>
  <c r="AU378" i="5"/>
  <c r="AU12" i="5"/>
  <c r="AW12" i="5" s="1"/>
  <c r="AI253" i="5"/>
  <c r="AI255" i="5"/>
  <c r="AI254" i="5"/>
  <c r="P152" i="10"/>
  <c r="Q152" i="10" s="1"/>
  <c r="P104" i="10"/>
  <c r="AO17" i="5" s="1"/>
  <c r="AQ17" i="5" s="1"/>
  <c r="P384" i="10"/>
  <c r="AO21" i="5" s="1"/>
  <c r="AQ21" i="5" s="1"/>
  <c r="AI388" i="5"/>
  <c r="P28" i="10"/>
  <c r="AO8" i="5" s="1"/>
  <c r="Q310" i="10"/>
  <c r="AO314" i="5"/>
  <c r="Q106" i="10"/>
  <c r="Q297" i="10"/>
  <c r="Q105" i="10"/>
  <c r="Q32" i="10"/>
  <c r="Q394" i="10"/>
  <c r="Q145" i="10"/>
  <c r="AU11" i="5" s="1"/>
  <c r="AO149" i="5"/>
  <c r="Q79" i="10"/>
  <c r="AO83" i="5"/>
  <c r="Q48" i="10"/>
  <c r="AO52" i="5"/>
  <c r="Q31" i="10"/>
  <c r="Q397" i="10"/>
  <c r="AO401" i="5"/>
  <c r="Q344" i="10"/>
  <c r="Q275" i="10"/>
  <c r="Q107" i="10"/>
  <c r="Q38" i="10"/>
  <c r="AO42" i="5"/>
  <c r="Q290" i="10"/>
  <c r="AO294" i="5"/>
  <c r="Q143" i="10"/>
  <c r="AU9" i="5" s="1"/>
  <c r="Q313" i="10"/>
  <c r="Q253" i="10"/>
  <c r="Q117" i="10"/>
  <c r="AO121" i="5"/>
  <c r="Q36" i="10"/>
  <c r="P208" i="10"/>
  <c r="P338" i="10"/>
  <c r="AI342" i="5"/>
  <c r="Q149" i="10"/>
  <c r="Q99" i="10"/>
  <c r="AU368" i="5" s="1"/>
  <c r="Q377" i="10"/>
  <c r="AU381" i="5" s="1"/>
  <c r="AO381" i="5"/>
  <c r="Q304" i="10"/>
  <c r="AO308" i="5"/>
  <c r="Q59" i="10"/>
  <c r="AU418" i="5" s="1"/>
  <c r="AO63" i="5"/>
  <c r="Q347" i="10"/>
  <c r="Q303" i="10"/>
  <c r="AO307" i="5"/>
  <c r="Q176" i="10"/>
  <c r="Q163" i="10"/>
  <c r="Q159" i="10"/>
  <c r="Q181" i="10"/>
  <c r="Q418" i="10"/>
  <c r="AU422" i="5" s="1"/>
  <c r="AO422" i="5"/>
  <c r="Q402" i="10"/>
  <c r="AO406" i="5"/>
  <c r="Q386" i="10"/>
  <c r="AO390" i="5"/>
  <c r="Q309" i="10"/>
  <c r="Q255" i="10"/>
  <c r="AU26" i="5" s="1"/>
  <c r="AW26" i="5" s="1"/>
  <c r="Q136" i="10"/>
  <c r="Q71" i="10"/>
  <c r="AO75" i="5"/>
  <c r="Q56" i="10"/>
  <c r="AU415" i="5" s="1"/>
  <c r="AO60" i="5"/>
  <c r="Q39" i="10"/>
  <c r="AO43" i="5"/>
  <c r="Q372" i="10"/>
  <c r="AU376" i="5" s="1"/>
  <c r="AO376" i="5"/>
  <c r="Q328" i="10"/>
  <c r="Q254" i="10"/>
  <c r="AU25" i="5" s="1"/>
  <c r="AW25" i="5" s="1"/>
  <c r="Q173" i="10"/>
  <c r="AO177" i="5"/>
  <c r="Q148" i="10"/>
  <c r="Q115" i="10"/>
  <c r="AU119" i="5" s="1"/>
  <c r="AO119" i="5"/>
  <c r="Q98" i="10"/>
  <c r="AU367" i="5" s="1"/>
  <c r="Q47" i="10"/>
  <c r="Q30" i="10"/>
  <c r="Q380" i="10"/>
  <c r="AO384" i="5"/>
  <c r="Q343" i="10"/>
  <c r="AO347" i="5"/>
  <c r="Q327" i="10"/>
  <c r="Q299" i="10"/>
  <c r="AO303" i="5"/>
  <c r="Q257" i="10"/>
  <c r="AU28" i="5" s="1"/>
  <c r="AW28" i="5" s="1"/>
  <c r="AO261" i="5"/>
  <c r="Q134" i="10"/>
  <c r="Q101" i="10"/>
  <c r="Q37" i="10"/>
  <c r="Q399" i="10"/>
  <c r="AO403" i="5"/>
  <c r="Q346" i="10"/>
  <c r="Q302" i="10"/>
  <c r="AO306" i="5"/>
  <c r="Q273" i="10"/>
  <c r="AU44" i="5" s="1"/>
  <c r="Q175" i="10"/>
  <c r="AO179" i="5"/>
  <c r="Q142" i="10"/>
  <c r="Q109" i="10"/>
  <c r="Q76" i="10"/>
  <c r="AO80" i="5"/>
  <c r="Q45" i="10"/>
  <c r="AU296" i="5" s="1"/>
  <c r="Q27" i="10"/>
  <c r="P41" i="10"/>
  <c r="AO65" i="5" s="1"/>
  <c r="AI45" i="5"/>
  <c r="P209" i="10"/>
  <c r="P214" i="10"/>
  <c r="AI218" i="5"/>
  <c r="Q305" i="10"/>
  <c r="AO309" i="5"/>
  <c r="Q252" i="10"/>
  <c r="AU23" i="5" s="1"/>
  <c r="AW23" i="5" s="1"/>
  <c r="AO256" i="5"/>
  <c r="Q116" i="10"/>
  <c r="Q35" i="10"/>
  <c r="Q401" i="10"/>
  <c r="AO405" i="5"/>
  <c r="Q295" i="10"/>
  <c r="Q177" i="10"/>
  <c r="Q135" i="10"/>
  <c r="Q78" i="10"/>
  <c r="AO82" i="5"/>
  <c r="Q43" i="10"/>
  <c r="AU47" i="5" s="1"/>
  <c r="AO47" i="5"/>
  <c r="Q400" i="10"/>
  <c r="AO404" i="5"/>
  <c r="Q331" i="10"/>
  <c r="Q274" i="10"/>
  <c r="Q138" i="10"/>
  <c r="Q97" i="10"/>
  <c r="AU366" i="5" s="1"/>
  <c r="Q50" i="10"/>
  <c r="AU413" i="5" s="1"/>
  <c r="Q306" i="10"/>
  <c r="AO310" i="5"/>
  <c r="Q249" i="10"/>
  <c r="AU20" i="5" s="1"/>
  <c r="AW20" i="5" s="1"/>
  <c r="Q113" i="10"/>
  <c r="AO117" i="5"/>
  <c r="Q57" i="10"/>
  <c r="AU61" i="5" s="1"/>
  <c r="AO61" i="5"/>
  <c r="P212" i="10"/>
  <c r="AO182" i="5" s="1"/>
  <c r="AI216" i="5"/>
  <c r="P215" i="10"/>
  <c r="Q157" i="10"/>
  <c r="Q160" i="10"/>
  <c r="P282" i="10"/>
  <c r="AO297" i="5" s="1"/>
  <c r="AI286" i="5"/>
  <c r="P334" i="10"/>
  <c r="AO349" i="5" s="1"/>
  <c r="Q161" i="10"/>
  <c r="Q164" i="10"/>
  <c r="AO168" i="5"/>
  <c r="P375" i="10"/>
  <c r="AO389" i="5" s="1"/>
  <c r="AI379" i="5"/>
  <c r="P280" i="10"/>
  <c r="AO295" i="5" s="1"/>
  <c r="Q398" i="10"/>
  <c r="AO402" i="5"/>
  <c r="Q382" i="10"/>
  <c r="AO386" i="5"/>
  <c r="Q272" i="10"/>
  <c r="Q75" i="10"/>
  <c r="AO79" i="5"/>
  <c r="Q44" i="10"/>
  <c r="Q311" i="10"/>
  <c r="Q271" i="10"/>
  <c r="Q111" i="10"/>
  <c r="AO115" i="5"/>
  <c r="Q376" i="10"/>
  <c r="AU380" i="5" s="1"/>
  <c r="AO380" i="5"/>
  <c r="Q250" i="10"/>
  <c r="Q58" i="10"/>
  <c r="AO62" i="5"/>
  <c r="Q33" i="10"/>
  <c r="Q395" i="10"/>
  <c r="AU399" i="5" s="1"/>
  <c r="AO399" i="5"/>
  <c r="P210" i="10"/>
  <c r="AO180" i="5" s="1"/>
  <c r="Q378" i="10"/>
  <c r="AU382" i="5" s="1"/>
  <c r="AO382" i="5"/>
  <c r="Q329" i="10"/>
  <c r="Q248" i="10"/>
  <c r="AU19" i="5" s="1"/>
  <c r="AW19" i="5" s="1"/>
  <c r="Q112" i="10"/>
  <c r="AO116" i="5"/>
  <c r="Q63" i="10"/>
  <c r="AU420" i="5" s="1"/>
  <c r="AO67" i="5"/>
  <c r="Q381" i="10"/>
  <c r="AU385" i="5" s="1"/>
  <c r="AO385" i="5"/>
  <c r="Q308" i="10"/>
  <c r="AO312" i="5"/>
  <c r="Q291" i="10"/>
  <c r="Q247" i="10"/>
  <c r="AU18" i="5" s="1"/>
  <c r="AW18" i="5" s="1"/>
  <c r="Q74" i="10"/>
  <c r="AO78" i="5"/>
  <c r="Q55" i="10"/>
  <c r="AU414" i="5" s="1"/>
  <c r="AO59" i="5"/>
  <c r="Q420" i="10"/>
  <c r="AU424" i="5" s="1"/>
  <c r="AO424" i="5"/>
  <c r="Q388" i="10"/>
  <c r="AO392" i="5"/>
  <c r="Q371" i="10"/>
  <c r="AU375" i="5" s="1"/>
  <c r="AO375" i="5"/>
  <c r="Q307" i="10"/>
  <c r="AO311" i="5"/>
  <c r="Q246" i="10"/>
  <c r="Q110" i="10"/>
  <c r="AO114" i="5"/>
  <c r="Q77" i="10"/>
  <c r="AO81" i="5"/>
  <c r="Q46" i="10"/>
  <c r="AU50" i="5" s="1"/>
  <c r="AO50" i="5"/>
  <c r="Q391" i="10"/>
  <c r="AO395" i="5"/>
  <c r="Q151" i="10"/>
  <c r="Q100" i="10"/>
  <c r="AU369" i="5" s="1"/>
  <c r="P166" i="10"/>
  <c r="AI170" i="5"/>
  <c r="P211" i="10"/>
  <c r="Q345" i="10"/>
  <c r="Q288" i="10"/>
  <c r="Q25" i="10"/>
  <c r="Q73" i="10"/>
  <c r="AO77" i="5"/>
  <c r="Q289" i="10"/>
  <c r="AU304" i="5" s="1"/>
  <c r="Q80" i="10"/>
  <c r="P213" i="10"/>
  <c r="AI217" i="5"/>
  <c r="Q158" i="10"/>
  <c r="Q162" i="10"/>
  <c r="P219" i="10"/>
  <c r="P336" i="10"/>
  <c r="Q373" i="10"/>
  <c r="AU377" i="5" s="1"/>
  <c r="AO377" i="5"/>
  <c r="Q296" i="10"/>
  <c r="Q174" i="10"/>
  <c r="AO178" i="5"/>
  <c r="Q108" i="10"/>
  <c r="Q60" i="10"/>
  <c r="AU419" i="5" s="1"/>
  <c r="AO64" i="5"/>
  <c r="Q26" i="10"/>
  <c r="Q393" i="10"/>
  <c r="AO397" i="5"/>
  <c r="Q287" i="10"/>
  <c r="AU291" i="5" s="1"/>
  <c r="AO291" i="5"/>
  <c r="Q251" i="10"/>
  <c r="AU22" i="5" s="1"/>
  <c r="AW22" i="5" s="1"/>
  <c r="Q144" i="10"/>
  <c r="Q70" i="10"/>
  <c r="AU74" i="5" s="1"/>
  <c r="AO74" i="5"/>
  <c r="Q34" i="10"/>
  <c r="Q147" i="10"/>
  <c r="AO151" i="5"/>
  <c r="Q65" i="10"/>
  <c r="AU421" i="5" s="1"/>
  <c r="AO69" i="5"/>
  <c r="Q42" i="10"/>
  <c r="AO46" i="5"/>
  <c r="Q419" i="10"/>
  <c r="AU423" i="5" s="1"/>
  <c r="AO423" i="5"/>
  <c r="Q403" i="10"/>
  <c r="AO407" i="5"/>
  <c r="Q379" i="10"/>
  <c r="AU383" i="5" s="1"/>
  <c r="AO383" i="5"/>
  <c r="Q330" i="10"/>
  <c r="Q137" i="10"/>
  <c r="Q72" i="10"/>
  <c r="AO76" i="5"/>
  <c r="P29" i="10"/>
  <c r="P278" i="10"/>
  <c r="AO293" i="5" s="1"/>
  <c r="P168" i="10"/>
  <c r="AO183" i="5" s="1"/>
  <c r="AI172" i="5"/>
  <c r="X156" i="5"/>
  <c r="Q199" i="10"/>
  <c r="P237" i="10"/>
  <c r="Q202" i="10"/>
  <c r="AU171" i="5" s="1"/>
  <c r="P240" i="10"/>
  <c r="Q178" i="10"/>
  <c r="P216" i="10"/>
  <c r="AO220" i="5" s="1"/>
  <c r="Q180" i="10"/>
  <c r="P218" i="10"/>
  <c r="Q182" i="10"/>
  <c r="Q200" i="10"/>
  <c r="AU169" i="5" s="1"/>
  <c r="P238" i="10"/>
  <c r="Q198" i="10"/>
  <c r="P236" i="10"/>
  <c r="AO251" i="5" s="1"/>
  <c r="Q201" i="10"/>
  <c r="P239" i="10"/>
  <c r="P205" i="10"/>
  <c r="Q179" i="10"/>
  <c r="P217" i="10"/>
  <c r="AL28" i="5"/>
  <c r="AZ28" i="5"/>
  <c r="AQ28" i="5"/>
  <c r="X28" i="5"/>
  <c r="Y28" i="5"/>
  <c r="AU416" i="5" l="1"/>
  <c r="AU307" i="5"/>
  <c r="AO51" i="5"/>
  <c r="AO181" i="5"/>
  <c r="AU81" i="5"/>
  <c r="AU309" i="5"/>
  <c r="AU308" i="5"/>
  <c r="AU42" i="5"/>
  <c r="AU168" i="5"/>
  <c r="AU62" i="5"/>
  <c r="AO49" i="5"/>
  <c r="AU43" i="5"/>
  <c r="AO394" i="5"/>
  <c r="AU83" i="5"/>
  <c r="BB28" i="5"/>
  <c r="AU151" i="5"/>
  <c r="AU114" i="5"/>
  <c r="AU118" i="5"/>
  <c r="AU370" i="5"/>
  <c r="AU294" i="5"/>
  <c r="AO398" i="5"/>
  <c r="AU10" i="5"/>
  <c r="AU73" i="5"/>
  <c r="AU417" i="5"/>
  <c r="AO53" i="5"/>
  <c r="AO223" i="5"/>
  <c r="AU64" i="5"/>
  <c r="AU386" i="5"/>
  <c r="AU116" i="5"/>
  <c r="AU115" i="5"/>
  <c r="AU393" i="5"/>
  <c r="AU306" i="5"/>
  <c r="AU403" i="5"/>
  <c r="AU177" i="5"/>
  <c r="AU78" i="5"/>
  <c r="AU75" i="5"/>
  <c r="AU121" i="5"/>
  <c r="AU70" i="5"/>
  <c r="AU314" i="5"/>
  <c r="AU79" i="5"/>
  <c r="BA28" i="5"/>
  <c r="AU76" i="5"/>
  <c r="AU395" i="5"/>
  <c r="AU256" i="5"/>
  <c r="AU390" i="5"/>
  <c r="AU401" i="5"/>
  <c r="AU52" i="5"/>
  <c r="AU149" i="5"/>
  <c r="AU396" i="5"/>
  <c r="AU384" i="5"/>
  <c r="AU71" i="5"/>
  <c r="AI258" i="5"/>
  <c r="AU397" i="5"/>
  <c r="AU400" i="5"/>
  <c r="AU77" i="5"/>
  <c r="AU261" i="5"/>
  <c r="BA21" i="5"/>
  <c r="AR21" i="5"/>
  <c r="AU150" i="5"/>
  <c r="BB15" i="5"/>
  <c r="BC15" i="5" s="1"/>
  <c r="AX15" i="5"/>
  <c r="AU58" i="5"/>
  <c r="AU407" i="5"/>
  <c r="AU409" i="5"/>
  <c r="AU46" i="5"/>
  <c r="AU66" i="5"/>
  <c r="AO252" i="5"/>
  <c r="BB22" i="5"/>
  <c r="BC22" i="5" s="1"/>
  <c r="AX22" i="5"/>
  <c r="AU72" i="5"/>
  <c r="BB14" i="5"/>
  <c r="BC14" i="5" s="1"/>
  <c r="AX14" i="5"/>
  <c r="AU69" i="5"/>
  <c r="AU311" i="5"/>
  <c r="AU59" i="5"/>
  <c r="AU67" i="5"/>
  <c r="AU402" i="5"/>
  <c r="AU117" i="5"/>
  <c r="AU310" i="5"/>
  <c r="AU404" i="5"/>
  <c r="AU82" i="5"/>
  <c r="AU405" i="5"/>
  <c r="AU80" i="5"/>
  <c r="AU303" i="5"/>
  <c r="AU347" i="5"/>
  <c r="AU60" i="5"/>
  <c r="AU406" i="5"/>
  <c r="AO167" i="5"/>
  <c r="BA17" i="5"/>
  <c r="AR17" i="5"/>
  <c r="AU391" i="5"/>
  <c r="BB13" i="5"/>
  <c r="BC13" i="5" s="1"/>
  <c r="AX13" i="5"/>
  <c r="BB26" i="5"/>
  <c r="BC26" i="5" s="1"/>
  <c r="AX26" i="5"/>
  <c r="AU408" i="5"/>
  <c r="BB16" i="5"/>
  <c r="BC16" i="5" s="1"/>
  <c r="AX16" i="5"/>
  <c r="AU387" i="5"/>
  <c r="BB23" i="5"/>
  <c r="BC23" i="5" s="1"/>
  <c r="AX23" i="5"/>
  <c r="BB27" i="5"/>
  <c r="BC27" i="5" s="1"/>
  <c r="AX27" i="5"/>
  <c r="AX20" i="5"/>
  <c r="BB20" i="5"/>
  <c r="BC20" i="5" s="1"/>
  <c r="AU392" i="5"/>
  <c r="AU24" i="5"/>
  <c r="AW24" i="5" s="1"/>
  <c r="AU312" i="5"/>
  <c r="AO255" i="5"/>
  <c r="AO254" i="5"/>
  <c r="AO253" i="5"/>
  <c r="AU167" i="5"/>
  <c r="AU63" i="5"/>
  <c r="AX18" i="5"/>
  <c r="BB18" i="5"/>
  <c r="BC18" i="5" s="1"/>
  <c r="BB12" i="5"/>
  <c r="BC12" i="5" s="1"/>
  <c r="AX12" i="5"/>
  <c r="AX19" i="5"/>
  <c r="BB19" i="5"/>
  <c r="BC19" i="5" s="1"/>
  <c r="BB25" i="5"/>
  <c r="BC25" i="5" s="1"/>
  <c r="AX25" i="5"/>
  <c r="AU305" i="5"/>
  <c r="Q28" i="10"/>
  <c r="AU394" i="5" s="1"/>
  <c r="Q384" i="10"/>
  <c r="AO388" i="5"/>
  <c r="Q104" i="10"/>
  <c r="Q208" i="10"/>
  <c r="AU178" i="5" s="1"/>
  <c r="Q216" i="10"/>
  <c r="Q168" i="10"/>
  <c r="AU172" i="5" s="1"/>
  <c r="AO172" i="5"/>
  <c r="Q336" i="10"/>
  <c r="Q213" i="10"/>
  <c r="AU217" i="5" s="1"/>
  <c r="AO217" i="5"/>
  <c r="Q166" i="10"/>
  <c r="AU170" i="5" s="1"/>
  <c r="AO170" i="5"/>
  <c r="Q375" i="10"/>
  <c r="AO379" i="5"/>
  <c r="Q282" i="10"/>
  <c r="AU53" i="5" s="1"/>
  <c r="AO286" i="5"/>
  <c r="Q212" i="10"/>
  <c r="AU216" i="5" s="1"/>
  <c r="AO216" i="5"/>
  <c r="Q209" i="10"/>
  <c r="AU179" i="5" s="1"/>
  <c r="Q236" i="10"/>
  <c r="AU251" i="5" s="1"/>
  <c r="Q237" i="10"/>
  <c r="AU252" i="5" s="1"/>
  <c r="Q29" i="10"/>
  <c r="Q338" i="10"/>
  <c r="AO342" i="5"/>
  <c r="Q219" i="10"/>
  <c r="Q217" i="10"/>
  <c r="Q239" i="10"/>
  <c r="Q238" i="10"/>
  <c r="Q218" i="10"/>
  <c r="Q240" i="10"/>
  <c r="Q278" i="10"/>
  <c r="AU293" i="5" s="1"/>
  <c r="Q211" i="10"/>
  <c r="Q210" i="10"/>
  <c r="Q280" i="10"/>
  <c r="AU51" i="5" s="1"/>
  <c r="Q334" i="10"/>
  <c r="AU349" i="5" s="1"/>
  <c r="Q215" i="10"/>
  <c r="Q214" i="10"/>
  <c r="AU218" i="5" s="1"/>
  <c r="AO218" i="5"/>
  <c r="Q41" i="10"/>
  <c r="AO45" i="5"/>
  <c r="Z156" i="5"/>
  <c r="Q205" i="10"/>
  <c r="AR28" i="5"/>
  <c r="AX28" i="5"/>
  <c r="Z28" i="5"/>
  <c r="BC28" i="5" l="1"/>
  <c r="AU183" i="5"/>
  <c r="AU180" i="5"/>
  <c r="AU49" i="5"/>
  <c r="AU182" i="5"/>
  <c r="AU398" i="5"/>
  <c r="AU223" i="5"/>
  <c r="AU181" i="5"/>
  <c r="AU379" i="5"/>
  <c r="AU389" i="5"/>
  <c r="AU17" i="5"/>
  <c r="AW17" i="5" s="1"/>
  <c r="AU45" i="5"/>
  <c r="AU65" i="5"/>
  <c r="BB24" i="5"/>
  <c r="BC24" i="5" s="1"/>
  <c r="AX24" i="5"/>
  <c r="AU295" i="5"/>
  <c r="AU342" i="5"/>
  <c r="AU286" i="5"/>
  <c r="AU297" i="5"/>
  <c r="AU220" i="5"/>
  <c r="AU388" i="5"/>
  <c r="AU21" i="5"/>
  <c r="AW21" i="5" s="1"/>
  <c r="AU8" i="5"/>
  <c r="AO258" i="5"/>
  <c r="AU253" i="5"/>
  <c r="AU255" i="5"/>
  <c r="AU254"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M53" i="5"/>
  <c r="BE53" i="5" s="1"/>
  <c r="L54" i="5"/>
  <c r="L55" i="5"/>
  <c r="L56" i="5"/>
  <c r="L57" i="5"/>
  <c r="L58" i="5"/>
  <c r="L59" i="5"/>
  <c r="L60" i="5"/>
  <c r="L61" i="5"/>
  <c r="L62" i="5"/>
  <c r="L63" i="5"/>
  <c r="L64" i="5"/>
  <c r="L65" i="5"/>
  <c r="L66" i="5"/>
  <c r="L67" i="5"/>
  <c r="L68" i="5"/>
  <c r="L69" i="5"/>
  <c r="L70" i="5"/>
  <c r="M70" i="5"/>
  <c r="BE70" i="5" s="1"/>
  <c r="L71" i="5"/>
  <c r="M71" i="5"/>
  <c r="BE71" i="5" s="1"/>
  <c r="L72" i="5"/>
  <c r="M72" i="5"/>
  <c r="BE72" i="5" s="1"/>
  <c r="L73" i="5"/>
  <c r="M73" i="5"/>
  <c r="BE73" i="5" s="1"/>
  <c r="L74" i="5"/>
  <c r="L75" i="5"/>
  <c r="L76" i="5"/>
  <c r="L77" i="5"/>
  <c r="L78" i="5"/>
  <c r="L79" i="5"/>
  <c r="L80" i="5"/>
  <c r="M80" i="5"/>
  <c r="BE80" i="5" s="1"/>
  <c r="L81" i="5"/>
  <c r="L82" i="5"/>
  <c r="L83" i="5"/>
  <c r="L84" i="5"/>
  <c r="L85" i="5"/>
  <c r="L86" i="5"/>
  <c r="L87" i="5"/>
  <c r="L88" i="5"/>
  <c r="L89" i="5"/>
  <c r="L90" i="5"/>
  <c r="L91" i="5"/>
  <c r="L92" i="5"/>
  <c r="L93" i="5"/>
  <c r="L94" i="5"/>
  <c r="L95" i="5"/>
  <c r="L96" i="5"/>
  <c r="L97" i="5"/>
  <c r="L98" i="5"/>
  <c r="L99" i="5"/>
  <c r="L100" i="5"/>
  <c r="L101" i="5"/>
  <c r="L102" i="5"/>
  <c r="L103" i="5"/>
  <c r="L104" i="5"/>
  <c r="L105" i="5"/>
  <c r="L106" i="5"/>
  <c r="M106" i="5"/>
  <c r="BE106" i="5" s="1"/>
  <c r="L107" i="5"/>
  <c r="L108" i="5"/>
  <c r="L109" i="5"/>
  <c r="L110" i="5"/>
  <c r="L111" i="5"/>
  <c r="L112" i="5"/>
  <c r="L113" i="5"/>
  <c r="L114" i="5"/>
  <c r="L115" i="5"/>
  <c r="L116" i="5"/>
  <c r="M116" i="5"/>
  <c r="BE116" i="5" s="1"/>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M143" i="5"/>
  <c r="BE143" i="5" s="1"/>
  <c r="L144" i="5"/>
  <c r="L145" i="5"/>
  <c r="M145" i="5"/>
  <c r="BE145" i="5" s="1"/>
  <c r="L146" i="5"/>
  <c r="L147" i="5"/>
  <c r="L148" i="5"/>
  <c r="L149" i="5"/>
  <c r="L150" i="5"/>
  <c r="M150" i="5"/>
  <c r="BE150" i="5" s="1"/>
  <c r="L151" i="5"/>
  <c r="L152" i="5"/>
  <c r="L153" i="5"/>
  <c r="L154" i="5"/>
  <c r="L155" i="5"/>
  <c r="L157" i="5"/>
  <c r="M157" i="5"/>
  <c r="BE157" i="5" s="1"/>
  <c r="L158" i="5"/>
  <c r="M158" i="5"/>
  <c r="BE158" i="5" s="1"/>
  <c r="L159" i="5"/>
  <c r="M159" i="5"/>
  <c r="BE159" i="5" s="1"/>
  <c r="L160" i="5"/>
  <c r="M160" i="5"/>
  <c r="BE160" i="5" s="1"/>
  <c r="L161" i="5"/>
  <c r="L162" i="5"/>
  <c r="L163" i="5"/>
  <c r="L164" i="5"/>
  <c r="L165" i="5"/>
  <c r="L166" i="5"/>
  <c r="L167" i="5"/>
  <c r="L168" i="5"/>
  <c r="M168" i="5"/>
  <c r="BE168" i="5" s="1"/>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M207" i="5"/>
  <c r="BE207" i="5" s="1"/>
  <c r="L208" i="5"/>
  <c r="L209" i="5"/>
  <c r="L210" i="5"/>
  <c r="L211" i="5"/>
  <c r="L212" i="5"/>
  <c r="L213" i="5"/>
  <c r="BE213" i="5"/>
  <c r="L214" i="5"/>
  <c r="BE214" i="5"/>
  <c r="L215" i="5"/>
  <c r="BE215" i="5"/>
  <c r="L216" i="5"/>
  <c r="BE216" i="5"/>
  <c r="L217" i="5"/>
  <c r="BE217" i="5"/>
  <c r="L218" i="5"/>
  <c r="BE218" i="5"/>
  <c r="L219" i="5"/>
  <c r="M219" i="5"/>
  <c r="BE219" i="5" s="1"/>
  <c r="L220" i="5"/>
  <c r="BE220" i="5"/>
  <c r="L221" i="5"/>
  <c r="BE221" i="5"/>
  <c r="L222" i="5"/>
  <c r="BE222" i="5"/>
  <c r="L223" i="5"/>
  <c r="BE223" i="5"/>
  <c r="L224" i="5"/>
  <c r="BE224" i="5"/>
  <c r="L225" i="5"/>
  <c r="L226" i="5"/>
  <c r="L227" i="5"/>
  <c r="L228" i="5"/>
  <c r="L229" i="5"/>
  <c r="L230" i="5"/>
  <c r="L231" i="5"/>
  <c r="L232" i="5"/>
  <c r="L233" i="5"/>
  <c r="L234" i="5"/>
  <c r="L235" i="5"/>
  <c r="L236" i="5"/>
  <c r="L237" i="5"/>
  <c r="L238" i="5"/>
  <c r="L239" i="5"/>
  <c r="L240" i="5"/>
  <c r="BE240" i="5"/>
  <c r="L241" i="5"/>
  <c r="BE241" i="5"/>
  <c r="L242" i="5"/>
  <c r="BE242" i="5"/>
  <c r="L243" i="5"/>
  <c r="BE243" i="5"/>
  <c r="L244" i="5"/>
  <c r="BE244" i="5"/>
  <c r="L245" i="5"/>
  <c r="M245" i="5"/>
  <c r="BE245" i="5" s="1"/>
  <c r="L246" i="5"/>
  <c r="L247" i="5"/>
  <c r="BE247" i="5"/>
  <c r="L248" i="5"/>
  <c r="L249" i="5"/>
  <c r="L250" i="5"/>
  <c r="L251" i="5"/>
  <c r="L252" i="5"/>
  <c r="L253" i="5"/>
  <c r="L254" i="5"/>
  <c r="L255" i="5"/>
  <c r="L256" i="5"/>
  <c r="L257" i="5"/>
  <c r="M257" i="5"/>
  <c r="BE257" i="5" s="1"/>
  <c r="L258" i="5"/>
  <c r="L259" i="5"/>
  <c r="L260" i="5"/>
  <c r="L261" i="5"/>
  <c r="L262" i="5"/>
  <c r="L263" i="5"/>
  <c r="L264" i="5"/>
  <c r="L265" i="5"/>
  <c r="L266" i="5"/>
  <c r="L267" i="5"/>
  <c r="L268" i="5"/>
  <c r="L269" i="5"/>
  <c r="L270" i="5"/>
  <c r="L271" i="5"/>
  <c r="L272" i="5"/>
  <c r="L273" i="5"/>
  <c r="L274" i="5"/>
  <c r="L275" i="5"/>
  <c r="L276" i="5"/>
  <c r="L277" i="5"/>
  <c r="L278" i="5"/>
  <c r="L279" i="5"/>
  <c r="L280" i="5"/>
  <c r="M280" i="5"/>
  <c r="BE280" i="5" s="1"/>
  <c r="L281" i="5"/>
  <c r="L282" i="5"/>
  <c r="L283" i="5"/>
  <c r="L284" i="5"/>
  <c r="L285" i="5"/>
  <c r="L286" i="5"/>
  <c r="L287" i="5"/>
  <c r="L288" i="5"/>
  <c r="L289" i="5"/>
  <c r="L290" i="5"/>
  <c r="L291" i="5"/>
  <c r="L292" i="5"/>
  <c r="L293" i="5"/>
  <c r="L294" i="5"/>
  <c r="L295" i="5"/>
  <c r="L296" i="5"/>
  <c r="M296" i="5"/>
  <c r="BE296" i="5" s="1"/>
  <c r="L297" i="5"/>
  <c r="M297" i="5"/>
  <c r="BE297" i="5" s="1"/>
  <c r="L298" i="5"/>
  <c r="M298" i="5"/>
  <c r="BE298" i="5" s="1"/>
  <c r="L299" i="5"/>
  <c r="L300" i="5"/>
  <c r="L301" i="5"/>
  <c r="L302" i="5"/>
  <c r="L303" i="5"/>
  <c r="L304" i="5"/>
  <c r="M304" i="5"/>
  <c r="BE304" i="5" s="1"/>
  <c r="L305" i="5"/>
  <c r="M305" i="5"/>
  <c r="BE305" i="5" s="1"/>
  <c r="L306" i="5"/>
  <c r="L307" i="5"/>
  <c r="L308" i="5"/>
  <c r="L309" i="5"/>
  <c r="L310" i="5"/>
  <c r="L311" i="5"/>
  <c r="L312" i="5"/>
  <c r="L313" i="5"/>
  <c r="M313" i="5"/>
  <c r="BE313" i="5" s="1"/>
  <c r="L314" i="5"/>
  <c r="L315" i="5"/>
  <c r="L316" i="5"/>
  <c r="L317" i="5"/>
  <c r="L318" i="5"/>
  <c r="L319" i="5"/>
  <c r="L320" i="5"/>
  <c r="L321" i="5"/>
  <c r="L322" i="5"/>
  <c r="L323" i="5"/>
  <c r="L324" i="5"/>
  <c r="L325" i="5"/>
  <c r="L326" i="5"/>
  <c r="L327" i="5"/>
  <c r="L328" i="5"/>
  <c r="L329" i="5"/>
  <c r="L330" i="5"/>
  <c r="L331" i="5"/>
  <c r="L332" i="5"/>
  <c r="L333" i="5"/>
  <c r="L334" i="5"/>
  <c r="L335" i="5"/>
  <c r="L336" i="5"/>
  <c r="M336" i="5"/>
  <c r="BE336" i="5" s="1"/>
  <c r="L337" i="5"/>
  <c r="L338" i="5"/>
  <c r="L339" i="5"/>
  <c r="L340" i="5"/>
  <c r="L341" i="5"/>
  <c r="L342" i="5"/>
  <c r="L343" i="5"/>
  <c r="L344" i="5"/>
  <c r="L345" i="5"/>
  <c r="L346" i="5"/>
  <c r="L347" i="5"/>
  <c r="L348" i="5"/>
  <c r="L349" i="5"/>
  <c r="L350" i="5"/>
  <c r="L351" i="5"/>
  <c r="L352" i="5"/>
  <c r="M352" i="5"/>
  <c r="BE352" i="5" s="1"/>
  <c r="L353" i="5"/>
  <c r="M353" i="5"/>
  <c r="BE353" i="5" s="1"/>
  <c r="L354" i="5"/>
  <c r="L355" i="5"/>
  <c r="L356" i="5"/>
  <c r="L357" i="5"/>
  <c r="L358" i="5"/>
  <c r="L359" i="5"/>
  <c r="L360" i="5"/>
  <c r="L361" i="5"/>
  <c r="L362" i="5"/>
  <c r="L363" i="5"/>
  <c r="L364" i="5"/>
  <c r="L365" i="5"/>
  <c r="L366" i="5"/>
  <c r="L367" i="5"/>
  <c r="L368" i="5"/>
  <c r="L369" i="5"/>
  <c r="L370" i="5"/>
  <c r="L371" i="5"/>
  <c r="L372" i="5"/>
  <c r="L373" i="5"/>
  <c r="L374" i="5"/>
  <c r="M374" i="5"/>
  <c r="BE374" i="5" s="1"/>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M408" i="5"/>
  <c r="BE408" i="5" s="1"/>
  <c r="L409" i="5"/>
  <c r="M409" i="5"/>
  <c r="BE409" i="5" s="1"/>
  <c r="L410" i="5"/>
  <c r="M410" i="5"/>
  <c r="BE410" i="5" s="1"/>
  <c r="L411" i="5"/>
  <c r="M411" i="5"/>
  <c r="BE411" i="5" s="1"/>
  <c r="L412" i="5"/>
  <c r="M412" i="5"/>
  <c r="BE412" i="5" s="1"/>
  <c r="L413" i="5"/>
  <c r="M413" i="5"/>
  <c r="BE413" i="5" s="1"/>
  <c r="L414" i="5"/>
  <c r="M414" i="5"/>
  <c r="BE414" i="5" s="1"/>
  <c r="L415" i="5"/>
  <c r="M415" i="5"/>
  <c r="BE415" i="5" s="1"/>
  <c r="L416" i="5"/>
  <c r="M416" i="5"/>
  <c r="BE416" i="5" s="1"/>
  <c r="L417" i="5"/>
  <c r="M417" i="5"/>
  <c r="BE417" i="5" s="1"/>
  <c r="L418" i="5"/>
  <c r="M418" i="5"/>
  <c r="BE418" i="5" s="1"/>
  <c r="L419" i="5"/>
  <c r="M419" i="5"/>
  <c r="BE419" i="5" s="1"/>
  <c r="L420" i="5"/>
  <c r="M420" i="5"/>
  <c r="BE420" i="5" s="1"/>
  <c r="L421" i="5"/>
  <c r="L422" i="5"/>
  <c r="L423" i="5"/>
  <c r="L424" i="5"/>
  <c r="L425" i="5"/>
  <c r="M425" i="5"/>
  <c r="BE425" i="5" s="1"/>
  <c r="D9" i="5"/>
  <c r="AV9" i="5" s="1"/>
  <c r="G9" i="5"/>
  <c r="D10" i="5"/>
  <c r="AV10" i="5" s="1"/>
  <c r="G10" i="5"/>
  <c r="D11" i="5"/>
  <c r="AV11" i="5" s="1"/>
  <c r="G11" i="5"/>
  <c r="D29" i="5"/>
  <c r="AV29" i="5" s="1"/>
  <c r="G29" i="5"/>
  <c r="H29" i="5"/>
  <c r="I29" i="5"/>
  <c r="J29" i="5"/>
  <c r="K29" i="5"/>
  <c r="D30" i="5"/>
  <c r="AV30" i="5" s="1"/>
  <c r="G30" i="5"/>
  <c r="H30" i="5"/>
  <c r="I30" i="5"/>
  <c r="J30" i="5"/>
  <c r="K30" i="5"/>
  <c r="D31" i="5"/>
  <c r="AV31" i="5" s="1"/>
  <c r="G31" i="5"/>
  <c r="H31" i="5"/>
  <c r="I31" i="5"/>
  <c r="J31" i="5"/>
  <c r="K31" i="5"/>
  <c r="D32" i="5"/>
  <c r="AV32" i="5" s="1"/>
  <c r="G32" i="5"/>
  <c r="H32" i="5"/>
  <c r="I32" i="5"/>
  <c r="J32" i="5"/>
  <c r="K32" i="5"/>
  <c r="D33" i="5"/>
  <c r="AV33" i="5" s="1"/>
  <c r="G33" i="5"/>
  <c r="H33" i="5"/>
  <c r="I33" i="5"/>
  <c r="J33" i="5"/>
  <c r="K33" i="5"/>
  <c r="D34" i="5"/>
  <c r="AV34" i="5" s="1"/>
  <c r="G34" i="5"/>
  <c r="H34" i="5"/>
  <c r="I34" i="5"/>
  <c r="J34" i="5"/>
  <c r="K34" i="5"/>
  <c r="D35" i="5"/>
  <c r="AV35" i="5" s="1"/>
  <c r="G35" i="5"/>
  <c r="H35" i="5"/>
  <c r="I35" i="5"/>
  <c r="J35" i="5"/>
  <c r="K35" i="5"/>
  <c r="D36" i="5"/>
  <c r="AV36" i="5" s="1"/>
  <c r="G36" i="5"/>
  <c r="H36" i="5"/>
  <c r="I36" i="5"/>
  <c r="J36" i="5"/>
  <c r="K36" i="5"/>
  <c r="D37" i="5"/>
  <c r="AV37" i="5" s="1"/>
  <c r="G37" i="5"/>
  <c r="H37" i="5"/>
  <c r="I37" i="5"/>
  <c r="J37" i="5"/>
  <c r="K37" i="5"/>
  <c r="D38" i="5"/>
  <c r="AV38" i="5" s="1"/>
  <c r="G38" i="5"/>
  <c r="H38" i="5"/>
  <c r="I38" i="5"/>
  <c r="J38" i="5"/>
  <c r="K38" i="5"/>
  <c r="D39" i="5"/>
  <c r="AV39" i="5" s="1"/>
  <c r="G39" i="5"/>
  <c r="H39" i="5"/>
  <c r="I39" i="5"/>
  <c r="J39" i="5"/>
  <c r="K39" i="5"/>
  <c r="D40" i="5"/>
  <c r="AV40" i="5" s="1"/>
  <c r="G40" i="5"/>
  <c r="H40" i="5"/>
  <c r="I40" i="5"/>
  <c r="J40" i="5"/>
  <c r="K40" i="5"/>
  <c r="D41" i="5"/>
  <c r="AV41" i="5" s="1"/>
  <c r="G41" i="5"/>
  <c r="H41" i="5"/>
  <c r="I41" i="5"/>
  <c r="J41" i="5"/>
  <c r="K41" i="5"/>
  <c r="D42" i="5"/>
  <c r="AV42" i="5" s="1"/>
  <c r="G42" i="5"/>
  <c r="H42" i="5"/>
  <c r="I42" i="5"/>
  <c r="J42" i="5"/>
  <c r="K42" i="5"/>
  <c r="D43" i="5"/>
  <c r="AV43" i="5" s="1"/>
  <c r="G43" i="5"/>
  <c r="H43" i="5"/>
  <c r="I43" i="5"/>
  <c r="J43" i="5"/>
  <c r="K43" i="5"/>
  <c r="D44" i="5"/>
  <c r="AV44" i="5" s="1"/>
  <c r="G44" i="5"/>
  <c r="H44" i="5"/>
  <c r="I44" i="5"/>
  <c r="J44" i="5"/>
  <c r="K44" i="5"/>
  <c r="D45" i="5"/>
  <c r="AV45" i="5" s="1"/>
  <c r="G45" i="5"/>
  <c r="H45" i="5"/>
  <c r="I45" i="5"/>
  <c r="J45" i="5"/>
  <c r="K45" i="5"/>
  <c r="D46" i="5"/>
  <c r="AV46" i="5" s="1"/>
  <c r="G46" i="5"/>
  <c r="H46" i="5"/>
  <c r="I46" i="5"/>
  <c r="J46" i="5"/>
  <c r="K46" i="5"/>
  <c r="D47" i="5"/>
  <c r="AV47" i="5" s="1"/>
  <c r="G47" i="5"/>
  <c r="H47" i="5"/>
  <c r="I47" i="5"/>
  <c r="J47" i="5"/>
  <c r="K47" i="5"/>
  <c r="D48" i="5"/>
  <c r="AV48" i="5" s="1"/>
  <c r="G48" i="5"/>
  <c r="H48" i="5"/>
  <c r="I48" i="5"/>
  <c r="J48" i="5"/>
  <c r="K48" i="5"/>
  <c r="D49" i="5"/>
  <c r="AV49" i="5" s="1"/>
  <c r="G49" i="5"/>
  <c r="H49" i="5"/>
  <c r="I49" i="5"/>
  <c r="J49" i="5"/>
  <c r="K49" i="5"/>
  <c r="D50" i="5"/>
  <c r="AV50" i="5" s="1"/>
  <c r="G50" i="5"/>
  <c r="H50" i="5"/>
  <c r="I50" i="5"/>
  <c r="J50" i="5"/>
  <c r="K50" i="5"/>
  <c r="D51" i="5"/>
  <c r="AV51" i="5" s="1"/>
  <c r="G51" i="5"/>
  <c r="H51" i="5"/>
  <c r="I51" i="5"/>
  <c r="J51" i="5"/>
  <c r="K51" i="5"/>
  <c r="D52" i="5"/>
  <c r="AV52" i="5" s="1"/>
  <c r="G52" i="5"/>
  <c r="H52" i="5"/>
  <c r="I52" i="5"/>
  <c r="J52" i="5"/>
  <c r="K52" i="5"/>
  <c r="D53" i="5"/>
  <c r="AV53" i="5" s="1"/>
  <c r="G53" i="5"/>
  <c r="H53" i="5"/>
  <c r="I53" i="5"/>
  <c r="J53" i="5"/>
  <c r="K53" i="5"/>
  <c r="D54" i="5"/>
  <c r="AV54" i="5" s="1"/>
  <c r="G54" i="5"/>
  <c r="H54" i="5"/>
  <c r="I54" i="5"/>
  <c r="J54" i="5"/>
  <c r="K54" i="5"/>
  <c r="D55" i="5"/>
  <c r="AV55" i="5" s="1"/>
  <c r="G55" i="5"/>
  <c r="H55" i="5"/>
  <c r="I55" i="5"/>
  <c r="J55" i="5"/>
  <c r="K55" i="5"/>
  <c r="D56" i="5"/>
  <c r="AV56" i="5" s="1"/>
  <c r="G56" i="5"/>
  <c r="H56" i="5"/>
  <c r="I56" i="5"/>
  <c r="J56" i="5"/>
  <c r="K56" i="5"/>
  <c r="D57" i="5"/>
  <c r="AV57" i="5" s="1"/>
  <c r="G57" i="5"/>
  <c r="H57" i="5"/>
  <c r="I57" i="5"/>
  <c r="J57" i="5"/>
  <c r="K57" i="5"/>
  <c r="D58" i="5"/>
  <c r="AV58" i="5" s="1"/>
  <c r="G58" i="5"/>
  <c r="H58" i="5"/>
  <c r="I58" i="5"/>
  <c r="J58" i="5"/>
  <c r="K58" i="5"/>
  <c r="D59" i="5"/>
  <c r="AV59" i="5" s="1"/>
  <c r="G59" i="5"/>
  <c r="H59" i="5"/>
  <c r="I59" i="5"/>
  <c r="J59" i="5"/>
  <c r="K59" i="5"/>
  <c r="D60" i="5"/>
  <c r="AV60" i="5" s="1"/>
  <c r="G60" i="5"/>
  <c r="H60" i="5"/>
  <c r="I60" i="5"/>
  <c r="J60" i="5"/>
  <c r="K60" i="5"/>
  <c r="D61" i="5"/>
  <c r="AV61" i="5" s="1"/>
  <c r="G61" i="5"/>
  <c r="H61" i="5"/>
  <c r="I61" i="5"/>
  <c r="J61" i="5"/>
  <c r="K61" i="5"/>
  <c r="D62" i="5"/>
  <c r="AV62" i="5" s="1"/>
  <c r="G62" i="5"/>
  <c r="H62" i="5"/>
  <c r="I62" i="5"/>
  <c r="J62" i="5"/>
  <c r="K62" i="5"/>
  <c r="D63" i="5"/>
  <c r="AV63" i="5" s="1"/>
  <c r="G63" i="5"/>
  <c r="H63" i="5"/>
  <c r="I63" i="5"/>
  <c r="J63" i="5"/>
  <c r="K63" i="5"/>
  <c r="D64" i="5"/>
  <c r="AV64" i="5" s="1"/>
  <c r="G64" i="5"/>
  <c r="H64" i="5"/>
  <c r="I64" i="5"/>
  <c r="J64" i="5"/>
  <c r="K64" i="5"/>
  <c r="D65" i="5"/>
  <c r="AV65" i="5" s="1"/>
  <c r="G65" i="5"/>
  <c r="H65" i="5"/>
  <c r="I65" i="5"/>
  <c r="J65" i="5"/>
  <c r="K65" i="5"/>
  <c r="D66" i="5"/>
  <c r="AV66" i="5" s="1"/>
  <c r="G66" i="5"/>
  <c r="H66" i="5"/>
  <c r="I66" i="5"/>
  <c r="J66" i="5"/>
  <c r="K66" i="5"/>
  <c r="D67" i="5"/>
  <c r="AV67" i="5" s="1"/>
  <c r="G67" i="5"/>
  <c r="H67" i="5"/>
  <c r="I67" i="5"/>
  <c r="J67" i="5"/>
  <c r="K67" i="5"/>
  <c r="D68" i="5"/>
  <c r="AV68" i="5" s="1"/>
  <c r="G68" i="5"/>
  <c r="H68" i="5"/>
  <c r="I68" i="5"/>
  <c r="J68" i="5"/>
  <c r="K68" i="5"/>
  <c r="D69" i="5"/>
  <c r="AV69" i="5" s="1"/>
  <c r="G69" i="5"/>
  <c r="H69" i="5"/>
  <c r="I69" i="5"/>
  <c r="J69" i="5"/>
  <c r="K69" i="5"/>
  <c r="D70" i="5"/>
  <c r="AV70" i="5" s="1"/>
  <c r="G70" i="5"/>
  <c r="H70" i="5"/>
  <c r="I70" i="5"/>
  <c r="J70" i="5"/>
  <c r="K70" i="5"/>
  <c r="D71" i="5"/>
  <c r="AV71" i="5" s="1"/>
  <c r="G71" i="5"/>
  <c r="H71" i="5"/>
  <c r="I71" i="5"/>
  <c r="J71" i="5"/>
  <c r="K71" i="5"/>
  <c r="D72" i="5"/>
  <c r="AV72" i="5" s="1"/>
  <c r="G72" i="5"/>
  <c r="H72" i="5"/>
  <c r="I72" i="5"/>
  <c r="J72" i="5"/>
  <c r="K72" i="5"/>
  <c r="D73" i="5"/>
  <c r="AV73" i="5" s="1"/>
  <c r="G73" i="5"/>
  <c r="H73" i="5"/>
  <c r="I73" i="5"/>
  <c r="J73" i="5"/>
  <c r="K73" i="5"/>
  <c r="D74" i="5"/>
  <c r="AV74" i="5" s="1"/>
  <c r="G74" i="5"/>
  <c r="H74" i="5"/>
  <c r="I74" i="5"/>
  <c r="J74" i="5"/>
  <c r="K74" i="5"/>
  <c r="D75" i="5"/>
  <c r="AV75" i="5" s="1"/>
  <c r="G75" i="5"/>
  <c r="H75" i="5"/>
  <c r="I75" i="5"/>
  <c r="J75" i="5"/>
  <c r="K75" i="5"/>
  <c r="D76" i="5"/>
  <c r="AV76" i="5" s="1"/>
  <c r="G76" i="5"/>
  <c r="H76" i="5"/>
  <c r="I76" i="5"/>
  <c r="J76" i="5"/>
  <c r="K76" i="5"/>
  <c r="D77" i="5"/>
  <c r="AV77" i="5" s="1"/>
  <c r="G77" i="5"/>
  <c r="H77" i="5"/>
  <c r="I77" i="5"/>
  <c r="J77" i="5"/>
  <c r="K77" i="5"/>
  <c r="D78" i="5"/>
  <c r="AV78" i="5" s="1"/>
  <c r="G78" i="5"/>
  <c r="H78" i="5"/>
  <c r="I78" i="5"/>
  <c r="J78" i="5"/>
  <c r="K78" i="5"/>
  <c r="D79" i="5"/>
  <c r="AV79" i="5" s="1"/>
  <c r="G79" i="5"/>
  <c r="H79" i="5"/>
  <c r="I79" i="5"/>
  <c r="J79" i="5"/>
  <c r="K79" i="5"/>
  <c r="D80" i="5"/>
  <c r="AV80" i="5" s="1"/>
  <c r="G80" i="5"/>
  <c r="H80" i="5"/>
  <c r="I80" i="5"/>
  <c r="J80" i="5"/>
  <c r="K80" i="5"/>
  <c r="D81" i="5"/>
  <c r="AV81" i="5" s="1"/>
  <c r="G81" i="5"/>
  <c r="H81" i="5"/>
  <c r="I81" i="5"/>
  <c r="J81" i="5"/>
  <c r="K81" i="5"/>
  <c r="D82" i="5"/>
  <c r="AV82" i="5" s="1"/>
  <c r="G82" i="5"/>
  <c r="H82" i="5"/>
  <c r="I82" i="5"/>
  <c r="J82" i="5"/>
  <c r="K82" i="5"/>
  <c r="D83" i="5"/>
  <c r="AV83" i="5" s="1"/>
  <c r="G83" i="5"/>
  <c r="H83" i="5"/>
  <c r="I83" i="5"/>
  <c r="J83" i="5"/>
  <c r="K83" i="5"/>
  <c r="D84" i="5"/>
  <c r="AV84" i="5" s="1"/>
  <c r="G84" i="5"/>
  <c r="H84" i="5"/>
  <c r="I84" i="5"/>
  <c r="J84" i="5"/>
  <c r="K84" i="5"/>
  <c r="D85" i="5"/>
  <c r="AV85" i="5" s="1"/>
  <c r="G85" i="5"/>
  <c r="H85" i="5"/>
  <c r="I85" i="5"/>
  <c r="J85" i="5"/>
  <c r="K85" i="5"/>
  <c r="D86" i="5"/>
  <c r="AV86" i="5" s="1"/>
  <c r="G86" i="5"/>
  <c r="H86" i="5"/>
  <c r="I86" i="5"/>
  <c r="J86" i="5"/>
  <c r="K86" i="5"/>
  <c r="D87" i="5"/>
  <c r="AV87" i="5" s="1"/>
  <c r="G87" i="5"/>
  <c r="H87" i="5"/>
  <c r="I87" i="5"/>
  <c r="J87" i="5"/>
  <c r="K87" i="5"/>
  <c r="D88" i="5"/>
  <c r="AV88" i="5" s="1"/>
  <c r="G88" i="5"/>
  <c r="H88" i="5"/>
  <c r="I88" i="5"/>
  <c r="J88" i="5"/>
  <c r="K88" i="5"/>
  <c r="D89" i="5"/>
  <c r="AV89" i="5" s="1"/>
  <c r="G89" i="5"/>
  <c r="H89" i="5"/>
  <c r="I89" i="5"/>
  <c r="J89" i="5"/>
  <c r="K89" i="5"/>
  <c r="D90" i="5"/>
  <c r="AV90" i="5" s="1"/>
  <c r="G90" i="5"/>
  <c r="H90" i="5"/>
  <c r="I90" i="5"/>
  <c r="J90" i="5"/>
  <c r="K90" i="5"/>
  <c r="D91" i="5"/>
  <c r="AV91" i="5" s="1"/>
  <c r="G91" i="5"/>
  <c r="H91" i="5"/>
  <c r="I91" i="5"/>
  <c r="J91" i="5"/>
  <c r="K91" i="5"/>
  <c r="D92" i="5"/>
  <c r="AV92" i="5" s="1"/>
  <c r="G92" i="5"/>
  <c r="H92" i="5"/>
  <c r="I92" i="5"/>
  <c r="J92" i="5"/>
  <c r="K92" i="5"/>
  <c r="D93" i="5"/>
  <c r="AV93" i="5" s="1"/>
  <c r="G93" i="5"/>
  <c r="H93" i="5"/>
  <c r="I93" i="5"/>
  <c r="J93" i="5"/>
  <c r="K93" i="5"/>
  <c r="D94" i="5"/>
  <c r="AV94" i="5" s="1"/>
  <c r="G94" i="5"/>
  <c r="H94" i="5"/>
  <c r="I94" i="5"/>
  <c r="J94" i="5"/>
  <c r="K94" i="5"/>
  <c r="D95" i="5"/>
  <c r="AV95" i="5" s="1"/>
  <c r="G95" i="5"/>
  <c r="H95" i="5"/>
  <c r="I95" i="5"/>
  <c r="J95" i="5"/>
  <c r="K95" i="5"/>
  <c r="D96" i="5"/>
  <c r="AV96" i="5" s="1"/>
  <c r="G96" i="5"/>
  <c r="H96" i="5"/>
  <c r="I96" i="5"/>
  <c r="J96" i="5"/>
  <c r="K96" i="5"/>
  <c r="D97" i="5"/>
  <c r="AV97" i="5" s="1"/>
  <c r="G97" i="5"/>
  <c r="H97" i="5"/>
  <c r="I97" i="5"/>
  <c r="J97" i="5"/>
  <c r="K97" i="5"/>
  <c r="D98" i="5"/>
  <c r="AV98" i="5" s="1"/>
  <c r="G98" i="5"/>
  <c r="H98" i="5"/>
  <c r="I98" i="5"/>
  <c r="J98" i="5"/>
  <c r="K98" i="5"/>
  <c r="D99" i="5"/>
  <c r="AV99" i="5" s="1"/>
  <c r="G99" i="5"/>
  <c r="H99" i="5"/>
  <c r="I99" i="5"/>
  <c r="J99" i="5"/>
  <c r="K99" i="5"/>
  <c r="D100" i="5"/>
  <c r="AV100" i="5" s="1"/>
  <c r="G100" i="5"/>
  <c r="H100" i="5"/>
  <c r="I100" i="5"/>
  <c r="J100" i="5"/>
  <c r="K100" i="5"/>
  <c r="D101" i="5"/>
  <c r="AV101" i="5" s="1"/>
  <c r="G101" i="5"/>
  <c r="H101" i="5"/>
  <c r="I101" i="5"/>
  <c r="J101" i="5"/>
  <c r="K101" i="5"/>
  <c r="D102" i="5"/>
  <c r="AV102" i="5" s="1"/>
  <c r="G102" i="5"/>
  <c r="H102" i="5"/>
  <c r="I102" i="5"/>
  <c r="J102" i="5"/>
  <c r="K102" i="5"/>
  <c r="D103" i="5"/>
  <c r="AV103" i="5" s="1"/>
  <c r="G103" i="5"/>
  <c r="H103" i="5"/>
  <c r="I103" i="5"/>
  <c r="J103" i="5"/>
  <c r="K103" i="5"/>
  <c r="D104" i="5"/>
  <c r="AV104" i="5" s="1"/>
  <c r="G104" i="5"/>
  <c r="H104" i="5"/>
  <c r="I104" i="5"/>
  <c r="J104" i="5"/>
  <c r="K104" i="5"/>
  <c r="D105" i="5"/>
  <c r="AV105" i="5" s="1"/>
  <c r="G105" i="5"/>
  <c r="H105" i="5"/>
  <c r="I105" i="5"/>
  <c r="J105" i="5"/>
  <c r="K105" i="5"/>
  <c r="D106" i="5"/>
  <c r="AV106" i="5" s="1"/>
  <c r="G106" i="5"/>
  <c r="H106" i="5"/>
  <c r="I106" i="5"/>
  <c r="J106" i="5"/>
  <c r="K106" i="5"/>
  <c r="D107" i="5"/>
  <c r="AV107" i="5" s="1"/>
  <c r="G107" i="5"/>
  <c r="H107" i="5"/>
  <c r="I107" i="5"/>
  <c r="J107" i="5"/>
  <c r="K107" i="5"/>
  <c r="D108" i="5"/>
  <c r="AV108" i="5" s="1"/>
  <c r="G108" i="5"/>
  <c r="H108" i="5"/>
  <c r="I108" i="5"/>
  <c r="J108" i="5"/>
  <c r="K108" i="5"/>
  <c r="D109" i="5"/>
  <c r="AV109" i="5" s="1"/>
  <c r="G109" i="5"/>
  <c r="H109" i="5"/>
  <c r="I109" i="5"/>
  <c r="J109" i="5"/>
  <c r="K109" i="5"/>
  <c r="D110" i="5"/>
  <c r="AV110" i="5" s="1"/>
  <c r="G110" i="5"/>
  <c r="H110" i="5"/>
  <c r="I110" i="5"/>
  <c r="J110" i="5"/>
  <c r="K110" i="5"/>
  <c r="D111" i="5"/>
  <c r="AV111" i="5" s="1"/>
  <c r="G111" i="5"/>
  <c r="H111" i="5"/>
  <c r="I111" i="5"/>
  <c r="J111" i="5"/>
  <c r="K111" i="5"/>
  <c r="D112" i="5"/>
  <c r="AV112" i="5" s="1"/>
  <c r="G112" i="5"/>
  <c r="H112" i="5"/>
  <c r="I112" i="5"/>
  <c r="J112" i="5"/>
  <c r="K112" i="5"/>
  <c r="D113" i="5"/>
  <c r="AV113" i="5" s="1"/>
  <c r="G113" i="5"/>
  <c r="H113" i="5"/>
  <c r="I113" i="5"/>
  <c r="J113" i="5"/>
  <c r="K113" i="5"/>
  <c r="D114" i="5"/>
  <c r="AV114" i="5" s="1"/>
  <c r="G114" i="5"/>
  <c r="H114" i="5"/>
  <c r="I114" i="5"/>
  <c r="J114" i="5"/>
  <c r="K114" i="5"/>
  <c r="D115" i="5"/>
  <c r="AV115" i="5" s="1"/>
  <c r="G115" i="5"/>
  <c r="H115" i="5"/>
  <c r="I115" i="5"/>
  <c r="J115" i="5"/>
  <c r="K115" i="5"/>
  <c r="D116" i="5"/>
  <c r="AV116" i="5" s="1"/>
  <c r="G116" i="5"/>
  <c r="H116" i="5"/>
  <c r="I116" i="5"/>
  <c r="J116" i="5"/>
  <c r="K116" i="5"/>
  <c r="D117" i="5"/>
  <c r="AV117" i="5" s="1"/>
  <c r="G117" i="5"/>
  <c r="H117" i="5"/>
  <c r="I117" i="5"/>
  <c r="J117" i="5"/>
  <c r="K117" i="5"/>
  <c r="D118" i="5"/>
  <c r="AV118" i="5" s="1"/>
  <c r="G118" i="5"/>
  <c r="H118" i="5"/>
  <c r="I118" i="5"/>
  <c r="J118" i="5"/>
  <c r="K118" i="5"/>
  <c r="D119" i="5"/>
  <c r="AV119" i="5" s="1"/>
  <c r="G119" i="5"/>
  <c r="H119" i="5"/>
  <c r="I119" i="5"/>
  <c r="J119" i="5"/>
  <c r="K119" i="5"/>
  <c r="D120" i="5"/>
  <c r="AV120" i="5" s="1"/>
  <c r="G120" i="5"/>
  <c r="H120" i="5"/>
  <c r="I120" i="5"/>
  <c r="J120" i="5"/>
  <c r="K120" i="5"/>
  <c r="D121" i="5"/>
  <c r="AV121" i="5" s="1"/>
  <c r="G121" i="5"/>
  <c r="H121" i="5"/>
  <c r="I121" i="5"/>
  <c r="J121" i="5"/>
  <c r="K121" i="5"/>
  <c r="D122" i="5"/>
  <c r="AV122" i="5" s="1"/>
  <c r="G122" i="5"/>
  <c r="H122" i="5"/>
  <c r="I122" i="5"/>
  <c r="J122" i="5"/>
  <c r="K122" i="5"/>
  <c r="D123" i="5"/>
  <c r="AV123" i="5" s="1"/>
  <c r="G123" i="5"/>
  <c r="H123" i="5"/>
  <c r="I123" i="5"/>
  <c r="J123" i="5"/>
  <c r="K123" i="5"/>
  <c r="D124" i="5"/>
  <c r="AV124" i="5" s="1"/>
  <c r="G124" i="5"/>
  <c r="H124" i="5"/>
  <c r="I124" i="5"/>
  <c r="J124" i="5"/>
  <c r="K124" i="5"/>
  <c r="D125" i="5"/>
  <c r="AV125" i="5" s="1"/>
  <c r="G125" i="5"/>
  <c r="H125" i="5"/>
  <c r="I125" i="5"/>
  <c r="J125" i="5"/>
  <c r="K125" i="5"/>
  <c r="D126" i="5"/>
  <c r="AV126" i="5" s="1"/>
  <c r="G126" i="5"/>
  <c r="H126" i="5"/>
  <c r="I126" i="5"/>
  <c r="J126" i="5"/>
  <c r="K126" i="5"/>
  <c r="D127" i="5"/>
  <c r="AV127" i="5" s="1"/>
  <c r="G127" i="5"/>
  <c r="H127" i="5"/>
  <c r="I127" i="5"/>
  <c r="J127" i="5"/>
  <c r="K127" i="5"/>
  <c r="D128" i="5"/>
  <c r="AV128" i="5" s="1"/>
  <c r="G128" i="5"/>
  <c r="H128" i="5"/>
  <c r="I128" i="5"/>
  <c r="J128" i="5"/>
  <c r="K128" i="5"/>
  <c r="D129" i="5"/>
  <c r="AV129" i="5" s="1"/>
  <c r="G129" i="5"/>
  <c r="H129" i="5"/>
  <c r="I129" i="5"/>
  <c r="J129" i="5"/>
  <c r="K129" i="5"/>
  <c r="D130" i="5"/>
  <c r="AV130" i="5" s="1"/>
  <c r="G130" i="5"/>
  <c r="H130" i="5"/>
  <c r="I130" i="5"/>
  <c r="J130" i="5"/>
  <c r="K130" i="5"/>
  <c r="D131" i="5"/>
  <c r="AV131" i="5" s="1"/>
  <c r="G131" i="5"/>
  <c r="H131" i="5"/>
  <c r="I131" i="5"/>
  <c r="J131" i="5"/>
  <c r="K131" i="5"/>
  <c r="D132" i="5"/>
  <c r="AV132" i="5" s="1"/>
  <c r="G132" i="5"/>
  <c r="H132" i="5"/>
  <c r="I132" i="5"/>
  <c r="J132" i="5"/>
  <c r="K132" i="5"/>
  <c r="D133" i="5"/>
  <c r="AV133" i="5" s="1"/>
  <c r="G133" i="5"/>
  <c r="H133" i="5"/>
  <c r="I133" i="5"/>
  <c r="J133" i="5"/>
  <c r="K133" i="5"/>
  <c r="D134" i="5"/>
  <c r="AV134" i="5" s="1"/>
  <c r="G134" i="5"/>
  <c r="H134" i="5"/>
  <c r="I134" i="5"/>
  <c r="J134" i="5"/>
  <c r="K134" i="5"/>
  <c r="D135" i="5"/>
  <c r="AV135" i="5" s="1"/>
  <c r="G135" i="5"/>
  <c r="H135" i="5"/>
  <c r="I135" i="5"/>
  <c r="J135" i="5"/>
  <c r="K135" i="5"/>
  <c r="D136" i="5"/>
  <c r="AV136" i="5" s="1"/>
  <c r="G136" i="5"/>
  <c r="H136" i="5"/>
  <c r="I136" i="5"/>
  <c r="J136" i="5"/>
  <c r="K136" i="5"/>
  <c r="D137" i="5"/>
  <c r="AV137" i="5" s="1"/>
  <c r="G137" i="5"/>
  <c r="H137" i="5"/>
  <c r="I137" i="5"/>
  <c r="J137" i="5"/>
  <c r="K137" i="5"/>
  <c r="D138" i="5"/>
  <c r="AV138" i="5" s="1"/>
  <c r="G138" i="5"/>
  <c r="H138" i="5"/>
  <c r="I138" i="5"/>
  <c r="J138" i="5"/>
  <c r="K138" i="5"/>
  <c r="D139" i="5"/>
  <c r="AV139" i="5" s="1"/>
  <c r="G139" i="5"/>
  <c r="H139" i="5"/>
  <c r="I139" i="5"/>
  <c r="J139" i="5"/>
  <c r="K139" i="5"/>
  <c r="D140" i="5"/>
  <c r="AV140" i="5" s="1"/>
  <c r="G140" i="5"/>
  <c r="H140" i="5"/>
  <c r="I140" i="5"/>
  <c r="J140" i="5"/>
  <c r="K140" i="5"/>
  <c r="D141" i="5"/>
  <c r="AV141" i="5" s="1"/>
  <c r="G141" i="5"/>
  <c r="H141" i="5"/>
  <c r="I141" i="5"/>
  <c r="J141" i="5"/>
  <c r="K141" i="5"/>
  <c r="D142" i="5"/>
  <c r="AV142" i="5" s="1"/>
  <c r="G142" i="5"/>
  <c r="H142" i="5"/>
  <c r="I142" i="5"/>
  <c r="J142" i="5"/>
  <c r="K142" i="5"/>
  <c r="D143" i="5"/>
  <c r="AV143" i="5" s="1"/>
  <c r="G143" i="5"/>
  <c r="H143" i="5"/>
  <c r="I143" i="5"/>
  <c r="J143" i="5"/>
  <c r="K143" i="5"/>
  <c r="D144" i="5"/>
  <c r="AV144" i="5" s="1"/>
  <c r="G144" i="5"/>
  <c r="H144" i="5"/>
  <c r="I144" i="5"/>
  <c r="J144" i="5"/>
  <c r="K144" i="5"/>
  <c r="D145" i="5"/>
  <c r="AV145" i="5" s="1"/>
  <c r="G145" i="5"/>
  <c r="H145" i="5"/>
  <c r="I145" i="5"/>
  <c r="J145" i="5"/>
  <c r="K145" i="5"/>
  <c r="D146" i="5"/>
  <c r="AV146" i="5" s="1"/>
  <c r="G146" i="5"/>
  <c r="H146" i="5"/>
  <c r="I146" i="5"/>
  <c r="J146" i="5"/>
  <c r="K146" i="5"/>
  <c r="D147" i="5"/>
  <c r="AV147" i="5" s="1"/>
  <c r="G147" i="5"/>
  <c r="H147" i="5"/>
  <c r="I147" i="5"/>
  <c r="J147" i="5"/>
  <c r="K147" i="5"/>
  <c r="D148" i="5"/>
  <c r="AV148" i="5" s="1"/>
  <c r="G148" i="5"/>
  <c r="H148" i="5"/>
  <c r="I148" i="5"/>
  <c r="J148" i="5"/>
  <c r="K148" i="5"/>
  <c r="D149" i="5"/>
  <c r="AV149" i="5" s="1"/>
  <c r="G149" i="5"/>
  <c r="H149" i="5"/>
  <c r="I149" i="5"/>
  <c r="J149" i="5"/>
  <c r="K149" i="5"/>
  <c r="D150" i="5"/>
  <c r="AV150" i="5" s="1"/>
  <c r="G150" i="5"/>
  <c r="H150" i="5"/>
  <c r="I150" i="5"/>
  <c r="J150" i="5"/>
  <c r="K150" i="5"/>
  <c r="D151" i="5"/>
  <c r="AV151" i="5" s="1"/>
  <c r="G151" i="5"/>
  <c r="H151" i="5"/>
  <c r="I151" i="5"/>
  <c r="J151" i="5"/>
  <c r="K151" i="5"/>
  <c r="D152" i="5"/>
  <c r="AV152" i="5" s="1"/>
  <c r="G152" i="5"/>
  <c r="H152" i="5"/>
  <c r="I152" i="5"/>
  <c r="J152" i="5"/>
  <c r="K152" i="5"/>
  <c r="D153" i="5"/>
  <c r="AV153" i="5" s="1"/>
  <c r="G153" i="5"/>
  <c r="H153" i="5"/>
  <c r="I153" i="5"/>
  <c r="J153" i="5"/>
  <c r="K153" i="5"/>
  <c r="D154" i="5"/>
  <c r="AV154" i="5" s="1"/>
  <c r="G154" i="5"/>
  <c r="H154" i="5"/>
  <c r="I154" i="5"/>
  <c r="J154" i="5"/>
  <c r="K154" i="5"/>
  <c r="D155" i="5"/>
  <c r="AV155" i="5" s="1"/>
  <c r="G155" i="5"/>
  <c r="H155" i="5"/>
  <c r="I155" i="5"/>
  <c r="J155" i="5"/>
  <c r="K155" i="5"/>
  <c r="D157" i="5"/>
  <c r="AV157" i="5" s="1"/>
  <c r="G157" i="5"/>
  <c r="H157" i="5"/>
  <c r="I157" i="5"/>
  <c r="J157" i="5"/>
  <c r="K157" i="5"/>
  <c r="D158" i="5"/>
  <c r="AV158" i="5" s="1"/>
  <c r="G158" i="5"/>
  <c r="H158" i="5"/>
  <c r="I158" i="5"/>
  <c r="J158" i="5"/>
  <c r="K158" i="5"/>
  <c r="D159" i="5"/>
  <c r="AV159" i="5" s="1"/>
  <c r="G159" i="5"/>
  <c r="H159" i="5"/>
  <c r="I159" i="5"/>
  <c r="J159" i="5"/>
  <c r="K159" i="5"/>
  <c r="D160" i="5"/>
  <c r="AV160" i="5" s="1"/>
  <c r="G160" i="5"/>
  <c r="H160" i="5"/>
  <c r="I160" i="5"/>
  <c r="J160" i="5"/>
  <c r="K160" i="5"/>
  <c r="D161" i="5"/>
  <c r="AV161" i="5" s="1"/>
  <c r="G161" i="5"/>
  <c r="H161" i="5"/>
  <c r="I161" i="5"/>
  <c r="J161" i="5"/>
  <c r="K161" i="5"/>
  <c r="D162" i="5"/>
  <c r="AV162" i="5" s="1"/>
  <c r="G162" i="5"/>
  <c r="H162" i="5"/>
  <c r="I162" i="5"/>
  <c r="J162" i="5"/>
  <c r="K162" i="5"/>
  <c r="D163" i="5"/>
  <c r="AV163" i="5" s="1"/>
  <c r="G163" i="5"/>
  <c r="H163" i="5"/>
  <c r="I163" i="5"/>
  <c r="J163" i="5"/>
  <c r="K163" i="5"/>
  <c r="D164" i="5"/>
  <c r="AV164" i="5" s="1"/>
  <c r="G164" i="5"/>
  <c r="H164" i="5"/>
  <c r="I164" i="5"/>
  <c r="J164" i="5"/>
  <c r="K164" i="5"/>
  <c r="D165" i="5"/>
  <c r="AV165" i="5" s="1"/>
  <c r="G165" i="5"/>
  <c r="H165" i="5"/>
  <c r="I165" i="5"/>
  <c r="J165" i="5"/>
  <c r="K165" i="5"/>
  <c r="D166" i="5"/>
  <c r="AV166" i="5" s="1"/>
  <c r="G166" i="5"/>
  <c r="H166" i="5"/>
  <c r="I166" i="5"/>
  <c r="J166" i="5"/>
  <c r="K166" i="5"/>
  <c r="D167" i="5"/>
  <c r="AV167" i="5" s="1"/>
  <c r="G167" i="5"/>
  <c r="H167" i="5"/>
  <c r="I167" i="5"/>
  <c r="J167" i="5"/>
  <c r="K167" i="5"/>
  <c r="D168" i="5"/>
  <c r="AV168" i="5" s="1"/>
  <c r="G168" i="5"/>
  <c r="H168" i="5"/>
  <c r="I168" i="5"/>
  <c r="J168" i="5"/>
  <c r="K168" i="5"/>
  <c r="D169" i="5"/>
  <c r="AV169" i="5" s="1"/>
  <c r="G169" i="5"/>
  <c r="H169" i="5"/>
  <c r="I169" i="5"/>
  <c r="J169" i="5"/>
  <c r="K169" i="5"/>
  <c r="D170" i="5"/>
  <c r="AV170" i="5" s="1"/>
  <c r="G170" i="5"/>
  <c r="H170" i="5"/>
  <c r="I170" i="5"/>
  <c r="J170" i="5"/>
  <c r="K170" i="5"/>
  <c r="D171" i="5"/>
  <c r="AV171" i="5" s="1"/>
  <c r="G171" i="5"/>
  <c r="H171" i="5"/>
  <c r="I171" i="5"/>
  <c r="J171" i="5"/>
  <c r="K171" i="5"/>
  <c r="D172" i="5"/>
  <c r="AV172" i="5" s="1"/>
  <c r="G172" i="5"/>
  <c r="H172" i="5"/>
  <c r="I172" i="5"/>
  <c r="J172" i="5"/>
  <c r="K172" i="5"/>
  <c r="D173" i="5"/>
  <c r="AV173" i="5" s="1"/>
  <c r="G173" i="5"/>
  <c r="H173" i="5"/>
  <c r="I173" i="5"/>
  <c r="J173" i="5"/>
  <c r="K173" i="5"/>
  <c r="D174" i="5"/>
  <c r="AV174" i="5" s="1"/>
  <c r="G174" i="5"/>
  <c r="H174" i="5"/>
  <c r="I174" i="5"/>
  <c r="J174" i="5"/>
  <c r="K174" i="5"/>
  <c r="D175" i="5"/>
  <c r="AV175" i="5" s="1"/>
  <c r="G175" i="5"/>
  <c r="H175" i="5"/>
  <c r="I175" i="5"/>
  <c r="J175" i="5"/>
  <c r="K175" i="5"/>
  <c r="D176" i="5"/>
  <c r="AV176" i="5" s="1"/>
  <c r="G176" i="5"/>
  <c r="H176" i="5"/>
  <c r="I176" i="5"/>
  <c r="J176" i="5"/>
  <c r="K176" i="5"/>
  <c r="D177" i="5"/>
  <c r="AV177" i="5" s="1"/>
  <c r="G177" i="5"/>
  <c r="H177" i="5"/>
  <c r="I177" i="5"/>
  <c r="J177" i="5"/>
  <c r="K177" i="5"/>
  <c r="D178" i="5"/>
  <c r="AV178" i="5" s="1"/>
  <c r="G178" i="5"/>
  <c r="H178" i="5"/>
  <c r="I178" i="5"/>
  <c r="J178" i="5"/>
  <c r="K178" i="5"/>
  <c r="D179" i="5"/>
  <c r="AV179" i="5" s="1"/>
  <c r="G179" i="5"/>
  <c r="H179" i="5"/>
  <c r="I179" i="5"/>
  <c r="J179" i="5"/>
  <c r="K179" i="5"/>
  <c r="D180" i="5"/>
  <c r="AV180" i="5" s="1"/>
  <c r="G180" i="5"/>
  <c r="H180" i="5"/>
  <c r="I180" i="5"/>
  <c r="J180" i="5"/>
  <c r="K180" i="5"/>
  <c r="D181" i="5"/>
  <c r="AV181" i="5" s="1"/>
  <c r="G181" i="5"/>
  <c r="H181" i="5"/>
  <c r="I181" i="5"/>
  <c r="J181" i="5"/>
  <c r="K181" i="5"/>
  <c r="D182" i="5"/>
  <c r="AV182" i="5" s="1"/>
  <c r="G182" i="5"/>
  <c r="H182" i="5"/>
  <c r="I182" i="5"/>
  <c r="J182" i="5"/>
  <c r="K182" i="5"/>
  <c r="D183" i="5"/>
  <c r="AV183" i="5" s="1"/>
  <c r="G183" i="5"/>
  <c r="H183" i="5"/>
  <c r="I183" i="5"/>
  <c r="J183" i="5"/>
  <c r="K183" i="5"/>
  <c r="D184" i="5"/>
  <c r="AV184" i="5" s="1"/>
  <c r="G184" i="5"/>
  <c r="H184" i="5"/>
  <c r="I184" i="5"/>
  <c r="J184" i="5"/>
  <c r="K184" i="5"/>
  <c r="D185" i="5"/>
  <c r="AV185" i="5" s="1"/>
  <c r="G185" i="5"/>
  <c r="H185" i="5"/>
  <c r="I185" i="5"/>
  <c r="J185" i="5"/>
  <c r="K185" i="5"/>
  <c r="D186" i="5"/>
  <c r="AV186" i="5" s="1"/>
  <c r="G186" i="5"/>
  <c r="H186" i="5"/>
  <c r="I186" i="5"/>
  <c r="J186" i="5"/>
  <c r="K186" i="5"/>
  <c r="D187" i="5"/>
  <c r="AV187" i="5" s="1"/>
  <c r="G187" i="5"/>
  <c r="H187" i="5"/>
  <c r="I187" i="5"/>
  <c r="J187" i="5"/>
  <c r="K187" i="5"/>
  <c r="D188" i="5"/>
  <c r="AV188" i="5" s="1"/>
  <c r="G188" i="5"/>
  <c r="H188" i="5"/>
  <c r="I188" i="5"/>
  <c r="J188" i="5"/>
  <c r="K188" i="5"/>
  <c r="D189" i="5"/>
  <c r="AV189" i="5" s="1"/>
  <c r="G189" i="5"/>
  <c r="H189" i="5"/>
  <c r="I189" i="5"/>
  <c r="J189" i="5"/>
  <c r="K189" i="5"/>
  <c r="D190" i="5"/>
  <c r="AV190" i="5" s="1"/>
  <c r="G190" i="5"/>
  <c r="H190" i="5"/>
  <c r="I190" i="5"/>
  <c r="J190" i="5"/>
  <c r="K190" i="5"/>
  <c r="D191" i="5"/>
  <c r="AV191" i="5" s="1"/>
  <c r="G191" i="5"/>
  <c r="H191" i="5"/>
  <c r="I191" i="5"/>
  <c r="J191" i="5"/>
  <c r="K191" i="5"/>
  <c r="D192" i="5"/>
  <c r="AV192" i="5" s="1"/>
  <c r="G192" i="5"/>
  <c r="H192" i="5"/>
  <c r="I192" i="5"/>
  <c r="J192" i="5"/>
  <c r="K192" i="5"/>
  <c r="D193" i="5"/>
  <c r="AV193" i="5" s="1"/>
  <c r="G193" i="5"/>
  <c r="H193" i="5"/>
  <c r="I193" i="5"/>
  <c r="J193" i="5"/>
  <c r="K193" i="5"/>
  <c r="D194" i="5"/>
  <c r="AV194" i="5" s="1"/>
  <c r="G194" i="5"/>
  <c r="H194" i="5"/>
  <c r="I194" i="5"/>
  <c r="J194" i="5"/>
  <c r="K194" i="5"/>
  <c r="D195" i="5"/>
  <c r="AV195" i="5" s="1"/>
  <c r="G195" i="5"/>
  <c r="H195" i="5"/>
  <c r="I195" i="5"/>
  <c r="J195" i="5"/>
  <c r="K195" i="5"/>
  <c r="D196" i="5"/>
  <c r="AV196" i="5" s="1"/>
  <c r="G196" i="5"/>
  <c r="H196" i="5"/>
  <c r="I196" i="5"/>
  <c r="J196" i="5"/>
  <c r="K196" i="5"/>
  <c r="D197" i="5"/>
  <c r="AV197" i="5" s="1"/>
  <c r="G197" i="5"/>
  <c r="H197" i="5"/>
  <c r="I197" i="5"/>
  <c r="J197" i="5"/>
  <c r="K197" i="5"/>
  <c r="D198" i="5"/>
  <c r="AV198" i="5" s="1"/>
  <c r="G198" i="5"/>
  <c r="H198" i="5"/>
  <c r="I198" i="5"/>
  <c r="J198" i="5"/>
  <c r="K198" i="5"/>
  <c r="D199" i="5"/>
  <c r="AV199" i="5" s="1"/>
  <c r="G199" i="5"/>
  <c r="H199" i="5"/>
  <c r="I199" i="5"/>
  <c r="J199" i="5"/>
  <c r="K199" i="5"/>
  <c r="D200" i="5"/>
  <c r="AV200" i="5" s="1"/>
  <c r="G200" i="5"/>
  <c r="H200" i="5"/>
  <c r="I200" i="5"/>
  <c r="J200" i="5"/>
  <c r="K200" i="5"/>
  <c r="D201" i="5"/>
  <c r="AV201" i="5" s="1"/>
  <c r="G201" i="5"/>
  <c r="H201" i="5"/>
  <c r="I201" i="5"/>
  <c r="J201" i="5"/>
  <c r="K201" i="5"/>
  <c r="D202" i="5"/>
  <c r="AV202" i="5" s="1"/>
  <c r="G202" i="5"/>
  <c r="H202" i="5"/>
  <c r="I202" i="5"/>
  <c r="J202" i="5"/>
  <c r="K202" i="5"/>
  <c r="D203" i="5"/>
  <c r="AV203" i="5" s="1"/>
  <c r="G203" i="5"/>
  <c r="H203" i="5"/>
  <c r="I203" i="5"/>
  <c r="J203" i="5"/>
  <c r="K203" i="5"/>
  <c r="D204" i="5"/>
  <c r="AV204" i="5" s="1"/>
  <c r="G204" i="5"/>
  <c r="H204" i="5"/>
  <c r="I204" i="5"/>
  <c r="J204" i="5"/>
  <c r="K204" i="5"/>
  <c r="D205" i="5"/>
  <c r="AV205" i="5" s="1"/>
  <c r="G205" i="5"/>
  <c r="H205" i="5"/>
  <c r="I205" i="5"/>
  <c r="J205" i="5"/>
  <c r="K205" i="5"/>
  <c r="D206" i="5"/>
  <c r="AV206" i="5" s="1"/>
  <c r="G206" i="5"/>
  <c r="H206" i="5"/>
  <c r="I206" i="5"/>
  <c r="J206" i="5"/>
  <c r="K206" i="5"/>
  <c r="D207" i="5"/>
  <c r="AV207" i="5" s="1"/>
  <c r="G207" i="5"/>
  <c r="H207" i="5"/>
  <c r="I207" i="5"/>
  <c r="J207" i="5"/>
  <c r="K207" i="5"/>
  <c r="D208" i="5"/>
  <c r="AV208" i="5" s="1"/>
  <c r="G208" i="5"/>
  <c r="H208" i="5"/>
  <c r="I208" i="5"/>
  <c r="J208" i="5"/>
  <c r="K208" i="5"/>
  <c r="D209" i="5"/>
  <c r="AV209" i="5" s="1"/>
  <c r="G209" i="5"/>
  <c r="H209" i="5"/>
  <c r="I209" i="5"/>
  <c r="J209" i="5"/>
  <c r="K209" i="5"/>
  <c r="D210" i="5"/>
  <c r="AV210" i="5" s="1"/>
  <c r="G210" i="5"/>
  <c r="H210" i="5"/>
  <c r="I210" i="5"/>
  <c r="J210" i="5"/>
  <c r="K210" i="5"/>
  <c r="D211" i="5"/>
  <c r="AV211" i="5" s="1"/>
  <c r="G211" i="5"/>
  <c r="H211" i="5"/>
  <c r="I211" i="5"/>
  <c r="J211" i="5"/>
  <c r="K211" i="5"/>
  <c r="D212" i="5"/>
  <c r="AV212" i="5" s="1"/>
  <c r="G212" i="5"/>
  <c r="H212" i="5"/>
  <c r="I212" i="5"/>
  <c r="J212" i="5"/>
  <c r="K212" i="5"/>
  <c r="D213" i="5"/>
  <c r="AV213" i="5" s="1"/>
  <c r="G213" i="5"/>
  <c r="H213" i="5"/>
  <c r="I213" i="5"/>
  <c r="J213" i="5"/>
  <c r="K213" i="5"/>
  <c r="D214" i="5"/>
  <c r="AV214" i="5" s="1"/>
  <c r="G214" i="5"/>
  <c r="H214" i="5"/>
  <c r="I214" i="5"/>
  <c r="J214" i="5"/>
  <c r="K214" i="5"/>
  <c r="D215" i="5"/>
  <c r="AV215" i="5" s="1"/>
  <c r="G215" i="5"/>
  <c r="H215" i="5"/>
  <c r="I215" i="5"/>
  <c r="J215" i="5"/>
  <c r="K215" i="5"/>
  <c r="D216" i="5"/>
  <c r="AV216" i="5" s="1"/>
  <c r="G216" i="5"/>
  <c r="H216" i="5"/>
  <c r="I216" i="5"/>
  <c r="J216" i="5"/>
  <c r="K216" i="5"/>
  <c r="D217" i="5"/>
  <c r="AV217" i="5" s="1"/>
  <c r="G217" i="5"/>
  <c r="H217" i="5"/>
  <c r="I217" i="5"/>
  <c r="J217" i="5"/>
  <c r="K217" i="5"/>
  <c r="D218" i="5"/>
  <c r="AV218" i="5" s="1"/>
  <c r="G218" i="5"/>
  <c r="H218" i="5"/>
  <c r="I218" i="5"/>
  <c r="J218" i="5"/>
  <c r="K218" i="5"/>
  <c r="D219" i="5"/>
  <c r="AV219" i="5" s="1"/>
  <c r="G219" i="5"/>
  <c r="H219" i="5"/>
  <c r="I219" i="5"/>
  <c r="J219" i="5"/>
  <c r="K219" i="5"/>
  <c r="D220" i="5"/>
  <c r="AV220" i="5" s="1"/>
  <c r="G220" i="5"/>
  <c r="H220" i="5"/>
  <c r="I220" i="5"/>
  <c r="J220" i="5"/>
  <c r="K220" i="5"/>
  <c r="D221" i="5"/>
  <c r="AV221" i="5" s="1"/>
  <c r="G221" i="5"/>
  <c r="H221" i="5"/>
  <c r="I221" i="5"/>
  <c r="J221" i="5"/>
  <c r="K221" i="5"/>
  <c r="D222" i="5"/>
  <c r="AV222" i="5" s="1"/>
  <c r="G222" i="5"/>
  <c r="H222" i="5"/>
  <c r="I222" i="5"/>
  <c r="J222" i="5"/>
  <c r="K222" i="5"/>
  <c r="D223" i="5"/>
  <c r="AV223" i="5" s="1"/>
  <c r="G223" i="5"/>
  <c r="H223" i="5"/>
  <c r="I223" i="5"/>
  <c r="J223" i="5"/>
  <c r="K223" i="5"/>
  <c r="D224" i="5"/>
  <c r="AV224" i="5" s="1"/>
  <c r="G224" i="5"/>
  <c r="H224" i="5"/>
  <c r="I224" i="5"/>
  <c r="J224" i="5"/>
  <c r="K224" i="5"/>
  <c r="D225" i="5"/>
  <c r="AV225" i="5" s="1"/>
  <c r="G225" i="5"/>
  <c r="H225" i="5"/>
  <c r="I225" i="5"/>
  <c r="J225" i="5"/>
  <c r="K225" i="5"/>
  <c r="D226" i="5"/>
  <c r="AV226" i="5" s="1"/>
  <c r="G226" i="5"/>
  <c r="H226" i="5"/>
  <c r="I226" i="5"/>
  <c r="J226" i="5"/>
  <c r="K226" i="5"/>
  <c r="D227" i="5"/>
  <c r="AV227" i="5" s="1"/>
  <c r="G227" i="5"/>
  <c r="H227" i="5"/>
  <c r="I227" i="5"/>
  <c r="J227" i="5"/>
  <c r="K227" i="5"/>
  <c r="D228" i="5"/>
  <c r="AV228" i="5" s="1"/>
  <c r="G228" i="5"/>
  <c r="H228" i="5"/>
  <c r="I228" i="5"/>
  <c r="J228" i="5"/>
  <c r="K228" i="5"/>
  <c r="D229" i="5"/>
  <c r="AV229" i="5" s="1"/>
  <c r="G229" i="5"/>
  <c r="H229" i="5"/>
  <c r="I229" i="5"/>
  <c r="J229" i="5"/>
  <c r="K229" i="5"/>
  <c r="D230" i="5"/>
  <c r="AV230" i="5" s="1"/>
  <c r="G230" i="5"/>
  <c r="H230" i="5"/>
  <c r="I230" i="5"/>
  <c r="J230" i="5"/>
  <c r="K230" i="5"/>
  <c r="D231" i="5"/>
  <c r="AV231" i="5" s="1"/>
  <c r="G231" i="5"/>
  <c r="H231" i="5"/>
  <c r="I231" i="5"/>
  <c r="J231" i="5"/>
  <c r="K231" i="5"/>
  <c r="D232" i="5"/>
  <c r="AV232" i="5" s="1"/>
  <c r="G232" i="5"/>
  <c r="H232" i="5"/>
  <c r="I232" i="5"/>
  <c r="J232" i="5"/>
  <c r="K232" i="5"/>
  <c r="D233" i="5"/>
  <c r="AV233" i="5" s="1"/>
  <c r="G233" i="5"/>
  <c r="H233" i="5"/>
  <c r="I233" i="5"/>
  <c r="J233" i="5"/>
  <c r="K233" i="5"/>
  <c r="D234" i="5"/>
  <c r="AV234" i="5" s="1"/>
  <c r="G234" i="5"/>
  <c r="H234" i="5"/>
  <c r="I234" i="5"/>
  <c r="J234" i="5"/>
  <c r="K234" i="5"/>
  <c r="D235" i="5"/>
  <c r="AV235" i="5" s="1"/>
  <c r="G235" i="5"/>
  <c r="H235" i="5"/>
  <c r="I235" i="5"/>
  <c r="J235" i="5"/>
  <c r="K235" i="5"/>
  <c r="D236" i="5"/>
  <c r="AV236" i="5" s="1"/>
  <c r="G236" i="5"/>
  <c r="H236" i="5"/>
  <c r="I236" i="5"/>
  <c r="J236" i="5"/>
  <c r="K236" i="5"/>
  <c r="D237" i="5"/>
  <c r="AV237" i="5" s="1"/>
  <c r="G237" i="5"/>
  <c r="H237" i="5"/>
  <c r="I237" i="5"/>
  <c r="J237" i="5"/>
  <c r="K237" i="5"/>
  <c r="D238" i="5"/>
  <c r="AV238" i="5" s="1"/>
  <c r="G238" i="5"/>
  <c r="H238" i="5"/>
  <c r="I238" i="5"/>
  <c r="J238" i="5"/>
  <c r="K238" i="5"/>
  <c r="D239" i="5"/>
  <c r="AV239" i="5" s="1"/>
  <c r="G239" i="5"/>
  <c r="H239" i="5"/>
  <c r="I239" i="5"/>
  <c r="J239" i="5"/>
  <c r="K239" i="5"/>
  <c r="D240" i="5"/>
  <c r="AV240" i="5" s="1"/>
  <c r="G240" i="5"/>
  <c r="H240" i="5"/>
  <c r="I240" i="5"/>
  <c r="J240" i="5"/>
  <c r="K240" i="5"/>
  <c r="D241" i="5"/>
  <c r="AV241" i="5" s="1"/>
  <c r="G241" i="5"/>
  <c r="H241" i="5"/>
  <c r="I241" i="5"/>
  <c r="J241" i="5"/>
  <c r="K241" i="5"/>
  <c r="D242" i="5"/>
  <c r="AV242" i="5" s="1"/>
  <c r="G242" i="5"/>
  <c r="H242" i="5"/>
  <c r="I242" i="5"/>
  <c r="J242" i="5"/>
  <c r="K242" i="5"/>
  <c r="D243" i="5"/>
  <c r="AV243" i="5" s="1"/>
  <c r="G243" i="5"/>
  <c r="H243" i="5"/>
  <c r="I243" i="5"/>
  <c r="J243" i="5"/>
  <c r="K243" i="5"/>
  <c r="D244" i="5"/>
  <c r="AV244" i="5" s="1"/>
  <c r="G244" i="5"/>
  <c r="H244" i="5"/>
  <c r="I244" i="5"/>
  <c r="J244" i="5"/>
  <c r="K244" i="5"/>
  <c r="D245" i="5"/>
  <c r="AV245" i="5" s="1"/>
  <c r="G245" i="5"/>
  <c r="H245" i="5"/>
  <c r="I245" i="5"/>
  <c r="J245" i="5"/>
  <c r="K245" i="5"/>
  <c r="D246" i="5"/>
  <c r="AV246" i="5" s="1"/>
  <c r="G246" i="5"/>
  <c r="H246" i="5"/>
  <c r="I246" i="5"/>
  <c r="J246" i="5"/>
  <c r="K246" i="5"/>
  <c r="D247" i="5"/>
  <c r="AV247" i="5" s="1"/>
  <c r="G247" i="5"/>
  <c r="H247" i="5"/>
  <c r="I247" i="5"/>
  <c r="J247" i="5"/>
  <c r="K247" i="5"/>
  <c r="D248" i="5"/>
  <c r="AV248" i="5" s="1"/>
  <c r="G248" i="5"/>
  <c r="H248" i="5"/>
  <c r="I248" i="5"/>
  <c r="J248" i="5"/>
  <c r="K248" i="5"/>
  <c r="D249" i="5"/>
  <c r="AV249" i="5" s="1"/>
  <c r="G249" i="5"/>
  <c r="H249" i="5"/>
  <c r="I249" i="5"/>
  <c r="J249" i="5"/>
  <c r="K249" i="5"/>
  <c r="D250" i="5"/>
  <c r="AV250" i="5" s="1"/>
  <c r="G250" i="5"/>
  <c r="H250" i="5"/>
  <c r="I250" i="5"/>
  <c r="J250" i="5"/>
  <c r="K250" i="5"/>
  <c r="D251" i="5"/>
  <c r="AV251" i="5" s="1"/>
  <c r="G251" i="5"/>
  <c r="H251" i="5"/>
  <c r="I251" i="5"/>
  <c r="J251" i="5"/>
  <c r="K251" i="5"/>
  <c r="D252" i="5"/>
  <c r="AV252" i="5" s="1"/>
  <c r="G252" i="5"/>
  <c r="H252" i="5"/>
  <c r="I252" i="5"/>
  <c r="J252" i="5"/>
  <c r="K252" i="5"/>
  <c r="D253" i="5"/>
  <c r="AV253" i="5" s="1"/>
  <c r="G253" i="5"/>
  <c r="H253" i="5"/>
  <c r="I253" i="5"/>
  <c r="J253" i="5"/>
  <c r="K253" i="5"/>
  <c r="D254" i="5"/>
  <c r="AV254" i="5" s="1"/>
  <c r="G254" i="5"/>
  <c r="H254" i="5"/>
  <c r="I254" i="5"/>
  <c r="J254" i="5"/>
  <c r="K254" i="5"/>
  <c r="D255" i="5"/>
  <c r="AV255" i="5" s="1"/>
  <c r="G255" i="5"/>
  <c r="H255" i="5"/>
  <c r="I255" i="5"/>
  <c r="J255" i="5"/>
  <c r="K255" i="5"/>
  <c r="D256" i="5"/>
  <c r="AV256" i="5" s="1"/>
  <c r="G256" i="5"/>
  <c r="H256" i="5"/>
  <c r="I256" i="5"/>
  <c r="J256" i="5"/>
  <c r="K256" i="5"/>
  <c r="D257" i="5"/>
  <c r="AV257" i="5" s="1"/>
  <c r="G257" i="5"/>
  <c r="H257" i="5"/>
  <c r="I257" i="5"/>
  <c r="J257" i="5"/>
  <c r="K257" i="5"/>
  <c r="D258" i="5"/>
  <c r="AV258" i="5" s="1"/>
  <c r="G258" i="5"/>
  <c r="H258" i="5"/>
  <c r="I258" i="5"/>
  <c r="J258" i="5"/>
  <c r="K258" i="5"/>
  <c r="D259" i="5"/>
  <c r="AV259" i="5" s="1"/>
  <c r="G259" i="5"/>
  <c r="H259" i="5"/>
  <c r="I259" i="5"/>
  <c r="J259" i="5"/>
  <c r="K259" i="5"/>
  <c r="D260" i="5"/>
  <c r="AV260" i="5" s="1"/>
  <c r="G260" i="5"/>
  <c r="H260" i="5"/>
  <c r="I260" i="5"/>
  <c r="J260" i="5"/>
  <c r="K260" i="5"/>
  <c r="D261" i="5"/>
  <c r="AV261" i="5" s="1"/>
  <c r="G261" i="5"/>
  <c r="H261" i="5"/>
  <c r="I261" i="5"/>
  <c r="J261" i="5"/>
  <c r="K261" i="5"/>
  <c r="D262" i="5"/>
  <c r="AV262" i="5" s="1"/>
  <c r="G262" i="5"/>
  <c r="H262" i="5"/>
  <c r="I262" i="5"/>
  <c r="J262" i="5"/>
  <c r="K262" i="5"/>
  <c r="D263" i="5"/>
  <c r="AV263" i="5" s="1"/>
  <c r="G263" i="5"/>
  <c r="H263" i="5"/>
  <c r="I263" i="5"/>
  <c r="J263" i="5"/>
  <c r="K263" i="5"/>
  <c r="D264" i="5"/>
  <c r="AV264" i="5" s="1"/>
  <c r="G264" i="5"/>
  <c r="H264" i="5"/>
  <c r="I264" i="5"/>
  <c r="J264" i="5"/>
  <c r="K264" i="5"/>
  <c r="D265" i="5"/>
  <c r="AV265" i="5" s="1"/>
  <c r="G265" i="5"/>
  <c r="H265" i="5"/>
  <c r="I265" i="5"/>
  <c r="J265" i="5"/>
  <c r="K265" i="5"/>
  <c r="D266" i="5"/>
  <c r="AV266" i="5" s="1"/>
  <c r="G266" i="5"/>
  <c r="H266" i="5"/>
  <c r="I266" i="5"/>
  <c r="J266" i="5"/>
  <c r="K266" i="5"/>
  <c r="D267" i="5"/>
  <c r="AV267" i="5" s="1"/>
  <c r="G267" i="5"/>
  <c r="H267" i="5"/>
  <c r="I267" i="5"/>
  <c r="J267" i="5"/>
  <c r="K267" i="5"/>
  <c r="D268" i="5"/>
  <c r="AV268" i="5" s="1"/>
  <c r="G268" i="5"/>
  <c r="H268" i="5"/>
  <c r="I268" i="5"/>
  <c r="J268" i="5"/>
  <c r="K268" i="5"/>
  <c r="D269" i="5"/>
  <c r="AV269" i="5" s="1"/>
  <c r="G269" i="5"/>
  <c r="H269" i="5"/>
  <c r="I269" i="5"/>
  <c r="J269" i="5"/>
  <c r="K269" i="5"/>
  <c r="D270" i="5"/>
  <c r="AV270" i="5" s="1"/>
  <c r="G270" i="5"/>
  <c r="H270" i="5"/>
  <c r="I270" i="5"/>
  <c r="J270" i="5"/>
  <c r="K270" i="5"/>
  <c r="D271" i="5"/>
  <c r="AV271" i="5" s="1"/>
  <c r="G271" i="5"/>
  <c r="H271" i="5"/>
  <c r="I271" i="5"/>
  <c r="J271" i="5"/>
  <c r="K271" i="5"/>
  <c r="D272" i="5"/>
  <c r="AV272" i="5" s="1"/>
  <c r="G272" i="5"/>
  <c r="H272" i="5"/>
  <c r="I272" i="5"/>
  <c r="J272" i="5"/>
  <c r="K272" i="5"/>
  <c r="D273" i="5"/>
  <c r="AV273" i="5" s="1"/>
  <c r="G273" i="5"/>
  <c r="H273" i="5"/>
  <c r="I273" i="5"/>
  <c r="J273" i="5"/>
  <c r="K273" i="5"/>
  <c r="D274" i="5"/>
  <c r="AV274" i="5" s="1"/>
  <c r="G274" i="5"/>
  <c r="H274" i="5"/>
  <c r="I274" i="5"/>
  <c r="J274" i="5"/>
  <c r="K274" i="5"/>
  <c r="D275" i="5"/>
  <c r="AV275" i="5" s="1"/>
  <c r="G275" i="5"/>
  <c r="H275" i="5"/>
  <c r="I275" i="5"/>
  <c r="J275" i="5"/>
  <c r="K275" i="5"/>
  <c r="D276" i="5"/>
  <c r="AV276" i="5" s="1"/>
  <c r="G276" i="5"/>
  <c r="H276" i="5"/>
  <c r="I276" i="5"/>
  <c r="J276" i="5"/>
  <c r="K276" i="5"/>
  <c r="D277" i="5"/>
  <c r="AV277" i="5" s="1"/>
  <c r="G277" i="5"/>
  <c r="H277" i="5"/>
  <c r="I277" i="5"/>
  <c r="J277" i="5"/>
  <c r="K277" i="5"/>
  <c r="D278" i="5"/>
  <c r="AV278" i="5" s="1"/>
  <c r="G278" i="5"/>
  <c r="H278" i="5"/>
  <c r="I278" i="5"/>
  <c r="J278" i="5"/>
  <c r="K278" i="5"/>
  <c r="D279" i="5"/>
  <c r="AV279" i="5" s="1"/>
  <c r="G279" i="5"/>
  <c r="H279" i="5"/>
  <c r="I279" i="5"/>
  <c r="J279" i="5"/>
  <c r="K279" i="5"/>
  <c r="D280" i="5"/>
  <c r="AV280" i="5" s="1"/>
  <c r="G280" i="5"/>
  <c r="H280" i="5"/>
  <c r="I280" i="5"/>
  <c r="J280" i="5"/>
  <c r="K280" i="5"/>
  <c r="D281" i="5"/>
  <c r="AV281" i="5" s="1"/>
  <c r="G281" i="5"/>
  <c r="H281" i="5"/>
  <c r="I281" i="5"/>
  <c r="J281" i="5"/>
  <c r="K281" i="5"/>
  <c r="D282" i="5"/>
  <c r="AV282" i="5" s="1"/>
  <c r="G282" i="5"/>
  <c r="H282" i="5"/>
  <c r="I282" i="5"/>
  <c r="J282" i="5"/>
  <c r="K282" i="5"/>
  <c r="D283" i="5"/>
  <c r="AV283" i="5" s="1"/>
  <c r="G283" i="5"/>
  <c r="H283" i="5"/>
  <c r="I283" i="5"/>
  <c r="J283" i="5"/>
  <c r="K283" i="5"/>
  <c r="D284" i="5"/>
  <c r="AV284" i="5" s="1"/>
  <c r="G284" i="5"/>
  <c r="H284" i="5"/>
  <c r="I284" i="5"/>
  <c r="J284" i="5"/>
  <c r="K284" i="5"/>
  <c r="D285" i="5"/>
  <c r="AV285" i="5" s="1"/>
  <c r="G285" i="5"/>
  <c r="H285" i="5"/>
  <c r="I285" i="5"/>
  <c r="J285" i="5"/>
  <c r="K285" i="5"/>
  <c r="D286" i="5"/>
  <c r="AV286" i="5" s="1"/>
  <c r="G286" i="5"/>
  <c r="H286" i="5"/>
  <c r="I286" i="5"/>
  <c r="J286" i="5"/>
  <c r="K286" i="5"/>
  <c r="D287" i="5"/>
  <c r="AV287" i="5" s="1"/>
  <c r="G287" i="5"/>
  <c r="H287" i="5"/>
  <c r="I287" i="5"/>
  <c r="J287" i="5"/>
  <c r="K287" i="5"/>
  <c r="D288" i="5"/>
  <c r="AV288" i="5" s="1"/>
  <c r="G288" i="5"/>
  <c r="H288" i="5"/>
  <c r="I288" i="5"/>
  <c r="J288" i="5"/>
  <c r="K288" i="5"/>
  <c r="D289" i="5"/>
  <c r="AV289" i="5" s="1"/>
  <c r="G289" i="5"/>
  <c r="H289" i="5"/>
  <c r="I289" i="5"/>
  <c r="J289" i="5"/>
  <c r="K289" i="5"/>
  <c r="D290" i="5"/>
  <c r="AV290" i="5" s="1"/>
  <c r="G290" i="5"/>
  <c r="H290" i="5"/>
  <c r="I290" i="5"/>
  <c r="J290" i="5"/>
  <c r="K290" i="5"/>
  <c r="D291" i="5"/>
  <c r="AV291" i="5" s="1"/>
  <c r="G291" i="5"/>
  <c r="H291" i="5"/>
  <c r="I291" i="5"/>
  <c r="J291" i="5"/>
  <c r="K291" i="5"/>
  <c r="D292" i="5"/>
  <c r="AV292" i="5" s="1"/>
  <c r="G292" i="5"/>
  <c r="H292" i="5"/>
  <c r="I292" i="5"/>
  <c r="J292" i="5"/>
  <c r="K292" i="5"/>
  <c r="D293" i="5"/>
  <c r="AV293" i="5" s="1"/>
  <c r="G293" i="5"/>
  <c r="H293" i="5"/>
  <c r="I293" i="5"/>
  <c r="J293" i="5"/>
  <c r="K293" i="5"/>
  <c r="D294" i="5"/>
  <c r="AV294" i="5" s="1"/>
  <c r="G294" i="5"/>
  <c r="H294" i="5"/>
  <c r="I294" i="5"/>
  <c r="J294" i="5"/>
  <c r="K294" i="5"/>
  <c r="D295" i="5"/>
  <c r="AV295" i="5" s="1"/>
  <c r="G295" i="5"/>
  <c r="H295" i="5"/>
  <c r="I295" i="5"/>
  <c r="J295" i="5"/>
  <c r="K295" i="5"/>
  <c r="D296" i="5"/>
  <c r="AV296" i="5" s="1"/>
  <c r="G296" i="5"/>
  <c r="H296" i="5"/>
  <c r="I296" i="5"/>
  <c r="J296" i="5"/>
  <c r="K296" i="5"/>
  <c r="D297" i="5"/>
  <c r="AV297" i="5" s="1"/>
  <c r="G297" i="5"/>
  <c r="H297" i="5"/>
  <c r="I297" i="5"/>
  <c r="J297" i="5"/>
  <c r="K297" i="5"/>
  <c r="D298" i="5"/>
  <c r="AV298" i="5" s="1"/>
  <c r="G298" i="5"/>
  <c r="H298" i="5"/>
  <c r="I298" i="5"/>
  <c r="J298" i="5"/>
  <c r="K298" i="5"/>
  <c r="D299" i="5"/>
  <c r="AV299" i="5" s="1"/>
  <c r="G299" i="5"/>
  <c r="H299" i="5"/>
  <c r="I299" i="5"/>
  <c r="J299" i="5"/>
  <c r="K299" i="5"/>
  <c r="D300" i="5"/>
  <c r="AV300" i="5" s="1"/>
  <c r="G300" i="5"/>
  <c r="H300" i="5"/>
  <c r="I300" i="5"/>
  <c r="J300" i="5"/>
  <c r="K300" i="5"/>
  <c r="D301" i="5"/>
  <c r="AV301" i="5" s="1"/>
  <c r="G301" i="5"/>
  <c r="H301" i="5"/>
  <c r="I301" i="5"/>
  <c r="J301" i="5"/>
  <c r="K301" i="5"/>
  <c r="D302" i="5"/>
  <c r="AV302" i="5" s="1"/>
  <c r="G302" i="5"/>
  <c r="H302" i="5"/>
  <c r="I302" i="5"/>
  <c r="J302" i="5"/>
  <c r="K302" i="5"/>
  <c r="D303" i="5"/>
  <c r="AV303" i="5" s="1"/>
  <c r="G303" i="5"/>
  <c r="H303" i="5"/>
  <c r="I303" i="5"/>
  <c r="J303" i="5"/>
  <c r="K303" i="5"/>
  <c r="D304" i="5"/>
  <c r="AV304" i="5" s="1"/>
  <c r="G304" i="5"/>
  <c r="H304" i="5"/>
  <c r="I304" i="5"/>
  <c r="J304" i="5"/>
  <c r="K304" i="5"/>
  <c r="D305" i="5"/>
  <c r="AV305" i="5" s="1"/>
  <c r="G305" i="5"/>
  <c r="H305" i="5"/>
  <c r="I305" i="5"/>
  <c r="J305" i="5"/>
  <c r="K305" i="5"/>
  <c r="D306" i="5"/>
  <c r="AV306" i="5" s="1"/>
  <c r="G306" i="5"/>
  <c r="H306" i="5"/>
  <c r="I306" i="5"/>
  <c r="J306" i="5"/>
  <c r="K306" i="5"/>
  <c r="D307" i="5"/>
  <c r="AV307" i="5" s="1"/>
  <c r="G307" i="5"/>
  <c r="H307" i="5"/>
  <c r="I307" i="5"/>
  <c r="J307" i="5"/>
  <c r="K307" i="5"/>
  <c r="D308" i="5"/>
  <c r="AV308" i="5" s="1"/>
  <c r="G308" i="5"/>
  <c r="H308" i="5"/>
  <c r="I308" i="5"/>
  <c r="J308" i="5"/>
  <c r="K308" i="5"/>
  <c r="D309" i="5"/>
  <c r="AV309" i="5" s="1"/>
  <c r="G309" i="5"/>
  <c r="H309" i="5"/>
  <c r="I309" i="5"/>
  <c r="J309" i="5"/>
  <c r="K309" i="5"/>
  <c r="D310" i="5"/>
  <c r="AV310" i="5" s="1"/>
  <c r="G310" i="5"/>
  <c r="H310" i="5"/>
  <c r="I310" i="5"/>
  <c r="J310" i="5"/>
  <c r="K310" i="5"/>
  <c r="D311" i="5"/>
  <c r="AV311" i="5" s="1"/>
  <c r="G311" i="5"/>
  <c r="H311" i="5"/>
  <c r="I311" i="5"/>
  <c r="J311" i="5"/>
  <c r="K311" i="5"/>
  <c r="D312" i="5"/>
  <c r="AV312" i="5" s="1"/>
  <c r="G312" i="5"/>
  <c r="H312" i="5"/>
  <c r="I312" i="5"/>
  <c r="J312" i="5"/>
  <c r="K312" i="5"/>
  <c r="D313" i="5"/>
  <c r="AV313" i="5" s="1"/>
  <c r="G313" i="5"/>
  <c r="H313" i="5"/>
  <c r="I313" i="5"/>
  <c r="J313" i="5"/>
  <c r="K313" i="5"/>
  <c r="D314" i="5"/>
  <c r="AV314" i="5" s="1"/>
  <c r="G314" i="5"/>
  <c r="H314" i="5"/>
  <c r="I314" i="5"/>
  <c r="J314" i="5"/>
  <c r="K314" i="5"/>
  <c r="D315" i="5"/>
  <c r="AV315" i="5" s="1"/>
  <c r="G315" i="5"/>
  <c r="H315" i="5"/>
  <c r="I315" i="5"/>
  <c r="J315" i="5"/>
  <c r="K315" i="5"/>
  <c r="D316" i="5"/>
  <c r="AV316" i="5" s="1"/>
  <c r="G316" i="5"/>
  <c r="H316" i="5"/>
  <c r="I316" i="5"/>
  <c r="J316" i="5"/>
  <c r="K316" i="5"/>
  <c r="D317" i="5"/>
  <c r="AV317" i="5" s="1"/>
  <c r="G317" i="5"/>
  <c r="H317" i="5"/>
  <c r="I317" i="5"/>
  <c r="J317" i="5"/>
  <c r="K317" i="5"/>
  <c r="D318" i="5"/>
  <c r="AV318" i="5" s="1"/>
  <c r="G318" i="5"/>
  <c r="H318" i="5"/>
  <c r="I318" i="5"/>
  <c r="J318" i="5"/>
  <c r="K318" i="5"/>
  <c r="D319" i="5"/>
  <c r="AV319" i="5" s="1"/>
  <c r="G319" i="5"/>
  <c r="H319" i="5"/>
  <c r="I319" i="5"/>
  <c r="J319" i="5"/>
  <c r="K319" i="5"/>
  <c r="D320" i="5"/>
  <c r="AV320" i="5" s="1"/>
  <c r="G320" i="5"/>
  <c r="H320" i="5"/>
  <c r="I320" i="5"/>
  <c r="J320" i="5"/>
  <c r="K320" i="5"/>
  <c r="D321" i="5"/>
  <c r="AV321" i="5" s="1"/>
  <c r="G321" i="5"/>
  <c r="H321" i="5"/>
  <c r="I321" i="5"/>
  <c r="J321" i="5"/>
  <c r="K321" i="5"/>
  <c r="D322" i="5"/>
  <c r="AV322" i="5" s="1"/>
  <c r="G322" i="5"/>
  <c r="H322" i="5"/>
  <c r="I322" i="5"/>
  <c r="J322" i="5"/>
  <c r="K322" i="5"/>
  <c r="D323" i="5"/>
  <c r="AV323" i="5" s="1"/>
  <c r="G323" i="5"/>
  <c r="H323" i="5"/>
  <c r="I323" i="5"/>
  <c r="J323" i="5"/>
  <c r="K323" i="5"/>
  <c r="D324" i="5"/>
  <c r="AV324" i="5" s="1"/>
  <c r="G324" i="5"/>
  <c r="H324" i="5"/>
  <c r="I324" i="5"/>
  <c r="J324" i="5"/>
  <c r="K324" i="5"/>
  <c r="D325" i="5"/>
  <c r="AV325" i="5" s="1"/>
  <c r="G325" i="5"/>
  <c r="H325" i="5"/>
  <c r="I325" i="5"/>
  <c r="J325" i="5"/>
  <c r="K325" i="5"/>
  <c r="D326" i="5"/>
  <c r="AV326" i="5" s="1"/>
  <c r="G326" i="5"/>
  <c r="H326" i="5"/>
  <c r="I326" i="5"/>
  <c r="J326" i="5"/>
  <c r="K326" i="5"/>
  <c r="D327" i="5"/>
  <c r="AV327" i="5" s="1"/>
  <c r="G327" i="5"/>
  <c r="H327" i="5"/>
  <c r="I327" i="5"/>
  <c r="J327" i="5"/>
  <c r="K327" i="5"/>
  <c r="D328" i="5"/>
  <c r="AV328" i="5" s="1"/>
  <c r="G328" i="5"/>
  <c r="H328" i="5"/>
  <c r="I328" i="5"/>
  <c r="J328" i="5"/>
  <c r="K328" i="5"/>
  <c r="D329" i="5"/>
  <c r="AV329" i="5" s="1"/>
  <c r="G329" i="5"/>
  <c r="H329" i="5"/>
  <c r="I329" i="5"/>
  <c r="J329" i="5"/>
  <c r="K329" i="5"/>
  <c r="D330" i="5"/>
  <c r="AV330" i="5" s="1"/>
  <c r="G330" i="5"/>
  <c r="H330" i="5"/>
  <c r="I330" i="5"/>
  <c r="J330" i="5"/>
  <c r="K330" i="5"/>
  <c r="D331" i="5"/>
  <c r="AV331" i="5" s="1"/>
  <c r="G331" i="5"/>
  <c r="H331" i="5"/>
  <c r="I331" i="5"/>
  <c r="J331" i="5"/>
  <c r="K331" i="5"/>
  <c r="D332" i="5"/>
  <c r="AV332" i="5" s="1"/>
  <c r="G332" i="5"/>
  <c r="H332" i="5"/>
  <c r="I332" i="5"/>
  <c r="J332" i="5"/>
  <c r="K332" i="5"/>
  <c r="D333" i="5"/>
  <c r="AV333" i="5" s="1"/>
  <c r="G333" i="5"/>
  <c r="H333" i="5"/>
  <c r="I333" i="5"/>
  <c r="J333" i="5"/>
  <c r="K333" i="5"/>
  <c r="D334" i="5"/>
  <c r="AV334" i="5" s="1"/>
  <c r="G334" i="5"/>
  <c r="H334" i="5"/>
  <c r="I334" i="5"/>
  <c r="J334" i="5"/>
  <c r="K334" i="5"/>
  <c r="D335" i="5"/>
  <c r="AV335" i="5" s="1"/>
  <c r="G335" i="5"/>
  <c r="H335" i="5"/>
  <c r="I335" i="5"/>
  <c r="J335" i="5"/>
  <c r="K335" i="5"/>
  <c r="D336" i="5"/>
  <c r="AV336" i="5" s="1"/>
  <c r="G336" i="5"/>
  <c r="H336" i="5"/>
  <c r="I336" i="5"/>
  <c r="J336" i="5"/>
  <c r="K336" i="5"/>
  <c r="D337" i="5"/>
  <c r="AV337" i="5" s="1"/>
  <c r="G337" i="5"/>
  <c r="H337" i="5"/>
  <c r="I337" i="5"/>
  <c r="J337" i="5"/>
  <c r="K337" i="5"/>
  <c r="D338" i="5"/>
  <c r="AV338" i="5" s="1"/>
  <c r="G338" i="5"/>
  <c r="H338" i="5"/>
  <c r="I338" i="5"/>
  <c r="J338" i="5"/>
  <c r="K338" i="5"/>
  <c r="D339" i="5"/>
  <c r="AV339" i="5" s="1"/>
  <c r="G339" i="5"/>
  <c r="H339" i="5"/>
  <c r="I339" i="5"/>
  <c r="J339" i="5"/>
  <c r="K339" i="5"/>
  <c r="D340" i="5"/>
  <c r="AV340" i="5" s="1"/>
  <c r="G340" i="5"/>
  <c r="H340" i="5"/>
  <c r="I340" i="5"/>
  <c r="J340" i="5"/>
  <c r="K340" i="5"/>
  <c r="D341" i="5"/>
  <c r="AV341" i="5" s="1"/>
  <c r="G341" i="5"/>
  <c r="H341" i="5"/>
  <c r="I341" i="5"/>
  <c r="J341" i="5"/>
  <c r="K341" i="5"/>
  <c r="D342" i="5"/>
  <c r="AV342" i="5" s="1"/>
  <c r="G342" i="5"/>
  <c r="H342" i="5"/>
  <c r="I342" i="5"/>
  <c r="J342" i="5"/>
  <c r="K342" i="5"/>
  <c r="D343" i="5"/>
  <c r="AV343" i="5" s="1"/>
  <c r="G343" i="5"/>
  <c r="H343" i="5"/>
  <c r="I343" i="5"/>
  <c r="J343" i="5"/>
  <c r="K343" i="5"/>
  <c r="D344" i="5"/>
  <c r="AV344" i="5" s="1"/>
  <c r="G344" i="5"/>
  <c r="H344" i="5"/>
  <c r="I344" i="5"/>
  <c r="J344" i="5"/>
  <c r="K344" i="5"/>
  <c r="D345" i="5"/>
  <c r="AV345" i="5" s="1"/>
  <c r="G345" i="5"/>
  <c r="H345" i="5"/>
  <c r="I345" i="5"/>
  <c r="J345" i="5"/>
  <c r="K345" i="5"/>
  <c r="D346" i="5"/>
  <c r="AV346" i="5" s="1"/>
  <c r="G346" i="5"/>
  <c r="H346" i="5"/>
  <c r="I346" i="5"/>
  <c r="J346" i="5"/>
  <c r="K346" i="5"/>
  <c r="D347" i="5"/>
  <c r="AV347" i="5" s="1"/>
  <c r="G347" i="5"/>
  <c r="H347" i="5"/>
  <c r="I347" i="5"/>
  <c r="J347" i="5"/>
  <c r="K347" i="5"/>
  <c r="D348" i="5"/>
  <c r="AV348" i="5" s="1"/>
  <c r="G348" i="5"/>
  <c r="H348" i="5"/>
  <c r="I348" i="5"/>
  <c r="J348" i="5"/>
  <c r="K348" i="5"/>
  <c r="D349" i="5"/>
  <c r="AV349" i="5" s="1"/>
  <c r="G349" i="5"/>
  <c r="H349" i="5"/>
  <c r="I349" i="5"/>
  <c r="J349" i="5"/>
  <c r="K349" i="5"/>
  <c r="D350" i="5"/>
  <c r="AV350" i="5" s="1"/>
  <c r="G350" i="5"/>
  <c r="H350" i="5"/>
  <c r="I350" i="5"/>
  <c r="J350" i="5"/>
  <c r="K350" i="5"/>
  <c r="D351" i="5"/>
  <c r="AV351" i="5" s="1"/>
  <c r="G351" i="5"/>
  <c r="H351" i="5"/>
  <c r="I351" i="5"/>
  <c r="J351" i="5"/>
  <c r="K351" i="5"/>
  <c r="D352" i="5"/>
  <c r="AV352" i="5" s="1"/>
  <c r="G352" i="5"/>
  <c r="H352" i="5"/>
  <c r="I352" i="5"/>
  <c r="J352" i="5"/>
  <c r="K352" i="5"/>
  <c r="D353" i="5"/>
  <c r="AV353" i="5" s="1"/>
  <c r="G353" i="5"/>
  <c r="H353" i="5"/>
  <c r="I353" i="5"/>
  <c r="J353" i="5"/>
  <c r="K353" i="5"/>
  <c r="D354" i="5"/>
  <c r="AV354" i="5" s="1"/>
  <c r="G354" i="5"/>
  <c r="H354" i="5"/>
  <c r="I354" i="5"/>
  <c r="J354" i="5"/>
  <c r="K354" i="5"/>
  <c r="D355" i="5"/>
  <c r="AV355" i="5" s="1"/>
  <c r="G355" i="5"/>
  <c r="H355" i="5"/>
  <c r="I355" i="5"/>
  <c r="J355" i="5"/>
  <c r="K355" i="5"/>
  <c r="D356" i="5"/>
  <c r="AV356" i="5" s="1"/>
  <c r="G356" i="5"/>
  <c r="H356" i="5"/>
  <c r="I356" i="5"/>
  <c r="J356" i="5"/>
  <c r="K356" i="5"/>
  <c r="D357" i="5"/>
  <c r="AV357" i="5" s="1"/>
  <c r="G357" i="5"/>
  <c r="H357" i="5"/>
  <c r="I357" i="5"/>
  <c r="J357" i="5"/>
  <c r="K357" i="5"/>
  <c r="D358" i="5"/>
  <c r="AV358" i="5" s="1"/>
  <c r="G358" i="5"/>
  <c r="K358" i="5"/>
  <c r="D359" i="5"/>
  <c r="AV359" i="5" s="1"/>
  <c r="G359" i="5"/>
  <c r="K359" i="5"/>
  <c r="D360" i="5"/>
  <c r="AV360" i="5" s="1"/>
  <c r="G360" i="5"/>
  <c r="K360" i="5"/>
  <c r="D361" i="5"/>
  <c r="AV361" i="5" s="1"/>
  <c r="G361" i="5"/>
  <c r="K361" i="5"/>
  <c r="D362" i="5"/>
  <c r="AV362" i="5" s="1"/>
  <c r="G362" i="5"/>
  <c r="K362" i="5"/>
  <c r="D363" i="5"/>
  <c r="AV363" i="5" s="1"/>
  <c r="G363" i="5"/>
  <c r="K363" i="5"/>
  <c r="D364" i="5"/>
  <c r="AV364" i="5" s="1"/>
  <c r="G364" i="5"/>
  <c r="K364" i="5"/>
  <c r="D365" i="5"/>
  <c r="AV365" i="5" s="1"/>
  <c r="G365" i="5"/>
  <c r="K365" i="5"/>
  <c r="D366" i="5"/>
  <c r="AV366" i="5" s="1"/>
  <c r="G366" i="5"/>
  <c r="K366" i="5"/>
  <c r="D367" i="5"/>
  <c r="AV367" i="5" s="1"/>
  <c r="G367" i="5"/>
  <c r="K367" i="5"/>
  <c r="D368" i="5"/>
  <c r="AV368" i="5" s="1"/>
  <c r="G368" i="5"/>
  <c r="K368" i="5"/>
  <c r="D369" i="5"/>
  <c r="AV369" i="5" s="1"/>
  <c r="G369" i="5"/>
  <c r="K369" i="5"/>
  <c r="D370" i="5"/>
  <c r="AV370" i="5" s="1"/>
  <c r="G370" i="5"/>
  <c r="K370" i="5"/>
  <c r="D371" i="5"/>
  <c r="AV371" i="5" s="1"/>
  <c r="G371" i="5"/>
  <c r="K371" i="5"/>
  <c r="D372" i="5"/>
  <c r="AV372" i="5" s="1"/>
  <c r="G372" i="5"/>
  <c r="K372" i="5"/>
  <c r="D373" i="5"/>
  <c r="AV373" i="5" s="1"/>
  <c r="G373" i="5"/>
  <c r="K373" i="5"/>
  <c r="D374" i="5"/>
  <c r="AV374" i="5" s="1"/>
  <c r="G374" i="5"/>
  <c r="H374" i="5"/>
  <c r="I374" i="5"/>
  <c r="J374" i="5"/>
  <c r="K374" i="5"/>
  <c r="D375" i="5"/>
  <c r="AV375" i="5" s="1"/>
  <c r="G375" i="5"/>
  <c r="H375" i="5"/>
  <c r="I375" i="5"/>
  <c r="J375" i="5"/>
  <c r="K375" i="5"/>
  <c r="D376" i="5"/>
  <c r="AV376" i="5" s="1"/>
  <c r="G376" i="5"/>
  <c r="H376" i="5"/>
  <c r="I376" i="5"/>
  <c r="J376" i="5"/>
  <c r="K376" i="5"/>
  <c r="D377" i="5"/>
  <c r="AV377" i="5" s="1"/>
  <c r="G377" i="5"/>
  <c r="H377" i="5"/>
  <c r="I377" i="5"/>
  <c r="J377" i="5"/>
  <c r="K377" i="5"/>
  <c r="D378" i="5"/>
  <c r="AV378" i="5" s="1"/>
  <c r="G378" i="5"/>
  <c r="H378" i="5"/>
  <c r="I378" i="5"/>
  <c r="J378" i="5"/>
  <c r="K378" i="5"/>
  <c r="D379" i="5"/>
  <c r="AV379" i="5" s="1"/>
  <c r="G379" i="5"/>
  <c r="H379" i="5"/>
  <c r="I379" i="5"/>
  <c r="J379" i="5"/>
  <c r="K379" i="5"/>
  <c r="D380" i="5"/>
  <c r="AV380" i="5" s="1"/>
  <c r="G380" i="5"/>
  <c r="H380" i="5"/>
  <c r="I380" i="5"/>
  <c r="J380" i="5"/>
  <c r="K380" i="5"/>
  <c r="D381" i="5"/>
  <c r="AV381" i="5" s="1"/>
  <c r="G381" i="5"/>
  <c r="H381" i="5"/>
  <c r="I381" i="5"/>
  <c r="J381" i="5"/>
  <c r="K381" i="5"/>
  <c r="D382" i="5"/>
  <c r="AV382" i="5" s="1"/>
  <c r="G382" i="5"/>
  <c r="H382" i="5"/>
  <c r="I382" i="5"/>
  <c r="J382" i="5"/>
  <c r="K382" i="5"/>
  <c r="D383" i="5"/>
  <c r="AV383" i="5" s="1"/>
  <c r="G383" i="5"/>
  <c r="H383" i="5"/>
  <c r="I383" i="5"/>
  <c r="J383" i="5"/>
  <c r="K383" i="5"/>
  <c r="D384" i="5"/>
  <c r="AV384" i="5" s="1"/>
  <c r="G384" i="5"/>
  <c r="H384" i="5"/>
  <c r="I384" i="5"/>
  <c r="J384" i="5"/>
  <c r="K384" i="5"/>
  <c r="D385" i="5"/>
  <c r="AV385" i="5" s="1"/>
  <c r="G385" i="5"/>
  <c r="H385" i="5"/>
  <c r="I385" i="5"/>
  <c r="J385" i="5"/>
  <c r="K385" i="5"/>
  <c r="D386" i="5"/>
  <c r="AV386" i="5" s="1"/>
  <c r="G386" i="5"/>
  <c r="H386" i="5"/>
  <c r="I386" i="5"/>
  <c r="J386" i="5"/>
  <c r="K386" i="5"/>
  <c r="D387" i="5"/>
  <c r="AV387" i="5" s="1"/>
  <c r="G387" i="5"/>
  <c r="H387" i="5"/>
  <c r="I387" i="5"/>
  <c r="J387" i="5"/>
  <c r="K387" i="5"/>
  <c r="D388" i="5"/>
  <c r="AV388" i="5" s="1"/>
  <c r="G388" i="5"/>
  <c r="H388" i="5"/>
  <c r="I388" i="5"/>
  <c r="J388" i="5"/>
  <c r="K388" i="5"/>
  <c r="D389" i="5"/>
  <c r="AV389" i="5" s="1"/>
  <c r="G389" i="5"/>
  <c r="H389" i="5"/>
  <c r="I389" i="5"/>
  <c r="J389" i="5"/>
  <c r="K389" i="5"/>
  <c r="D390" i="5"/>
  <c r="AV390" i="5" s="1"/>
  <c r="G390" i="5"/>
  <c r="H390" i="5"/>
  <c r="I390" i="5"/>
  <c r="J390" i="5"/>
  <c r="K390" i="5"/>
  <c r="D391" i="5"/>
  <c r="AV391" i="5" s="1"/>
  <c r="G391" i="5"/>
  <c r="H391" i="5"/>
  <c r="I391" i="5"/>
  <c r="J391" i="5"/>
  <c r="K391" i="5"/>
  <c r="D392" i="5"/>
  <c r="AV392" i="5" s="1"/>
  <c r="G392" i="5"/>
  <c r="H392" i="5"/>
  <c r="I392" i="5"/>
  <c r="J392" i="5"/>
  <c r="K392" i="5"/>
  <c r="D393" i="5"/>
  <c r="AV393" i="5" s="1"/>
  <c r="G393" i="5"/>
  <c r="H393" i="5"/>
  <c r="I393" i="5"/>
  <c r="J393" i="5"/>
  <c r="K393" i="5"/>
  <c r="D394" i="5"/>
  <c r="AV394" i="5" s="1"/>
  <c r="G394" i="5"/>
  <c r="H394" i="5"/>
  <c r="I394" i="5"/>
  <c r="J394" i="5"/>
  <c r="K394" i="5"/>
  <c r="D395" i="5"/>
  <c r="AV395" i="5" s="1"/>
  <c r="G395" i="5"/>
  <c r="H395" i="5"/>
  <c r="I395" i="5"/>
  <c r="J395" i="5"/>
  <c r="K395" i="5"/>
  <c r="D396" i="5"/>
  <c r="AV396" i="5" s="1"/>
  <c r="G396" i="5"/>
  <c r="H396" i="5"/>
  <c r="I396" i="5"/>
  <c r="J396" i="5"/>
  <c r="K396" i="5"/>
  <c r="D397" i="5"/>
  <c r="AV397" i="5" s="1"/>
  <c r="G397" i="5"/>
  <c r="H397" i="5"/>
  <c r="I397" i="5"/>
  <c r="J397" i="5"/>
  <c r="K397" i="5"/>
  <c r="D398" i="5"/>
  <c r="AV398" i="5" s="1"/>
  <c r="G398" i="5"/>
  <c r="H398" i="5"/>
  <c r="I398" i="5"/>
  <c r="J398" i="5"/>
  <c r="K398" i="5"/>
  <c r="D399" i="5"/>
  <c r="AV399" i="5" s="1"/>
  <c r="G399" i="5"/>
  <c r="H399" i="5"/>
  <c r="I399" i="5"/>
  <c r="J399" i="5"/>
  <c r="K399" i="5"/>
  <c r="D400" i="5"/>
  <c r="AV400" i="5" s="1"/>
  <c r="G400" i="5"/>
  <c r="H400" i="5"/>
  <c r="I400" i="5"/>
  <c r="J400" i="5"/>
  <c r="K400" i="5"/>
  <c r="D401" i="5"/>
  <c r="AV401" i="5" s="1"/>
  <c r="G401" i="5"/>
  <c r="H401" i="5"/>
  <c r="I401" i="5"/>
  <c r="J401" i="5"/>
  <c r="K401" i="5"/>
  <c r="D402" i="5"/>
  <c r="AV402" i="5" s="1"/>
  <c r="G402" i="5"/>
  <c r="H402" i="5"/>
  <c r="I402" i="5"/>
  <c r="J402" i="5"/>
  <c r="K402" i="5"/>
  <c r="D403" i="5"/>
  <c r="AV403" i="5" s="1"/>
  <c r="G403" i="5"/>
  <c r="H403" i="5"/>
  <c r="I403" i="5"/>
  <c r="J403" i="5"/>
  <c r="K403" i="5"/>
  <c r="D404" i="5"/>
  <c r="AV404" i="5" s="1"/>
  <c r="G404" i="5"/>
  <c r="H404" i="5"/>
  <c r="I404" i="5"/>
  <c r="J404" i="5"/>
  <c r="K404" i="5"/>
  <c r="D405" i="5"/>
  <c r="AV405" i="5" s="1"/>
  <c r="G405" i="5"/>
  <c r="H405" i="5"/>
  <c r="I405" i="5"/>
  <c r="J405" i="5"/>
  <c r="K405" i="5"/>
  <c r="D406" i="5"/>
  <c r="AV406" i="5" s="1"/>
  <c r="G406" i="5"/>
  <c r="H406" i="5"/>
  <c r="I406" i="5"/>
  <c r="J406" i="5"/>
  <c r="K406" i="5"/>
  <c r="D407" i="5"/>
  <c r="AV407" i="5" s="1"/>
  <c r="G407" i="5"/>
  <c r="H407" i="5"/>
  <c r="I407" i="5"/>
  <c r="J407" i="5"/>
  <c r="K407" i="5"/>
  <c r="D408" i="5"/>
  <c r="AV408" i="5" s="1"/>
  <c r="G408" i="5"/>
  <c r="H408" i="5"/>
  <c r="I408" i="5"/>
  <c r="J408" i="5"/>
  <c r="K408" i="5"/>
  <c r="D409" i="5"/>
  <c r="AV409" i="5" s="1"/>
  <c r="G409" i="5"/>
  <c r="H409" i="5"/>
  <c r="I409" i="5"/>
  <c r="J409" i="5"/>
  <c r="K409" i="5"/>
  <c r="D410" i="5"/>
  <c r="AV410" i="5" s="1"/>
  <c r="G410" i="5"/>
  <c r="H410" i="5"/>
  <c r="I410" i="5"/>
  <c r="J410" i="5"/>
  <c r="K410" i="5"/>
  <c r="D411" i="5"/>
  <c r="AV411" i="5" s="1"/>
  <c r="G411" i="5"/>
  <c r="H411" i="5"/>
  <c r="I411" i="5"/>
  <c r="J411" i="5"/>
  <c r="K411" i="5"/>
  <c r="D412" i="5"/>
  <c r="AV412" i="5" s="1"/>
  <c r="G412" i="5"/>
  <c r="H412" i="5"/>
  <c r="I412" i="5"/>
  <c r="J412" i="5"/>
  <c r="K412" i="5"/>
  <c r="D413" i="5"/>
  <c r="AV413" i="5" s="1"/>
  <c r="G413" i="5"/>
  <c r="H413" i="5"/>
  <c r="I413" i="5"/>
  <c r="J413" i="5"/>
  <c r="K413" i="5"/>
  <c r="D414" i="5"/>
  <c r="AV414" i="5" s="1"/>
  <c r="G414" i="5"/>
  <c r="H414" i="5"/>
  <c r="I414" i="5"/>
  <c r="J414" i="5"/>
  <c r="K414" i="5"/>
  <c r="D415" i="5"/>
  <c r="AV415" i="5" s="1"/>
  <c r="G415" i="5"/>
  <c r="H415" i="5"/>
  <c r="I415" i="5"/>
  <c r="J415" i="5"/>
  <c r="K415" i="5"/>
  <c r="D416" i="5"/>
  <c r="AV416" i="5" s="1"/>
  <c r="G416" i="5"/>
  <c r="H416" i="5"/>
  <c r="I416" i="5"/>
  <c r="J416" i="5"/>
  <c r="K416" i="5"/>
  <c r="D417" i="5"/>
  <c r="AV417" i="5" s="1"/>
  <c r="G417" i="5"/>
  <c r="H417" i="5"/>
  <c r="I417" i="5"/>
  <c r="J417" i="5"/>
  <c r="K417" i="5"/>
  <c r="D418" i="5"/>
  <c r="AV418" i="5" s="1"/>
  <c r="G418" i="5"/>
  <c r="H418" i="5"/>
  <c r="I418" i="5"/>
  <c r="J418" i="5"/>
  <c r="K418" i="5"/>
  <c r="D419" i="5"/>
  <c r="AV419" i="5" s="1"/>
  <c r="G419" i="5"/>
  <c r="H419" i="5"/>
  <c r="I419" i="5"/>
  <c r="J419" i="5"/>
  <c r="K419" i="5"/>
  <c r="D420" i="5"/>
  <c r="AV420" i="5" s="1"/>
  <c r="G420" i="5"/>
  <c r="H420" i="5"/>
  <c r="I420" i="5"/>
  <c r="J420" i="5"/>
  <c r="K420" i="5"/>
  <c r="D421" i="5"/>
  <c r="AV421" i="5" s="1"/>
  <c r="G421" i="5"/>
  <c r="H421" i="5"/>
  <c r="I421" i="5"/>
  <c r="J421" i="5"/>
  <c r="K421" i="5"/>
  <c r="D422" i="5"/>
  <c r="AV422" i="5" s="1"/>
  <c r="G422" i="5"/>
  <c r="H422" i="5"/>
  <c r="I422" i="5"/>
  <c r="J422" i="5"/>
  <c r="K422" i="5"/>
  <c r="D423" i="5"/>
  <c r="AV423" i="5" s="1"/>
  <c r="G423" i="5"/>
  <c r="H423" i="5"/>
  <c r="I423" i="5"/>
  <c r="J423" i="5"/>
  <c r="K423" i="5"/>
  <c r="D424" i="5"/>
  <c r="AV424" i="5" s="1"/>
  <c r="G424" i="5"/>
  <c r="H424" i="5"/>
  <c r="I424" i="5"/>
  <c r="J424" i="5"/>
  <c r="K424" i="5"/>
  <c r="D425" i="5"/>
  <c r="AV425" i="5" s="1"/>
  <c r="G425" i="5"/>
  <c r="H425" i="5"/>
  <c r="I425" i="5"/>
  <c r="J425" i="5"/>
  <c r="K425"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B373"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52" i="5"/>
  <c r="B352" i="5"/>
  <c r="A353" i="5"/>
  <c r="B353" i="5"/>
  <c r="B354" i="5"/>
  <c r="B355" i="5"/>
  <c r="B356" i="5"/>
  <c r="B357" i="5"/>
  <c r="B358" i="5"/>
  <c r="B359" i="5"/>
  <c r="B360" i="5"/>
  <c r="B361" i="5"/>
  <c r="B362" i="5"/>
  <c r="B363" i="5"/>
  <c r="B364" i="5"/>
  <c r="B365" i="5"/>
  <c r="B366" i="5"/>
  <c r="B367" i="5"/>
  <c r="B368" i="5"/>
  <c r="B369" i="5"/>
  <c r="B370" i="5"/>
  <c r="B371" i="5"/>
  <c r="B372" i="5"/>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B8" i="5"/>
  <c r="A8" i="5"/>
  <c r="Q43" i="16"/>
  <c r="P43" i="16"/>
  <c r="O43" i="16"/>
  <c r="N43" i="16"/>
  <c r="E43" i="16"/>
  <c r="D43" i="16"/>
  <c r="C43" i="16"/>
  <c r="B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37" i="16"/>
  <c r="Q44" i="16" s="1"/>
  <c r="P37" i="16"/>
  <c r="P44" i="16" s="1"/>
  <c r="P45" i="16" s="1"/>
  <c r="N55" i="16" s="1"/>
  <c r="E37" i="16"/>
  <c r="E44" i="16" s="1"/>
  <c r="E45" i="16" s="1"/>
  <c r="D37" i="16"/>
  <c r="D44" i="16" s="1"/>
  <c r="D45" i="16" s="1"/>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E352" i="5" l="1"/>
  <c r="E395" i="5"/>
  <c r="E393" i="5"/>
  <c r="E391" i="5"/>
  <c r="E389" i="5"/>
  <c r="E387" i="5"/>
  <c r="E385" i="5"/>
  <c r="E383" i="5"/>
  <c r="E381" i="5"/>
  <c r="E379" i="5"/>
  <c r="E377" i="5"/>
  <c r="E375" i="5"/>
  <c r="E410" i="5"/>
  <c r="E408" i="5"/>
  <c r="E406" i="5"/>
  <c r="E404" i="5"/>
  <c r="E402" i="5"/>
  <c r="E400" i="5"/>
  <c r="E398" i="5"/>
  <c r="E425" i="5"/>
  <c r="E423" i="5"/>
  <c r="E421" i="5"/>
  <c r="E419" i="5"/>
  <c r="E417" i="5"/>
  <c r="E415" i="5"/>
  <c r="E413" i="5"/>
  <c r="E411" i="5"/>
  <c r="E329" i="5"/>
  <c r="E349" i="5"/>
  <c r="E345" i="5"/>
  <c r="E339" i="5"/>
  <c r="E335" i="5"/>
  <c r="E333" i="5"/>
  <c r="E331" i="5"/>
  <c r="E325" i="5"/>
  <c r="F370" i="5"/>
  <c r="E370" i="5"/>
  <c r="F366" i="5"/>
  <c r="E366" i="5"/>
  <c r="F362" i="5"/>
  <c r="E362" i="5"/>
  <c r="F358" i="5"/>
  <c r="E358" i="5"/>
  <c r="F354" i="5"/>
  <c r="E354" i="5"/>
  <c r="E351" i="5"/>
  <c r="E347" i="5"/>
  <c r="E343" i="5"/>
  <c r="E341" i="5"/>
  <c r="E337" i="5"/>
  <c r="E327" i="5"/>
  <c r="E319" i="5"/>
  <c r="E313" i="5"/>
  <c r="E309" i="5"/>
  <c r="E305" i="5"/>
  <c r="E299" i="5"/>
  <c r="E295" i="5"/>
  <c r="E289" i="5"/>
  <c r="E283" i="5"/>
  <c r="E277" i="5"/>
  <c r="E273" i="5"/>
  <c r="E267" i="5"/>
  <c r="E263" i="5"/>
  <c r="E257" i="5"/>
  <c r="E251" i="5"/>
  <c r="E247" i="5"/>
  <c r="E241" i="5"/>
  <c r="E237" i="5"/>
  <c r="E231" i="5"/>
  <c r="E227" i="5"/>
  <c r="E221" i="5"/>
  <c r="E215" i="5"/>
  <c r="E209" i="5"/>
  <c r="E205" i="5"/>
  <c r="E199" i="5"/>
  <c r="E193" i="5"/>
  <c r="E187" i="5"/>
  <c r="E181" i="5"/>
  <c r="E177" i="5"/>
  <c r="E171" i="5"/>
  <c r="E167" i="5"/>
  <c r="E161" i="5"/>
  <c r="E154" i="5"/>
  <c r="E148" i="5"/>
  <c r="E142" i="5"/>
  <c r="E138" i="5"/>
  <c r="E132" i="5"/>
  <c r="E126" i="5"/>
  <c r="E124" i="5"/>
  <c r="E118" i="5"/>
  <c r="E112" i="5"/>
  <c r="E108" i="5"/>
  <c r="E102" i="5"/>
  <c r="E98" i="5"/>
  <c r="E94" i="5"/>
  <c r="E88" i="5"/>
  <c r="E82" i="5"/>
  <c r="E76" i="5"/>
  <c r="E72" i="5"/>
  <c r="E66" i="5"/>
  <c r="E60" i="5"/>
  <c r="E54" i="5"/>
  <c r="E48" i="5"/>
  <c r="E42" i="5"/>
  <c r="E36" i="5"/>
  <c r="E32" i="5"/>
  <c r="E9" i="5"/>
  <c r="F365" i="5"/>
  <c r="E365" i="5"/>
  <c r="E8" i="5"/>
  <c r="F8" i="5"/>
  <c r="F372" i="5"/>
  <c r="E372" i="5"/>
  <c r="F368" i="5"/>
  <c r="E368" i="5"/>
  <c r="F364" i="5"/>
  <c r="E364" i="5"/>
  <c r="F360" i="5"/>
  <c r="E360" i="5"/>
  <c r="F356" i="5"/>
  <c r="E356" i="5"/>
  <c r="E353" i="5"/>
  <c r="E396" i="5"/>
  <c r="E394" i="5"/>
  <c r="E392" i="5"/>
  <c r="E390" i="5"/>
  <c r="E388" i="5"/>
  <c r="E386" i="5"/>
  <c r="E384" i="5"/>
  <c r="E382" i="5"/>
  <c r="E380" i="5"/>
  <c r="E378" i="5"/>
  <c r="E376" i="5"/>
  <c r="F373" i="5"/>
  <c r="E373" i="5"/>
  <c r="E409" i="5"/>
  <c r="E407" i="5"/>
  <c r="E405" i="5"/>
  <c r="E403" i="5"/>
  <c r="E401" i="5"/>
  <c r="E399" i="5"/>
  <c r="E397" i="5"/>
  <c r="E424" i="5"/>
  <c r="E422" i="5"/>
  <c r="E420" i="5"/>
  <c r="E418" i="5"/>
  <c r="E416" i="5"/>
  <c r="E414" i="5"/>
  <c r="E412" i="5"/>
  <c r="E323" i="5"/>
  <c r="E321" i="5"/>
  <c r="E317" i="5"/>
  <c r="E315" i="5"/>
  <c r="E311" i="5"/>
  <c r="E307" i="5"/>
  <c r="E303" i="5"/>
  <c r="E301" i="5"/>
  <c r="E297" i="5"/>
  <c r="E293" i="5"/>
  <c r="E291" i="5"/>
  <c r="E287" i="5"/>
  <c r="E285" i="5"/>
  <c r="E281" i="5"/>
  <c r="E279" i="5"/>
  <c r="E275" i="5"/>
  <c r="E271" i="5"/>
  <c r="E269" i="5"/>
  <c r="E265" i="5"/>
  <c r="E261" i="5"/>
  <c r="E259" i="5"/>
  <c r="E255" i="5"/>
  <c r="E253" i="5"/>
  <c r="E249" i="5"/>
  <c r="E245" i="5"/>
  <c r="E243" i="5"/>
  <c r="E239" i="5"/>
  <c r="E235" i="5"/>
  <c r="E233" i="5"/>
  <c r="E229" i="5"/>
  <c r="E225" i="5"/>
  <c r="E223" i="5"/>
  <c r="E219" i="5"/>
  <c r="E217" i="5"/>
  <c r="E213" i="5"/>
  <c r="E211" i="5"/>
  <c r="E207" i="5"/>
  <c r="E203" i="5"/>
  <c r="E201" i="5"/>
  <c r="E197" i="5"/>
  <c r="E195" i="5"/>
  <c r="E191" i="5"/>
  <c r="E189" i="5"/>
  <c r="E185" i="5"/>
  <c r="E183" i="5"/>
  <c r="E179" i="5"/>
  <c r="E175" i="5"/>
  <c r="E173" i="5"/>
  <c r="E169" i="5"/>
  <c r="E165" i="5"/>
  <c r="E163" i="5"/>
  <c r="E159" i="5"/>
  <c r="E157" i="5"/>
  <c r="E152" i="5"/>
  <c r="E150" i="5"/>
  <c r="E146" i="5"/>
  <c r="E144" i="5"/>
  <c r="E140" i="5"/>
  <c r="E136" i="5"/>
  <c r="E134" i="5"/>
  <c r="E130" i="5"/>
  <c r="E128" i="5"/>
  <c r="E122" i="5"/>
  <c r="E120" i="5"/>
  <c r="E116" i="5"/>
  <c r="E114" i="5"/>
  <c r="E110" i="5"/>
  <c r="E106" i="5"/>
  <c r="E104" i="5"/>
  <c r="E100" i="5"/>
  <c r="E96" i="5"/>
  <c r="E92" i="5"/>
  <c r="E90" i="5"/>
  <c r="E86" i="5"/>
  <c r="E84" i="5"/>
  <c r="E80" i="5"/>
  <c r="E78" i="5"/>
  <c r="E74" i="5"/>
  <c r="E70" i="5"/>
  <c r="E68" i="5"/>
  <c r="E64" i="5"/>
  <c r="E62" i="5"/>
  <c r="E58" i="5"/>
  <c r="E56" i="5"/>
  <c r="E52" i="5"/>
  <c r="E50" i="5"/>
  <c r="E46" i="5"/>
  <c r="E44" i="5"/>
  <c r="E40" i="5"/>
  <c r="E38" i="5"/>
  <c r="E34" i="5"/>
  <c r="E30" i="5"/>
  <c r="E11" i="5"/>
  <c r="F369" i="5"/>
  <c r="E369" i="5"/>
  <c r="F361" i="5"/>
  <c r="E361" i="5"/>
  <c r="F357" i="5"/>
  <c r="E357" i="5"/>
  <c r="F374" i="5"/>
  <c r="E374" i="5"/>
  <c r="E350" i="5"/>
  <c r="E348" i="5"/>
  <c r="E346" i="5"/>
  <c r="E344" i="5"/>
  <c r="E342" i="5"/>
  <c r="E340" i="5"/>
  <c r="E338" i="5"/>
  <c r="E336" i="5"/>
  <c r="E334" i="5"/>
  <c r="E332" i="5"/>
  <c r="E330" i="5"/>
  <c r="E328" i="5"/>
  <c r="E326" i="5"/>
  <c r="E324" i="5"/>
  <c r="E322" i="5"/>
  <c r="E320" i="5"/>
  <c r="E318" i="5"/>
  <c r="E316" i="5"/>
  <c r="E314" i="5"/>
  <c r="E312" i="5"/>
  <c r="E310" i="5"/>
  <c r="E308" i="5"/>
  <c r="E306" i="5"/>
  <c r="E304" i="5"/>
  <c r="E302" i="5"/>
  <c r="E300" i="5"/>
  <c r="E298" i="5"/>
  <c r="E296" i="5"/>
  <c r="E294" i="5"/>
  <c r="E292" i="5"/>
  <c r="E290" i="5"/>
  <c r="E288" i="5"/>
  <c r="E286" i="5"/>
  <c r="E284" i="5"/>
  <c r="E282" i="5"/>
  <c r="E280" i="5"/>
  <c r="E278" i="5"/>
  <c r="E276" i="5"/>
  <c r="E274" i="5"/>
  <c r="E272" i="5"/>
  <c r="E270" i="5"/>
  <c r="E268" i="5"/>
  <c r="E266" i="5"/>
  <c r="E264" i="5"/>
  <c r="E262" i="5"/>
  <c r="E260" i="5"/>
  <c r="E258" i="5"/>
  <c r="E256" i="5"/>
  <c r="E254" i="5"/>
  <c r="E252" i="5"/>
  <c r="E250" i="5"/>
  <c r="E248" i="5"/>
  <c r="E246" i="5"/>
  <c r="E244" i="5"/>
  <c r="E242" i="5"/>
  <c r="E240" i="5"/>
  <c r="E238" i="5"/>
  <c r="E236" i="5"/>
  <c r="E234" i="5"/>
  <c r="E232" i="5"/>
  <c r="E230" i="5"/>
  <c r="E228" i="5"/>
  <c r="E226" i="5"/>
  <c r="E224" i="5"/>
  <c r="E222" i="5"/>
  <c r="E220" i="5"/>
  <c r="E218" i="5"/>
  <c r="E216" i="5"/>
  <c r="E214" i="5"/>
  <c r="E212" i="5"/>
  <c r="E210" i="5"/>
  <c r="E208" i="5"/>
  <c r="E206" i="5"/>
  <c r="E204" i="5"/>
  <c r="E202" i="5"/>
  <c r="E200" i="5"/>
  <c r="E198" i="5"/>
  <c r="E196" i="5"/>
  <c r="E194" i="5"/>
  <c r="E192" i="5"/>
  <c r="E190" i="5"/>
  <c r="E188" i="5"/>
  <c r="E186" i="5"/>
  <c r="E184" i="5"/>
  <c r="E182" i="5"/>
  <c r="E180" i="5"/>
  <c r="E178" i="5"/>
  <c r="E176" i="5"/>
  <c r="E174" i="5"/>
  <c r="E172" i="5"/>
  <c r="E170" i="5"/>
  <c r="E168" i="5"/>
  <c r="E166" i="5"/>
  <c r="E164" i="5"/>
  <c r="E162" i="5"/>
  <c r="E160" i="5"/>
  <c r="E158" i="5"/>
  <c r="E155" i="5"/>
  <c r="E153" i="5"/>
  <c r="E151" i="5"/>
  <c r="E149" i="5"/>
  <c r="E147" i="5"/>
  <c r="E145" i="5"/>
  <c r="E143" i="5"/>
  <c r="E141" i="5"/>
  <c r="E139" i="5"/>
  <c r="E137" i="5"/>
  <c r="E135" i="5"/>
  <c r="E133" i="5"/>
  <c r="E131" i="5"/>
  <c r="E129" i="5"/>
  <c r="E127" i="5"/>
  <c r="E125" i="5"/>
  <c r="E123" i="5"/>
  <c r="E121" i="5"/>
  <c r="E119" i="5"/>
  <c r="E117" i="5"/>
  <c r="E115" i="5"/>
  <c r="E113" i="5"/>
  <c r="E111" i="5"/>
  <c r="E109" i="5"/>
  <c r="E107" i="5"/>
  <c r="E105" i="5"/>
  <c r="E103" i="5"/>
  <c r="E101" i="5"/>
  <c r="E99" i="5"/>
  <c r="E97" i="5"/>
  <c r="E95" i="5"/>
  <c r="E93" i="5"/>
  <c r="E91" i="5"/>
  <c r="E89" i="5"/>
  <c r="E87" i="5"/>
  <c r="E85" i="5"/>
  <c r="E83" i="5"/>
  <c r="E81" i="5"/>
  <c r="E79" i="5"/>
  <c r="E77" i="5"/>
  <c r="E75" i="5"/>
  <c r="E73" i="5"/>
  <c r="E71" i="5"/>
  <c r="E69" i="5"/>
  <c r="E67" i="5"/>
  <c r="E65" i="5"/>
  <c r="E63" i="5"/>
  <c r="E61" i="5"/>
  <c r="E59" i="5"/>
  <c r="E57" i="5"/>
  <c r="E55" i="5"/>
  <c r="E53" i="5"/>
  <c r="E51" i="5"/>
  <c r="E49" i="5"/>
  <c r="E47" i="5"/>
  <c r="E45" i="5"/>
  <c r="E43" i="5"/>
  <c r="E41" i="5"/>
  <c r="E39" i="5"/>
  <c r="E37" i="5"/>
  <c r="E35" i="5"/>
  <c r="E33" i="5"/>
  <c r="E31" i="5"/>
  <c r="E29" i="5"/>
  <c r="E10" i="5"/>
  <c r="F371" i="5"/>
  <c r="E371" i="5"/>
  <c r="F367" i="5"/>
  <c r="E367" i="5"/>
  <c r="F363" i="5"/>
  <c r="E363" i="5"/>
  <c r="F359" i="5"/>
  <c r="E359" i="5"/>
  <c r="F355" i="5"/>
  <c r="E355" i="5"/>
  <c r="F353" i="5"/>
  <c r="F396" i="5"/>
  <c r="F394" i="5"/>
  <c r="F392" i="5"/>
  <c r="F390" i="5"/>
  <c r="F388" i="5"/>
  <c r="F386" i="5"/>
  <c r="F384" i="5"/>
  <c r="F382" i="5"/>
  <c r="F380" i="5"/>
  <c r="F378" i="5"/>
  <c r="F376" i="5"/>
  <c r="F409" i="5"/>
  <c r="F405" i="5"/>
  <c r="F399" i="5"/>
  <c r="F424" i="5"/>
  <c r="F420" i="5"/>
  <c r="F418" i="5"/>
  <c r="F414" i="5"/>
  <c r="F407" i="5"/>
  <c r="F403" i="5"/>
  <c r="F401" i="5"/>
  <c r="F397" i="5"/>
  <c r="F422" i="5"/>
  <c r="F416" i="5"/>
  <c r="F412" i="5"/>
  <c r="F352" i="5"/>
  <c r="F395" i="5"/>
  <c r="F393" i="5"/>
  <c r="F391" i="5"/>
  <c r="F389" i="5"/>
  <c r="F387" i="5"/>
  <c r="F385" i="5"/>
  <c r="F383" i="5"/>
  <c r="F381" i="5"/>
  <c r="F379" i="5"/>
  <c r="F377" i="5"/>
  <c r="F375" i="5"/>
  <c r="F410" i="5"/>
  <c r="F408" i="5"/>
  <c r="F406" i="5"/>
  <c r="F404" i="5"/>
  <c r="F402" i="5"/>
  <c r="F400" i="5"/>
  <c r="F398" i="5"/>
  <c r="F425" i="5"/>
  <c r="F423" i="5"/>
  <c r="F421" i="5"/>
  <c r="F419" i="5"/>
  <c r="F417" i="5"/>
  <c r="F415" i="5"/>
  <c r="F413" i="5"/>
  <c r="F411" i="5"/>
  <c r="F351" i="5"/>
  <c r="F349" i="5"/>
  <c r="F347" i="5"/>
  <c r="F345" i="5"/>
  <c r="F343" i="5"/>
  <c r="F341" i="5"/>
  <c r="F339" i="5"/>
  <c r="F337" i="5"/>
  <c r="F335" i="5"/>
  <c r="F333" i="5"/>
  <c r="F331" i="5"/>
  <c r="F329" i="5"/>
  <c r="F327" i="5"/>
  <c r="F325" i="5"/>
  <c r="F323" i="5"/>
  <c r="F321" i="5"/>
  <c r="F319" i="5"/>
  <c r="F317" i="5"/>
  <c r="F315" i="5"/>
  <c r="F313" i="5"/>
  <c r="F311" i="5"/>
  <c r="F309" i="5"/>
  <c r="F307" i="5"/>
  <c r="F305" i="5"/>
  <c r="F303" i="5"/>
  <c r="F301" i="5"/>
  <c r="F299" i="5"/>
  <c r="F297" i="5"/>
  <c r="F295" i="5"/>
  <c r="F293" i="5"/>
  <c r="F291" i="5"/>
  <c r="F289" i="5"/>
  <c r="F287" i="5"/>
  <c r="F285" i="5"/>
  <c r="F283" i="5"/>
  <c r="F281" i="5"/>
  <c r="F279" i="5"/>
  <c r="F277" i="5"/>
  <c r="F275" i="5"/>
  <c r="F273" i="5"/>
  <c r="F271" i="5"/>
  <c r="F269" i="5"/>
  <c r="F267" i="5"/>
  <c r="F265" i="5"/>
  <c r="F263" i="5"/>
  <c r="F261" i="5"/>
  <c r="F259" i="5"/>
  <c r="F257" i="5"/>
  <c r="F255" i="5"/>
  <c r="F253" i="5"/>
  <c r="F251" i="5"/>
  <c r="F249" i="5"/>
  <c r="F247" i="5"/>
  <c r="F245" i="5"/>
  <c r="F243" i="5"/>
  <c r="F241" i="5"/>
  <c r="F239" i="5"/>
  <c r="F237" i="5"/>
  <c r="F235" i="5"/>
  <c r="F233" i="5"/>
  <c r="F231" i="5"/>
  <c r="F229" i="5"/>
  <c r="F227" i="5"/>
  <c r="F225" i="5"/>
  <c r="F223" i="5"/>
  <c r="F221" i="5"/>
  <c r="F219" i="5"/>
  <c r="F217" i="5"/>
  <c r="F215" i="5"/>
  <c r="F213" i="5"/>
  <c r="F211" i="5"/>
  <c r="F209" i="5"/>
  <c r="F207" i="5"/>
  <c r="F205" i="5"/>
  <c r="F203" i="5"/>
  <c r="F201" i="5"/>
  <c r="F199" i="5"/>
  <c r="F197" i="5"/>
  <c r="F350" i="5"/>
  <c r="F348" i="5"/>
  <c r="F346" i="5"/>
  <c r="F344" i="5"/>
  <c r="F342" i="5"/>
  <c r="F340" i="5"/>
  <c r="F338" i="5"/>
  <c r="F336" i="5"/>
  <c r="F334" i="5"/>
  <c r="F332" i="5"/>
  <c r="F330" i="5"/>
  <c r="F328" i="5"/>
  <c r="F326" i="5"/>
  <c r="F324" i="5"/>
  <c r="F322" i="5"/>
  <c r="F320" i="5"/>
  <c r="F318" i="5"/>
  <c r="F316" i="5"/>
  <c r="F314" i="5"/>
  <c r="F312" i="5"/>
  <c r="F310" i="5"/>
  <c r="F308" i="5"/>
  <c r="F306" i="5"/>
  <c r="F304" i="5"/>
  <c r="F302" i="5"/>
  <c r="F300" i="5"/>
  <c r="F298" i="5"/>
  <c r="F296" i="5"/>
  <c r="F294" i="5"/>
  <c r="F292" i="5"/>
  <c r="F290" i="5"/>
  <c r="F288" i="5"/>
  <c r="F286" i="5"/>
  <c r="F284" i="5"/>
  <c r="F282" i="5"/>
  <c r="F280" i="5"/>
  <c r="F278" i="5"/>
  <c r="F276" i="5"/>
  <c r="F274" i="5"/>
  <c r="F272" i="5"/>
  <c r="F270" i="5"/>
  <c r="F268" i="5"/>
  <c r="F266" i="5"/>
  <c r="F264" i="5"/>
  <c r="F262" i="5"/>
  <c r="F260" i="5"/>
  <c r="F258" i="5"/>
  <c r="F256" i="5"/>
  <c r="F254" i="5"/>
  <c r="F252" i="5"/>
  <c r="F250" i="5"/>
  <c r="F248" i="5"/>
  <c r="F246" i="5"/>
  <c r="F244" i="5"/>
  <c r="F242" i="5"/>
  <c r="F240" i="5"/>
  <c r="F238" i="5"/>
  <c r="F236" i="5"/>
  <c r="F234" i="5"/>
  <c r="F232" i="5"/>
  <c r="F230" i="5"/>
  <c r="F228" i="5"/>
  <c r="F226" i="5"/>
  <c r="F224" i="5"/>
  <c r="F222" i="5"/>
  <c r="F220" i="5"/>
  <c r="F218" i="5"/>
  <c r="F216" i="5"/>
  <c r="F214" i="5"/>
  <c r="F212" i="5"/>
  <c r="F210" i="5"/>
  <c r="F208" i="5"/>
  <c r="F206" i="5"/>
  <c r="F204" i="5"/>
  <c r="F202" i="5"/>
  <c r="F200" i="5"/>
  <c r="F198" i="5"/>
  <c r="F195" i="5"/>
  <c r="F193" i="5"/>
  <c r="F191" i="5"/>
  <c r="F189" i="5"/>
  <c r="F187" i="5"/>
  <c r="F185" i="5"/>
  <c r="F183" i="5"/>
  <c r="F181" i="5"/>
  <c r="F179" i="5"/>
  <c r="F177" i="5"/>
  <c r="F175" i="5"/>
  <c r="F173" i="5"/>
  <c r="F171" i="5"/>
  <c r="F169" i="5"/>
  <c r="F167" i="5"/>
  <c r="F165" i="5"/>
  <c r="F163" i="5"/>
  <c r="F161" i="5"/>
  <c r="F159" i="5"/>
  <c r="F157" i="5"/>
  <c r="F154" i="5"/>
  <c r="F152" i="5"/>
  <c r="F150" i="5"/>
  <c r="F148" i="5"/>
  <c r="F146" i="5"/>
  <c r="F144" i="5"/>
  <c r="F142" i="5"/>
  <c r="F140" i="5"/>
  <c r="F138" i="5"/>
  <c r="F136" i="5"/>
  <c r="F134" i="5"/>
  <c r="F132" i="5"/>
  <c r="F130" i="5"/>
  <c r="F128" i="5"/>
  <c r="F126" i="5"/>
  <c r="F124" i="5"/>
  <c r="F122" i="5"/>
  <c r="F120" i="5"/>
  <c r="F118" i="5"/>
  <c r="F116" i="5"/>
  <c r="F114" i="5"/>
  <c r="F112" i="5"/>
  <c r="F110" i="5"/>
  <c r="F108" i="5"/>
  <c r="F106" i="5"/>
  <c r="F104" i="5"/>
  <c r="F102" i="5"/>
  <c r="F100" i="5"/>
  <c r="F98" i="5"/>
  <c r="F96" i="5"/>
  <c r="F94" i="5"/>
  <c r="F92" i="5"/>
  <c r="F90" i="5"/>
  <c r="F88" i="5"/>
  <c r="F86" i="5"/>
  <c r="F84" i="5"/>
  <c r="F82" i="5"/>
  <c r="F80" i="5"/>
  <c r="F78" i="5"/>
  <c r="F76" i="5"/>
  <c r="F74" i="5"/>
  <c r="F72" i="5"/>
  <c r="F70" i="5"/>
  <c r="F68" i="5"/>
  <c r="F66" i="5"/>
  <c r="F64" i="5"/>
  <c r="F62" i="5"/>
  <c r="F60" i="5"/>
  <c r="F58" i="5"/>
  <c r="F56" i="5"/>
  <c r="F54" i="5"/>
  <c r="F52" i="5"/>
  <c r="F50" i="5"/>
  <c r="F48" i="5"/>
  <c r="F46" i="5"/>
  <c r="F44" i="5"/>
  <c r="F42" i="5"/>
  <c r="F40" i="5"/>
  <c r="F38" i="5"/>
  <c r="F36" i="5"/>
  <c r="F34" i="5"/>
  <c r="F32" i="5"/>
  <c r="F30" i="5"/>
  <c r="F11" i="5"/>
  <c r="F9" i="5"/>
  <c r="F196" i="5"/>
  <c r="F194" i="5"/>
  <c r="F192" i="5"/>
  <c r="F190" i="5"/>
  <c r="F188" i="5"/>
  <c r="F186" i="5"/>
  <c r="F184" i="5"/>
  <c r="F182" i="5"/>
  <c r="F180" i="5"/>
  <c r="F178" i="5"/>
  <c r="F176" i="5"/>
  <c r="F174" i="5"/>
  <c r="F172" i="5"/>
  <c r="F170" i="5"/>
  <c r="F168" i="5"/>
  <c r="F166" i="5"/>
  <c r="F164" i="5"/>
  <c r="F162" i="5"/>
  <c r="F160" i="5"/>
  <c r="F158" i="5"/>
  <c r="F155" i="5"/>
  <c r="F153" i="5"/>
  <c r="F151" i="5"/>
  <c r="F149" i="5"/>
  <c r="F147" i="5"/>
  <c r="F145" i="5"/>
  <c r="F143" i="5"/>
  <c r="F141" i="5"/>
  <c r="F139" i="5"/>
  <c r="F137" i="5"/>
  <c r="F135" i="5"/>
  <c r="F133" i="5"/>
  <c r="F131" i="5"/>
  <c r="F129" i="5"/>
  <c r="F127" i="5"/>
  <c r="F125" i="5"/>
  <c r="F123" i="5"/>
  <c r="F121" i="5"/>
  <c r="F119" i="5"/>
  <c r="F117" i="5"/>
  <c r="F115" i="5"/>
  <c r="F113" i="5"/>
  <c r="F111" i="5"/>
  <c r="F109" i="5"/>
  <c r="F107" i="5"/>
  <c r="F105" i="5"/>
  <c r="F103" i="5"/>
  <c r="F101" i="5"/>
  <c r="F99" i="5"/>
  <c r="F97" i="5"/>
  <c r="F95" i="5"/>
  <c r="F93" i="5"/>
  <c r="F91" i="5"/>
  <c r="F89" i="5"/>
  <c r="F87" i="5"/>
  <c r="F85" i="5"/>
  <c r="F83" i="5"/>
  <c r="F81" i="5"/>
  <c r="F79" i="5"/>
  <c r="F77" i="5"/>
  <c r="F75" i="5"/>
  <c r="F73" i="5"/>
  <c r="F71" i="5"/>
  <c r="F69" i="5"/>
  <c r="F67" i="5"/>
  <c r="F65" i="5"/>
  <c r="F63" i="5"/>
  <c r="F61" i="5"/>
  <c r="F59" i="5"/>
  <c r="F57" i="5"/>
  <c r="F55" i="5"/>
  <c r="F53" i="5"/>
  <c r="F51" i="5"/>
  <c r="F49" i="5"/>
  <c r="F47" i="5"/>
  <c r="F45" i="5"/>
  <c r="F43" i="5"/>
  <c r="F41" i="5"/>
  <c r="F39" i="5"/>
  <c r="F37" i="5"/>
  <c r="F35" i="5"/>
  <c r="F33" i="5"/>
  <c r="F31" i="5"/>
  <c r="F29" i="5"/>
  <c r="F10" i="5"/>
  <c r="AU258" i="5"/>
  <c r="AW258" i="5" s="1"/>
  <c r="BB21" i="5"/>
  <c r="BC21" i="5" s="1"/>
  <c r="AX21" i="5"/>
  <c r="BB17" i="5"/>
  <c r="BC17" i="5" s="1"/>
  <c r="AX17" i="5"/>
  <c r="C373" i="5"/>
  <c r="C369" i="5"/>
  <c r="C365" i="5"/>
  <c r="C361" i="5"/>
  <c r="C425" i="5"/>
  <c r="C423" i="5"/>
  <c r="C421" i="5"/>
  <c r="C419" i="5"/>
  <c r="C417" i="5"/>
  <c r="C415" i="5"/>
  <c r="C413" i="5"/>
  <c r="C411" i="5"/>
  <c r="C409" i="5"/>
  <c r="C407" i="5"/>
  <c r="C405" i="5"/>
  <c r="C403" i="5"/>
  <c r="C401" i="5"/>
  <c r="C399" i="5"/>
  <c r="C397" i="5"/>
  <c r="C395" i="5"/>
  <c r="C393" i="5"/>
  <c r="C391" i="5"/>
  <c r="C389" i="5"/>
  <c r="C387" i="5"/>
  <c r="C385" i="5"/>
  <c r="C383" i="5"/>
  <c r="C381" i="5"/>
  <c r="C379" i="5"/>
  <c r="C377" i="5"/>
  <c r="C375" i="5"/>
  <c r="C372" i="5"/>
  <c r="C368" i="5"/>
  <c r="C364" i="5"/>
  <c r="C360" i="5"/>
  <c r="C357" i="5"/>
  <c r="C355" i="5"/>
  <c r="C353" i="5"/>
  <c r="C351" i="5"/>
  <c r="C424" i="5"/>
  <c r="C422" i="5"/>
  <c r="C420" i="5"/>
  <c r="C418" i="5"/>
  <c r="C416" i="5"/>
  <c r="C414" i="5"/>
  <c r="C412" i="5"/>
  <c r="C410" i="5"/>
  <c r="C408" i="5"/>
  <c r="C406" i="5"/>
  <c r="C404" i="5"/>
  <c r="C402" i="5"/>
  <c r="C400" i="5"/>
  <c r="C398" i="5"/>
  <c r="C396" i="5"/>
  <c r="C394" i="5"/>
  <c r="C392" i="5"/>
  <c r="C390" i="5"/>
  <c r="C388" i="5"/>
  <c r="C386" i="5"/>
  <c r="C384" i="5"/>
  <c r="C382" i="5"/>
  <c r="C380" i="5"/>
  <c r="C378" i="5"/>
  <c r="C376" i="5"/>
  <c r="C374" i="5"/>
  <c r="C370" i="5"/>
  <c r="C366" i="5"/>
  <c r="C362" i="5"/>
  <c r="C358" i="5"/>
  <c r="C356" i="5"/>
  <c r="C354" i="5"/>
  <c r="C352" i="5"/>
  <c r="C350" i="5"/>
  <c r="C371" i="5"/>
  <c r="C367" i="5"/>
  <c r="C363" i="5"/>
  <c r="C359" i="5"/>
  <c r="X370" i="5"/>
  <c r="X390" i="5"/>
  <c r="X382" i="5"/>
  <c r="X378" i="5"/>
  <c r="X374" i="5"/>
  <c r="W373" i="5"/>
  <c r="Y335" i="5"/>
  <c r="Y331" i="5"/>
  <c r="Y315" i="5"/>
  <c r="Y311" i="5"/>
  <c r="Y307" i="5"/>
  <c r="Y303" i="5"/>
  <c r="Y299" i="5"/>
  <c r="Y295" i="5"/>
  <c r="Y291" i="5"/>
  <c r="Y283" i="5"/>
  <c r="Y279" i="5"/>
  <c r="Y275" i="5"/>
  <c r="Y259" i="5"/>
  <c r="Y255" i="5"/>
  <c r="Y251" i="5"/>
  <c r="Y247" i="5"/>
  <c r="Y243" i="5"/>
  <c r="Y223" i="5"/>
  <c r="Y219" i="5"/>
  <c r="Y215" i="5"/>
  <c r="Y207" i="5"/>
  <c r="W357" i="5"/>
  <c r="W353" i="5"/>
  <c r="W349" i="5"/>
  <c r="W341" i="5"/>
  <c r="W333" i="5"/>
  <c r="W317" i="5"/>
  <c r="W313" i="5"/>
  <c r="W309" i="5"/>
  <c r="W305" i="5"/>
  <c r="W301" i="5"/>
  <c r="W297" i="5"/>
  <c r="W293" i="5"/>
  <c r="W285" i="5"/>
  <c r="W277" i="5"/>
  <c r="W261" i="5"/>
  <c r="W257" i="5"/>
  <c r="W253" i="5"/>
  <c r="W241" i="5"/>
  <c r="W221" i="5"/>
  <c r="W217" i="5"/>
  <c r="W213" i="5"/>
  <c r="W209" i="5"/>
  <c r="W205" i="5"/>
  <c r="W40" i="5"/>
  <c r="AQ410" i="5"/>
  <c r="AW118" i="5"/>
  <c r="I21" i="16"/>
  <c r="V157" i="5"/>
  <c r="X425" i="5"/>
  <c r="X421" i="5"/>
  <c r="X417" i="5"/>
  <c r="X413" i="5"/>
  <c r="X409" i="5"/>
  <c r="X405" i="5"/>
  <c r="X401" i="5"/>
  <c r="X397" i="5"/>
  <c r="X393" i="5"/>
  <c r="X389" i="5"/>
  <c r="X385" i="5"/>
  <c r="AW10" i="5"/>
  <c r="X333" i="5"/>
  <c r="X317" i="5"/>
  <c r="X313" i="5"/>
  <c r="X309" i="5"/>
  <c r="X305" i="5"/>
  <c r="X301" i="5"/>
  <c r="X297" i="5"/>
  <c r="X293" i="5"/>
  <c r="X285" i="5"/>
  <c r="X277" i="5"/>
  <c r="X261" i="5"/>
  <c r="X257" i="5"/>
  <c r="X253" i="5"/>
  <c r="X245" i="5"/>
  <c r="X241" i="5"/>
  <c r="X221" i="5"/>
  <c r="X217" i="5"/>
  <c r="X213" i="5"/>
  <c r="X209" i="5"/>
  <c r="X205" i="5"/>
  <c r="X185" i="5"/>
  <c r="X181" i="5"/>
  <c r="X177" i="5"/>
  <c r="X169" i="5"/>
  <c r="X165" i="5"/>
  <c r="X161" i="5"/>
  <c r="X157" i="5"/>
  <c r="X152" i="5"/>
  <c r="X148" i="5"/>
  <c r="X140" i="5"/>
  <c r="X120" i="5"/>
  <c r="X116" i="5"/>
  <c r="X112" i="5"/>
  <c r="X108" i="5"/>
  <c r="X104" i="5"/>
  <c r="X84" i="5"/>
  <c r="X80" i="5"/>
  <c r="X76" i="5"/>
  <c r="X72" i="5"/>
  <c r="X68" i="5"/>
  <c r="X64" i="5"/>
  <c r="X60" i="5"/>
  <c r="X56" i="5"/>
  <c r="X52" i="5"/>
  <c r="X48" i="5"/>
  <c r="X44" i="5"/>
  <c r="X40" i="5"/>
  <c r="X36" i="5"/>
  <c r="X32" i="5"/>
  <c r="Y357" i="5"/>
  <c r="Y353" i="5"/>
  <c r="Y349" i="5"/>
  <c r="Y341" i="5"/>
  <c r="AW305" i="5"/>
  <c r="Y185" i="5"/>
  <c r="Y181" i="5"/>
  <c r="Y177" i="5"/>
  <c r="Y169" i="5"/>
  <c r="Y165" i="5"/>
  <c r="Y161" i="5"/>
  <c r="Y157" i="5"/>
  <c r="Y152" i="5"/>
  <c r="Y148" i="5"/>
  <c r="Y140" i="5"/>
  <c r="Y120" i="5"/>
  <c r="Y116" i="5"/>
  <c r="Y112" i="5"/>
  <c r="Y108" i="5"/>
  <c r="Y104" i="5"/>
  <c r="Y84" i="5"/>
  <c r="Y80" i="5"/>
  <c r="Y76" i="5"/>
  <c r="Y72" i="5"/>
  <c r="Y68" i="5"/>
  <c r="Y64" i="5"/>
  <c r="Y60" i="5"/>
  <c r="Y56" i="5"/>
  <c r="Y52" i="5"/>
  <c r="Y48" i="5"/>
  <c r="Y44" i="5"/>
  <c r="Y40" i="5"/>
  <c r="Y36" i="5"/>
  <c r="Y32" i="5"/>
  <c r="Y425" i="5"/>
  <c r="Y421" i="5"/>
  <c r="Y417" i="5"/>
  <c r="Y413" i="5"/>
  <c r="Y409" i="5"/>
  <c r="Y405" i="5"/>
  <c r="Y401" i="5"/>
  <c r="Y397" i="5"/>
  <c r="Y393" i="5"/>
  <c r="Y389" i="5"/>
  <c r="Y385" i="5"/>
  <c r="Y381" i="5"/>
  <c r="Y377" i="5"/>
  <c r="Y373" i="5"/>
  <c r="W381" i="5"/>
  <c r="W377" i="5"/>
  <c r="Y369" i="5"/>
  <c r="Y365" i="5"/>
  <c r="Y361" i="5"/>
  <c r="X354" i="5"/>
  <c r="X350" i="5"/>
  <c r="X342" i="5"/>
  <c r="X338" i="5"/>
  <c r="X334" i="5"/>
  <c r="X314" i="5"/>
  <c r="X310" i="5"/>
  <c r="X306" i="5"/>
  <c r="X298" i="5"/>
  <c r="X294" i="5"/>
  <c r="X286" i="5"/>
  <c r="X282" i="5"/>
  <c r="X278" i="5"/>
  <c r="X258" i="5"/>
  <c r="X254" i="5"/>
  <c r="X250" i="5"/>
  <c r="X242" i="5"/>
  <c r="X222" i="5"/>
  <c r="X218" i="5"/>
  <c r="X214" i="5"/>
  <c r="X206" i="5"/>
  <c r="X37" i="5"/>
  <c r="AE10" i="5"/>
  <c r="V423" i="5"/>
  <c r="V419" i="5"/>
  <c r="V415" i="5"/>
  <c r="V407" i="5"/>
  <c r="V403" i="5"/>
  <c r="V391" i="5"/>
  <c r="V383" i="5"/>
  <c r="V379" i="5"/>
  <c r="V375" i="5"/>
  <c r="V371" i="5"/>
  <c r="V355" i="5"/>
  <c r="V351" i="5"/>
  <c r="V347" i="5"/>
  <c r="V339" i="5"/>
  <c r="V335" i="5"/>
  <c r="V331" i="5"/>
  <c r="V315" i="5"/>
  <c r="V311" i="5"/>
  <c r="V307" i="5"/>
  <c r="V303" i="5"/>
  <c r="V299" i="5"/>
  <c r="V295" i="5"/>
  <c r="V291" i="5"/>
  <c r="V283" i="5"/>
  <c r="V279" i="5"/>
  <c r="V275" i="5"/>
  <c r="V259" i="5"/>
  <c r="V255" i="5"/>
  <c r="V251" i="5"/>
  <c r="V247" i="5"/>
  <c r="V243" i="5"/>
  <c r="V223" i="5"/>
  <c r="V219" i="5"/>
  <c r="V215" i="5"/>
  <c r="V207" i="5"/>
  <c r="V30" i="5"/>
  <c r="W245" i="5"/>
  <c r="W420" i="5"/>
  <c r="W404" i="5"/>
  <c r="W396" i="5"/>
  <c r="W388" i="5"/>
  <c r="AK380" i="5"/>
  <c r="W79" i="5"/>
  <c r="W75" i="5"/>
  <c r="W71" i="5"/>
  <c r="W67" i="5"/>
  <c r="W63" i="5"/>
  <c r="W59" i="5"/>
  <c r="W55" i="5"/>
  <c r="W51" i="5"/>
  <c r="W47" i="5"/>
  <c r="W43" i="5"/>
  <c r="W39" i="5"/>
  <c r="W35" i="5"/>
  <c r="W31" i="5"/>
  <c r="W424" i="5"/>
  <c r="W416" i="5"/>
  <c r="W412" i="5"/>
  <c r="W408" i="5"/>
  <c r="W400" i="5"/>
  <c r="W392" i="5"/>
  <c r="W384" i="5"/>
  <c r="W336" i="5"/>
  <c r="W312" i="5"/>
  <c r="W304" i="5"/>
  <c r="W296" i="5"/>
  <c r="AK216" i="5"/>
  <c r="W204" i="5"/>
  <c r="W184" i="5"/>
  <c r="W180" i="5"/>
  <c r="W172" i="5"/>
  <c r="W168" i="5"/>
  <c r="W164" i="5"/>
  <c r="W160" i="5"/>
  <c r="W155" i="5"/>
  <c r="W151" i="5"/>
  <c r="W147" i="5"/>
  <c r="W143" i="5"/>
  <c r="W139" i="5"/>
  <c r="W119" i="5"/>
  <c r="W115" i="5"/>
  <c r="W111" i="5"/>
  <c r="W103" i="5"/>
  <c r="W83" i="5"/>
  <c r="AQ9" i="5"/>
  <c r="X424" i="5"/>
  <c r="X416" i="5"/>
  <c r="X400" i="5"/>
  <c r="X384" i="5"/>
  <c r="X380" i="5"/>
  <c r="X376" i="5"/>
  <c r="X372" i="5"/>
  <c r="AE369" i="5"/>
  <c r="X356" i="5"/>
  <c r="X352" i="5"/>
  <c r="X348" i="5"/>
  <c r="X340" i="5"/>
  <c r="X336" i="5"/>
  <c r="V333" i="5"/>
  <c r="X332" i="5"/>
  <c r="V317" i="5"/>
  <c r="X316" i="5"/>
  <c r="V313" i="5"/>
  <c r="X312" i="5"/>
  <c r="V309" i="5"/>
  <c r="X308" i="5"/>
  <c r="V305" i="5"/>
  <c r="X304" i="5"/>
  <c r="V301" i="5"/>
  <c r="X300" i="5"/>
  <c r="V297" i="5"/>
  <c r="X296" i="5"/>
  <c r="V293" i="5"/>
  <c r="X292" i="5"/>
  <c r="V285" i="5"/>
  <c r="X284" i="5"/>
  <c r="X280" i="5"/>
  <c r="V277" i="5"/>
  <c r="X276" i="5"/>
  <c r="V261" i="5"/>
  <c r="X260" i="5"/>
  <c r="V257" i="5"/>
  <c r="X256" i="5"/>
  <c r="V253" i="5"/>
  <c r="X252" i="5"/>
  <c r="V245" i="5"/>
  <c r="X244" i="5"/>
  <c r="V241" i="5"/>
  <c r="X240" i="5"/>
  <c r="X224" i="5"/>
  <c r="V221" i="5"/>
  <c r="X220" i="5"/>
  <c r="V217" i="5"/>
  <c r="X216" i="5"/>
  <c r="V213" i="5"/>
  <c r="X212" i="5"/>
  <c r="V209" i="5"/>
  <c r="Y422" i="5"/>
  <c r="Y418" i="5"/>
  <c r="Y414" i="5"/>
  <c r="Y410" i="5"/>
  <c r="Y406" i="5"/>
  <c r="Y402" i="5"/>
  <c r="AK399" i="5"/>
  <c r="Y398" i="5"/>
  <c r="Y394" i="5"/>
  <c r="Y390" i="5"/>
  <c r="Y386" i="5"/>
  <c r="W383" i="5"/>
  <c r="W379" i="5"/>
  <c r="W375" i="5"/>
  <c r="W371" i="5"/>
  <c r="W355" i="5"/>
  <c r="W351" i="5"/>
  <c r="W347" i="5"/>
  <c r="W339" i="5"/>
  <c r="W335" i="5"/>
  <c r="W331" i="5"/>
  <c r="W315" i="5"/>
  <c r="W311" i="5"/>
  <c r="W307" i="5"/>
  <c r="W303" i="5"/>
  <c r="W299" i="5"/>
  <c r="W295" i="5"/>
  <c r="W291" i="5"/>
  <c r="W283" i="5"/>
  <c r="W279" i="5"/>
  <c r="W275" i="5"/>
  <c r="W259" i="5"/>
  <c r="W255" i="5"/>
  <c r="W251" i="5"/>
  <c r="W247" i="5"/>
  <c r="W243" i="5"/>
  <c r="W223" i="5"/>
  <c r="W219" i="5"/>
  <c r="W215" i="5"/>
  <c r="W207" i="5"/>
  <c r="W203" i="5"/>
  <c r="Y202" i="5"/>
  <c r="AE177" i="5"/>
  <c r="AQ11" i="5"/>
  <c r="Y186" i="5"/>
  <c r="W183" i="5"/>
  <c r="Y182" i="5"/>
  <c r="W179" i="5"/>
  <c r="Y178" i="5"/>
  <c r="W171" i="5"/>
  <c r="Y170" i="5"/>
  <c r="W167" i="5"/>
  <c r="Y166" i="5"/>
  <c r="W163" i="5"/>
  <c r="Y162" i="5"/>
  <c r="W159" i="5"/>
  <c r="Y158" i="5"/>
  <c r="Y153" i="5"/>
  <c r="W150" i="5"/>
  <c r="Y149" i="5"/>
  <c r="W146" i="5"/>
  <c r="Y145" i="5"/>
  <c r="W142" i="5"/>
  <c r="Y141" i="5"/>
  <c r="W138" i="5"/>
  <c r="Y121" i="5"/>
  <c r="W118" i="5"/>
  <c r="Y117" i="5"/>
  <c r="W114" i="5"/>
  <c r="Y113" i="5"/>
  <c r="W110" i="5"/>
  <c r="Y109" i="5"/>
  <c r="W106" i="5"/>
  <c r="Y105" i="5"/>
  <c r="W102" i="5"/>
  <c r="Y101" i="5"/>
  <c r="W82" i="5"/>
  <c r="Y81" i="5"/>
  <c r="W78" i="5"/>
  <c r="Y77" i="5"/>
  <c r="W74" i="5"/>
  <c r="Y73" i="5"/>
  <c r="W70" i="5"/>
  <c r="Y69" i="5"/>
  <c r="W66" i="5"/>
  <c r="Y65" i="5"/>
  <c r="W62" i="5"/>
  <c r="Y61" i="5"/>
  <c r="W58" i="5"/>
  <c r="Y57" i="5"/>
  <c r="W54" i="5"/>
  <c r="Y53" i="5"/>
  <c r="W50" i="5"/>
  <c r="Y49" i="5"/>
  <c r="W46" i="5"/>
  <c r="Y45" i="5"/>
  <c r="W42" i="5"/>
  <c r="Y41" i="5"/>
  <c r="W38" i="5"/>
  <c r="Y37" i="5"/>
  <c r="W34" i="5"/>
  <c r="Y33" i="5"/>
  <c r="W30" i="5"/>
  <c r="Y29" i="5"/>
  <c r="W418" i="5"/>
  <c r="W414" i="5"/>
  <c r="W402" i="5"/>
  <c r="W398" i="5"/>
  <c r="W394" i="5"/>
  <c r="W386" i="5"/>
  <c r="V424" i="5"/>
  <c r="V420" i="5"/>
  <c r="X419" i="5"/>
  <c r="V418" i="5"/>
  <c r="V416" i="5"/>
  <c r="X415" i="5"/>
  <c r="V412" i="5"/>
  <c r="V408" i="5"/>
  <c r="V404" i="5"/>
  <c r="X403" i="5"/>
  <c r="V402" i="5"/>
  <c r="V400" i="5"/>
  <c r="V398" i="5"/>
  <c r="V396" i="5"/>
  <c r="X395" i="5"/>
  <c r="V394" i="5"/>
  <c r="V392" i="5"/>
  <c r="AQ391" i="5"/>
  <c r="V388" i="5"/>
  <c r="X387" i="5"/>
  <c r="V386" i="5"/>
  <c r="V384" i="5"/>
  <c r="V382" i="5"/>
  <c r="V378" i="5"/>
  <c r="V374" i="5"/>
  <c r="V370" i="5"/>
  <c r="V354" i="5"/>
  <c r="V350" i="5"/>
  <c r="V342" i="5"/>
  <c r="V338" i="5"/>
  <c r="V336" i="5"/>
  <c r="V332" i="5"/>
  <c r="V316" i="5"/>
  <c r="V312" i="5"/>
  <c r="V308" i="5"/>
  <c r="V304" i="5"/>
  <c r="V300" i="5"/>
  <c r="V296" i="5"/>
  <c r="V292" i="5"/>
  <c r="AE286" i="5"/>
  <c r="V284" i="5"/>
  <c r="V280" i="5"/>
  <c r="V276" i="5"/>
  <c r="Y424" i="5"/>
  <c r="Y420" i="5"/>
  <c r="Y416" i="5"/>
  <c r="Y412" i="5"/>
  <c r="Y408" i="5"/>
  <c r="Y404" i="5"/>
  <c r="Y400" i="5"/>
  <c r="Y396" i="5"/>
  <c r="Y392" i="5"/>
  <c r="Y388" i="5"/>
  <c r="Y384" i="5"/>
  <c r="W378" i="5"/>
  <c r="W370" i="5"/>
  <c r="W354" i="5"/>
  <c r="W338" i="5"/>
  <c r="AK314" i="5"/>
  <c r="AK310" i="5"/>
  <c r="AK294" i="5"/>
  <c r="AK218" i="5"/>
  <c r="AK81" i="5"/>
  <c r="W49" i="5"/>
  <c r="AK9" i="5"/>
  <c r="V260" i="5"/>
  <c r="V256" i="5"/>
  <c r="V252" i="5"/>
  <c r="V244" i="5"/>
  <c r="V240" i="5"/>
  <c r="V224" i="5"/>
  <c r="V220" i="5"/>
  <c r="X203" i="5"/>
  <c r="X183" i="5"/>
  <c r="X179" i="5"/>
  <c r="X171" i="5"/>
  <c r="X167" i="5"/>
  <c r="X163" i="5"/>
  <c r="X159" i="5"/>
  <c r="X150" i="5"/>
  <c r="X146" i="5"/>
  <c r="X142" i="5"/>
  <c r="X138" i="5"/>
  <c r="V119" i="5"/>
  <c r="X118" i="5"/>
  <c r="V115" i="5"/>
  <c r="X114" i="5"/>
  <c r="V111" i="5"/>
  <c r="X110" i="5"/>
  <c r="X106" i="5"/>
  <c r="V103" i="5"/>
  <c r="X102" i="5"/>
  <c r="V83" i="5"/>
  <c r="X82" i="5"/>
  <c r="V79" i="5"/>
  <c r="X78" i="5"/>
  <c r="V75" i="5"/>
  <c r="X74" i="5"/>
  <c r="V71" i="5"/>
  <c r="X70" i="5"/>
  <c r="V67" i="5"/>
  <c r="X66" i="5"/>
  <c r="V63" i="5"/>
  <c r="X62" i="5"/>
  <c r="V59" i="5"/>
  <c r="X58" i="5"/>
  <c r="V55" i="5"/>
  <c r="X54" i="5"/>
  <c r="V51" i="5"/>
  <c r="X50" i="5"/>
  <c r="V47" i="5"/>
  <c r="X46" i="5"/>
  <c r="V43" i="5"/>
  <c r="X42" i="5"/>
  <c r="V39" i="5"/>
  <c r="X38" i="5"/>
  <c r="V35" i="5"/>
  <c r="X34" i="5"/>
  <c r="V31" i="5"/>
  <c r="X30" i="5"/>
  <c r="AW304" i="5"/>
  <c r="Y204" i="5"/>
  <c r="Y184" i="5"/>
  <c r="Y180" i="5"/>
  <c r="Y172" i="5"/>
  <c r="Y168" i="5"/>
  <c r="Y164" i="5"/>
  <c r="Y160" i="5"/>
  <c r="Y155" i="5"/>
  <c r="Y151" i="5"/>
  <c r="Y147" i="5"/>
  <c r="Y143" i="5"/>
  <c r="Y139" i="5"/>
  <c r="Y119" i="5"/>
  <c r="Y115" i="5"/>
  <c r="Y111" i="5"/>
  <c r="Y103" i="5"/>
  <c r="Y83" i="5"/>
  <c r="Y79" i="5"/>
  <c r="Y75" i="5"/>
  <c r="Y71" i="5"/>
  <c r="Y67" i="5"/>
  <c r="Y63" i="5"/>
  <c r="Y59" i="5"/>
  <c r="Y55" i="5"/>
  <c r="Y51" i="5"/>
  <c r="Y47" i="5"/>
  <c r="Y43" i="5"/>
  <c r="Y39" i="5"/>
  <c r="Y35" i="5"/>
  <c r="Y31" i="5"/>
  <c r="AK63" i="5"/>
  <c r="AW81" i="5"/>
  <c r="AW9" i="5"/>
  <c r="W282" i="5"/>
  <c r="W145" i="5"/>
  <c r="Y54" i="5"/>
  <c r="AQ390" i="5"/>
  <c r="W278" i="5"/>
  <c r="W218" i="5"/>
  <c r="Y203" i="5"/>
  <c r="AE216" i="5"/>
  <c r="AE180" i="5"/>
  <c r="AE172" i="5"/>
  <c r="AE168" i="5"/>
  <c r="AE151" i="5"/>
  <c r="AE67" i="5"/>
  <c r="AE59" i="5"/>
  <c r="AE43" i="5"/>
  <c r="AE11" i="5"/>
  <c r="AK49" i="5"/>
  <c r="AK423" i="5"/>
  <c r="W423" i="5"/>
  <c r="AK403" i="5"/>
  <c r="W403" i="5"/>
  <c r="AK401" i="5"/>
  <c r="W401" i="5"/>
  <c r="AW376" i="5"/>
  <c r="Y376" i="5"/>
  <c r="AW370" i="5"/>
  <c r="Y370" i="5"/>
  <c r="AW368" i="5"/>
  <c r="Y368" i="5"/>
  <c r="Y362" i="5"/>
  <c r="Y358" i="5"/>
  <c r="Y356" i="5"/>
  <c r="Y350" i="5"/>
  <c r="AW312" i="5"/>
  <c r="Y312" i="5"/>
  <c r="AW296" i="5"/>
  <c r="Y296" i="5"/>
  <c r="Y278" i="5"/>
  <c r="Y276" i="5"/>
  <c r="Y244" i="5"/>
  <c r="Y222" i="5"/>
  <c r="AW218" i="5"/>
  <c r="Y218" i="5"/>
  <c r="Y214" i="5"/>
  <c r="W399" i="5"/>
  <c r="Y338" i="5"/>
  <c r="AQ420" i="5"/>
  <c r="X420" i="5"/>
  <c r="AQ414" i="5"/>
  <c r="X414" i="5"/>
  <c r="AQ412" i="5"/>
  <c r="X412" i="5"/>
  <c r="AQ402" i="5"/>
  <c r="X402" i="5"/>
  <c r="AE401" i="5"/>
  <c r="V401" i="5"/>
  <c r="AQ398" i="5"/>
  <c r="X398" i="5"/>
  <c r="AE393" i="5"/>
  <c r="V393" i="5"/>
  <c r="AQ388" i="5"/>
  <c r="X388" i="5"/>
  <c r="AE381" i="5"/>
  <c r="V381" i="5"/>
  <c r="V357" i="5"/>
  <c r="V341" i="5"/>
  <c r="X204" i="5"/>
  <c r="X202" i="5"/>
  <c r="X184" i="5"/>
  <c r="AQ182" i="5"/>
  <c r="X182" i="5"/>
  <c r="AQ180" i="5"/>
  <c r="X180" i="5"/>
  <c r="AQ178" i="5"/>
  <c r="X178" i="5"/>
  <c r="AQ172" i="5"/>
  <c r="X172" i="5"/>
  <c r="AE167" i="5"/>
  <c r="V167" i="5"/>
  <c r="V165" i="5"/>
  <c r="V163" i="5"/>
  <c r="V161" i="5"/>
  <c r="X158" i="5"/>
  <c r="V152" i="5"/>
  <c r="V150" i="5"/>
  <c r="AE150" i="5"/>
  <c r="V148" i="5"/>
  <c r="V146" i="5"/>
  <c r="V142" i="5"/>
  <c r="V140" i="5"/>
  <c r="V120" i="5"/>
  <c r="AQ117" i="5"/>
  <c r="X117" i="5"/>
  <c r="X115" i="5"/>
  <c r="AQ115" i="5"/>
  <c r="AE114" i="5"/>
  <c r="V114" i="5"/>
  <c r="V112" i="5"/>
  <c r="V110" i="5"/>
  <c r="V108" i="5"/>
  <c r="V106" i="5"/>
  <c r="V104" i="5"/>
  <c r="V84" i="5"/>
  <c r="AE82" i="5"/>
  <c r="V82" i="5"/>
  <c r="AE80" i="5"/>
  <c r="V80" i="5"/>
  <c r="V78" i="5"/>
  <c r="AE78" i="5"/>
  <c r="AE76" i="5"/>
  <c r="V76" i="5"/>
  <c r="AQ71" i="5"/>
  <c r="X71" i="5"/>
  <c r="X69" i="5"/>
  <c r="AQ69" i="5"/>
  <c r="X67" i="5"/>
  <c r="AQ67" i="5"/>
  <c r="X65" i="5"/>
  <c r="AQ65" i="5"/>
  <c r="X63" i="5"/>
  <c r="AQ63" i="5"/>
  <c r="X53" i="5"/>
  <c r="AQ53" i="5"/>
  <c r="AE52" i="5"/>
  <c r="V52" i="5"/>
  <c r="X49" i="5"/>
  <c r="AQ49" i="5"/>
  <c r="V48" i="5"/>
  <c r="X47" i="5"/>
  <c r="AQ47" i="5"/>
  <c r="X45" i="5"/>
  <c r="AQ45" i="5"/>
  <c r="AE44" i="5"/>
  <c r="V44" i="5"/>
  <c r="AQ43" i="5"/>
  <c r="X43" i="5"/>
  <c r="AE42" i="5"/>
  <c r="V42" i="5"/>
  <c r="X41" i="5"/>
  <c r="V40" i="5"/>
  <c r="X39" i="5"/>
  <c r="V38" i="5"/>
  <c r="V36" i="5"/>
  <c r="X35" i="5"/>
  <c r="V34" i="5"/>
  <c r="X33" i="5"/>
  <c r="V32" i="5"/>
  <c r="X31" i="5"/>
  <c r="X29" i="5"/>
  <c r="AE424" i="5"/>
  <c r="AE423" i="5"/>
  <c r="AE420" i="5"/>
  <c r="AE419" i="5"/>
  <c r="AE418" i="5"/>
  <c r="AE416" i="5"/>
  <c r="AE415" i="5"/>
  <c r="AE412" i="5"/>
  <c r="AE408" i="5"/>
  <c r="AE407" i="5"/>
  <c r="AE404" i="5"/>
  <c r="AE403" i="5"/>
  <c r="AE402" i="5"/>
  <c r="AE400" i="5"/>
  <c r="AE398" i="5"/>
  <c r="AE396" i="5"/>
  <c r="AE394" i="5"/>
  <c r="AE392" i="5"/>
  <c r="AE391" i="5"/>
  <c r="AE388" i="5"/>
  <c r="AE386" i="5"/>
  <c r="AE384" i="5"/>
  <c r="AE383" i="5"/>
  <c r="AE382" i="5"/>
  <c r="AE379" i="5"/>
  <c r="AE378" i="5"/>
  <c r="AE375" i="5"/>
  <c r="AE374" i="5"/>
  <c r="AE371" i="5"/>
  <c r="AE370" i="5"/>
  <c r="AE367" i="5"/>
  <c r="AF367" i="5" s="1"/>
  <c r="AE366" i="5"/>
  <c r="AF366" i="5" s="1"/>
  <c r="AE347" i="5"/>
  <c r="AE342" i="5"/>
  <c r="AE312" i="5"/>
  <c r="AE311" i="5"/>
  <c r="AE309" i="5"/>
  <c r="AE308" i="5"/>
  <c r="AE307" i="5"/>
  <c r="AE305" i="5"/>
  <c r="AE304" i="5"/>
  <c r="AE303" i="5"/>
  <c r="AE297" i="5"/>
  <c r="AE296" i="5"/>
  <c r="AE295" i="5"/>
  <c r="AE293" i="5"/>
  <c r="AE291" i="5"/>
  <c r="AE261" i="5"/>
  <c r="AE256" i="5"/>
  <c r="AE255" i="5"/>
  <c r="AE253" i="5"/>
  <c r="AE252" i="5"/>
  <c r="AE251" i="5"/>
  <c r="AE223" i="5"/>
  <c r="AE220" i="5"/>
  <c r="AE217" i="5"/>
  <c r="X410" i="5"/>
  <c r="W380" i="5"/>
  <c r="W350" i="5"/>
  <c r="Y334" i="5"/>
  <c r="Y304" i="5"/>
  <c r="AK421" i="5"/>
  <c r="W421" i="5"/>
  <c r="AK417" i="5"/>
  <c r="W417" i="5"/>
  <c r="AK415" i="5"/>
  <c r="W415" i="5"/>
  <c r="AK413" i="5"/>
  <c r="W413" i="5"/>
  <c r="AK411" i="5"/>
  <c r="W411" i="5"/>
  <c r="AK409" i="5"/>
  <c r="W409" i="5"/>
  <c r="AK397" i="5"/>
  <c r="W397" i="5"/>
  <c r="AK395" i="5"/>
  <c r="W395" i="5"/>
  <c r="AK393" i="5"/>
  <c r="W393" i="5"/>
  <c r="AK391" i="5"/>
  <c r="W391" i="5"/>
  <c r="AK387" i="5"/>
  <c r="W387" i="5"/>
  <c r="AK385" i="5"/>
  <c r="W385" i="5"/>
  <c r="AW382" i="5"/>
  <c r="Y382" i="5"/>
  <c r="AW380" i="5"/>
  <c r="Y380" i="5"/>
  <c r="AW378" i="5"/>
  <c r="Y378" i="5"/>
  <c r="AW374" i="5"/>
  <c r="Y374" i="5"/>
  <c r="Y372" i="5"/>
  <c r="Y364" i="5"/>
  <c r="Y360" i="5"/>
  <c r="Y354" i="5"/>
  <c r="Y352" i="5"/>
  <c r="Y348" i="5"/>
  <c r="AW314" i="5"/>
  <c r="Y314" i="5"/>
  <c r="AW310" i="5"/>
  <c r="Y310" i="5"/>
  <c r="AW308" i="5"/>
  <c r="Y308" i="5"/>
  <c r="Y300" i="5"/>
  <c r="Y298" i="5"/>
  <c r="AW294" i="5"/>
  <c r="Y294" i="5"/>
  <c r="Y292" i="5"/>
  <c r="AW286" i="5"/>
  <c r="Y286" i="5"/>
  <c r="Y282" i="5"/>
  <c r="Y280" i="5"/>
  <c r="Y260" i="5"/>
  <c r="Y258" i="5"/>
  <c r="Y250" i="5"/>
  <c r="Y224" i="5"/>
  <c r="AW220" i="5"/>
  <c r="Y220" i="5"/>
  <c r="AW216" i="5"/>
  <c r="Y216" i="5"/>
  <c r="AQ408" i="5"/>
  <c r="X408" i="5"/>
  <c r="AQ406" i="5"/>
  <c r="X406" i="5"/>
  <c r="AQ404" i="5"/>
  <c r="X404" i="5"/>
  <c r="AQ396" i="5"/>
  <c r="X396" i="5"/>
  <c r="AQ394" i="5"/>
  <c r="X394" i="5"/>
  <c r="AE389" i="5"/>
  <c r="V389" i="5"/>
  <c r="AE387" i="5"/>
  <c r="V387" i="5"/>
  <c r="V205" i="5"/>
  <c r="V203" i="5"/>
  <c r="AE181" i="5"/>
  <c r="V181" i="5"/>
  <c r="AE171" i="5"/>
  <c r="V171" i="5"/>
  <c r="AQ168" i="5"/>
  <c r="X168" i="5"/>
  <c r="X166" i="5"/>
  <c r="X164" i="5"/>
  <c r="V159" i="5"/>
  <c r="X155" i="5"/>
  <c r="X153" i="5"/>
  <c r="AQ151" i="5"/>
  <c r="X151" i="5"/>
  <c r="AQ149" i="5"/>
  <c r="X149" i="5"/>
  <c r="X147" i="5"/>
  <c r="X145" i="5"/>
  <c r="X139" i="5"/>
  <c r="V138" i="5"/>
  <c r="AQ121" i="5"/>
  <c r="X121" i="5"/>
  <c r="AE116" i="5"/>
  <c r="V116" i="5"/>
  <c r="X113" i="5"/>
  <c r="X111" i="5"/>
  <c r="X109" i="5"/>
  <c r="X105" i="5"/>
  <c r="X101" i="5"/>
  <c r="X83" i="5"/>
  <c r="AQ83" i="5"/>
  <c r="AQ81" i="5"/>
  <c r="X81" i="5"/>
  <c r="AQ79" i="5"/>
  <c r="X79" i="5"/>
  <c r="AQ77" i="5"/>
  <c r="X77" i="5"/>
  <c r="AQ75" i="5"/>
  <c r="X75" i="5"/>
  <c r="AE74" i="5"/>
  <c r="V74" i="5"/>
  <c r="AE72" i="5"/>
  <c r="V72" i="5"/>
  <c r="V70" i="5"/>
  <c r="AE70" i="5"/>
  <c r="V68" i="5"/>
  <c r="AE66" i="5"/>
  <c r="V66" i="5"/>
  <c r="AE64" i="5"/>
  <c r="V64" i="5"/>
  <c r="V62" i="5"/>
  <c r="AE62" i="5"/>
  <c r="AE60" i="5"/>
  <c r="V60" i="5"/>
  <c r="AE58" i="5"/>
  <c r="V58" i="5"/>
  <c r="X57" i="5"/>
  <c r="V56" i="5"/>
  <c r="V54" i="5"/>
  <c r="X51" i="5"/>
  <c r="AQ51" i="5"/>
  <c r="AE50" i="5"/>
  <c r="V50" i="5"/>
  <c r="V46" i="5"/>
  <c r="AE46" i="5"/>
  <c r="AW423" i="5"/>
  <c r="Y423" i="5"/>
  <c r="AK422" i="5"/>
  <c r="W422" i="5"/>
  <c r="AW419" i="5"/>
  <c r="Y419" i="5"/>
  <c r="AW415" i="5"/>
  <c r="Y415" i="5"/>
  <c r="AW411" i="5"/>
  <c r="Y411" i="5"/>
  <c r="AK410" i="5"/>
  <c r="W410" i="5"/>
  <c r="AW407" i="5"/>
  <c r="Y407" i="5"/>
  <c r="AK406" i="5"/>
  <c r="W406" i="5"/>
  <c r="AW403" i="5"/>
  <c r="Y403" i="5"/>
  <c r="AW399" i="5"/>
  <c r="Y399" i="5"/>
  <c r="AW395" i="5"/>
  <c r="Y395" i="5"/>
  <c r="AW391" i="5"/>
  <c r="Y391" i="5"/>
  <c r="AK390" i="5"/>
  <c r="W390" i="5"/>
  <c r="AW387" i="5"/>
  <c r="Y387" i="5"/>
  <c r="AW383" i="5"/>
  <c r="Y383" i="5"/>
  <c r="AK382" i="5"/>
  <c r="W382" i="5"/>
  <c r="AW379" i="5"/>
  <c r="Y379" i="5"/>
  <c r="AK376" i="5"/>
  <c r="W376" i="5"/>
  <c r="AW375" i="5"/>
  <c r="Y375" i="5"/>
  <c r="AK374" i="5"/>
  <c r="W374" i="5"/>
  <c r="W372" i="5"/>
  <c r="AW371" i="5"/>
  <c r="Y371" i="5"/>
  <c r="AK368" i="5"/>
  <c r="AW367" i="5"/>
  <c r="Y367" i="5"/>
  <c r="AK366" i="5"/>
  <c r="Y363" i="5"/>
  <c r="Y359" i="5"/>
  <c r="W356" i="5"/>
  <c r="Y355" i="5"/>
  <c r="W352" i="5"/>
  <c r="Y351" i="5"/>
  <c r="W348" i="5"/>
  <c r="AW347" i="5"/>
  <c r="Y347" i="5"/>
  <c r="AK342" i="5"/>
  <c r="W342" i="5"/>
  <c r="W340" i="5"/>
  <c r="Y339" i="5"/>
  <c r="W334" i="5"/>
  <c r="Y333" i="5"/>
  <c r="W332" i="5"/>
  <c r="X391" i="5"/>
  <c r="V286" i="5"/>
  <c r="Y240" i="5"/>
  <c r="V177" i="5"/>
  <c r="AK425" i="5"/>
  <c r="W425" i="5"/>
  <c r="AK419" i="5"/>
  <c r="W419" i="5"/>
  <c r="AK407" i="5"/>
  <c r="W407" i="5"/>
  <c r="AK405" i="5"/>
  <c r="W405" i="5"/>
  <c r="AK389" i="5"/>
  <c r="W389" i="5"/>
  <c r="AW366" i="5"/>
  <c r="Y366" i="5"/>
  <c r="AW342" i="5"/>
  <c r="Y342" i="5"/>
  <c r="Y340" i="5"/>
  <c r="Y336" i="5"/>
  <c r="Y332" i="5"/>
  <c r="Y316" i="5"/>
  <c r="AW306" i="5"/>
  <c r="Y306" i="5"/>
  <c r="Y284" i="5"/>
  <c r="AW256" i="5"/>
  <c r="Y256" i="5"/>
  <c r="AW254" i="5"/>
  <c r="Y254" i="5"/>
  <c r="AW252" i="5"/>
  <c r="Y252" i="5"/>
  <c r="Y242" i="5"/>
  <c r="AE425" i="5"/>
  <c r="V425" i="5"/>
  <c r="AQ422" i="5"/>
  <c r="X422" i="5"/>
  <c r="AE421" i="5"/>
  <c r="V421" i="5"/>
  <c r="AQ418" i="5"/>
  <c r="X418" i="5"/>
  <c r="AE417" i="5"/>
  <c r="V417" i="5"/>
  <c r="AE413" i="5"/>
  <c r="V413" i="5"/>
  <c r="AE411" i="5"/>
  <c r="V411" i="5"/>
  <c r="AE409" i="5"/>
  <c r="V409" i="5"/>
  <c r="AE405" i="5"/>
  <c r="V405" i="5"/>
  <c r="AE399" i="5"/>
  <c r="V399" i="5"/>
  <c r="AE397" i="5"/>
  <c r="V397" i="5"/>
  <c r="AE395" i="5"/>
  <c r="V395" i="5"/>
  <c r="AQ392" i="5"/>
  <c r="X392" i="5"/>
  <c r="AQ386" i="5"/>
  <c r="X386" i="5"/>
  <c r="AE385" i="5"/>
  <c r="V385" i="5"/>
  <c r="AE377" i="5"/>
  <c r="V377" i="5"/>
  <c r="AE373" i="5"/>
  <c r="V373" i="5"/>
  <c r="V353" i="5"/>
  <c r="AE349" i="5"/>
  <c r="V349" i="5"/>
  <c r="X186" i="5"/>
  <c r="V185" i="5"/>
  <c r="AE183" i="5"/>
  <c r="V183" i="5"/>
  <c r="AE179" i="5"/>
  <c r="V179" i="5"/>
  <c r="AQ170" i="5"/>
  <c r="X170" i="5"/>
  <c r="AE169" i="5"/>
  <c r="V169" i="5"/>
  <c r="X162" i="5"/>
  <c r="X160" i="5"/>
  <c r="X143" i="5"/>
  <c r="X141" i="5"/>
  <c r="AQ119" i="5"/>
  <c r="X119" i="5"/>
  <c r="V118" i="5"/>
  <c r="AE118" i="5"/>
  <c r="X103" i="5"/>
  <c r="V102" i="5"/>
  <c r="AQ73" i="5"/>
  <c r="X73" i="5"/>
  <c r="AQ61" i="5"/>
  <c r="X61" i="5"/>
  <c r="AQ59" i="5"/>
  <c r="X59" i="5"/>
  <c r="X55" i="5"/>
  <c r="AQ423" i="5"/>
  <c r="X423" i="5"/>
  <c r="AE422" i="5"/>
  <c r="V422" i="5"/>
  <c r="AE414" i="5"/>
  <c r="V414" i="5"/>
  <c r="AQ411" i="5"/>
  <c r="X411" i="5"/>
  <c r="AE410" i="5"/>
  <c r="V410" i="5"/>
  <c r="AQ407" i="5"/>
  <c r="X407" i="5"/>
  <c r="AE406" i="5"/>
  <c r="V406" i="5"/>
  <c r="AQ399" i="5"/>
  <c r="X399" i="5"/>
  <c r="AE390" i="5"/>
  <c r="V390" i="5"/>
  <c r="AQ383" i="5"/>
  <c r="X383" i="5"/>
  <c r="AQ381" i="5"/>
  <c r="X381" i="5"/>
  <c r="AE380" i="5"/>
  <c r="V380" i="5"/>
  <c r="AQ379" i="5"/>
  <c r="X379" i="5"/>
  <c r="AQ377" i="5"/>
  <c r="X377" i="5"/>
  <c r="AE376" i="5"/>
  <c r="V376" i="5"/>
  <c r="AQ375" i="5"/>
  <c r="X375" i="5"/>
  <c r="AQ373" i="5"/>
  <c r="X373" i="5"/>
  <c r="V372" i="5"/>
  <c r="AQ371" i="5"/>
  <c r="X371" i="5"/>
  <c r="AQ369" i="5"/>
  <c r="AE368" i="5"/>
  <c r="AQ367" i="5"/>
  <c r="X357" i="5"/>
  <c r="V356" i="5"/>
  <c r="X355" i="5"/>
  <c r="X353" i="5"/>
  <c r="V352" i="5"/>
  <c r="X351" i="5"/>
  <c r="AQ349" i="5"/>
  <c r="X349" i="5"/>
  <c r="V348" i="5"/>
  <c r="AQ347" i="5"/>
  <c r="X347" i="5"/>
  <c r="X341" i="5"/>
  <c r="V340" i="5"/>
  <c r="X339" i="5"/>
  <c r="X335" i="5"/>
  <c r="V334" i="5"/>
  <c r="X331" i="5"/>
  <c r="X315" i="5"/>
  <c r="AE314" i="5"/>
  <c r="V314" i="5"/>
  <c r="AQ311" i="5"/>
  <c r="X311" i="5"/>
  <c r="AE310" i="5"/>
  <c r="V310" i="5"/>
  <c r="AQ307" i="5"/>
  <c r="X307" i="5"/>
  <c r="AE306" i="5"/>
  <c r="V306" i="5"/>
  <c r="AQ303" i="5"/>
  <c r="X303" i="5"/>
  <c r="X299" i="5"/>
  <c r="V298" i="5"/>
  <c r="AQ295" i="5"/>
  <c r="X295" i="5"/>
  <c r="AE294" i="5"/>
  <c r="V294" i="5"/>
  <c r="AQ291" i="5"/>
  <c r="X291" i="5"/>
  <c r="X283" i="5"/>
  <c r="V282" i="5"/>
  <c r="X279" i="5"/>
  <c r="V278" i="5"/>
  <c r="X275" i="5"/>
  <c r="X259" i="5"/>
  <c r="AE258" i="5"/>
  <c r="V258" i="5"/>
  <c r="AQ255" i="5"/>
  <c r="X255" i="5"/>
  <c r="AE254" i="5"/>
  <c r="V254" i="5"/>
  <c r="AQ251" i="5"/>
  <c r="X251" i="5"/>
  <c r="V250" i="5"/>
  <c r="X247" i="5"/>
  <c r="X243" i="5"/>
  <c r="V242" i="5"/>
  <c r="AQ223" i="5"/>
  <c r="X223" i="5"/>
  <c r="X219" i="5"/>
  <c r="AE218" i="5"/>
  <c r="V218" i="5"/>
  <c r="AQ217" i="5"/>
  <c r="V222" i="5"/>
  <c r="V162" i="5"/>
  <c r="Y317" i="5"/>
  <c r="W316" i="5"/>
  <c r="Y313" i="5"/>
  <c r="AW309" i="5"/>
  <c r="Y309" i="5"/>
  <c r="AK308" i="5"/>
  <c r="W308" i="5"/>
  <c r="AK306" i="5"/>
  <c r="W306" i="5"/>
  <c r="Y301" i="5"/>
  <c r="W300" i="5"/>
  <c r="AW297" i="5"/>
  <c r="Y297" i="5"/>
  <c r="AW293" i="5"/>
  <c r="Y293" i="5"/>
  <c r="W292" i="5"/>
  <c r="AK286" i="5"/>
  <c r="W286" i="5"/>
  <c r="Y285" i="5"/>
  <c r="W284" i="5"/>
  <c r="Y277" i="5"/>
  <c r="W276" i="5"/>
  <c r="AW261" i="5"/>
  <c r="Y261" i="5"/>
  <c r="W260" i="5"/>
  <c r="AK258" i="5"/>
  <c r="W258" i="5"/>
  <c r="AK256" i="5"/>
  <c r="W256" i="5"/>
  <c r="AK254" i="5"/>
  <c r="W254" i="5"/>
  <c r="AW253" i="5"/>
  <c r="Y253" i="5"/>
  <c r="AK252" i="5"/>
  <c r="W252" i="5"/>
  <c r="Y245" i="5"/>
  <c r="W244" i="5"/>
  <c r="W242" i="5"/>
  <c r="W240" i="5"/>
  <c r="W224" i="5"/>
  <c r="W222" i="5"/>
  <c r="Y221" i="5"/>
  <c r="AK220" i="5"/>
  <c r="W220" i="5"/>
  <c r="AW217" i="5"/>
  <c r="Y217" i="5"/>
  <c r="W214" i="5"/>
  <c r="Y213" i="5"/>
  <c r="W212" i="5"/>
  <c r="Y209" i="5"/>
  <c r="W206" i="5"/>
  <c r="Y205" i="5"/>
  <c r="W202" i="5"/>
  <c r="W186" i="5"/>
  <c r="AW183" i="5"/>
  <c r="Y183" i="5"/>
  <c r="AK182" i="5"/>
  <c r="W182" i="5"/>
  <c r="AW179" i="5"/>
  <c r="Y179" i="5"/>
  <c r="AK178" i="5"/>
  <c r="W178" i="5"/>
  <c r="AW171" i="5"/>
  <c r="Y171" i="5"/>
  <c r="AK170" i="5"/>
  <c r="W170" i="5"/>
  <c r="AW167" i="5"/>
  <c r="Y167" i="5"/>
  <c r="W166" i="5"/>
  <c r="Y163" i="5"/>
  <c r="W162" i="5"/>
  <c r="W158" i="5"/>
  <c r="W153" i="5"/>
  <c r="AW150" i="5"/>
  <c r="Y150" i="5"/>
  <c r="AK149" i="5"/>
  <c r="W149" i="5"/>
  <c r="Y146" i="5"/>
  <c r="Y142" i="5"/>
  <c r="W141" i="5"/>
  <c r="Y138" i="5"/>
  <c r="W121" i="5"/>
  <c r="AK121" i="5"/>
  <c r="AK117" i="5"/>
  <c r="W117" i="5"/>
  <c r="AW114" i="5"/>
  <c r="Y114" i="5"/>
  <c r="W113" i="5"/>
  <c r="Y110" i="5"/>
  <c r="W109" i="5"/>
  <c r="Y106" i="5"/>
  <c r="W105" i="5"/>
  <c r="Y102" i="5"/>
  <c r="W101" i="5"/>
  <c r="AW82" i="5"/>
  <c r="Y82" i="5"/>
  <c r="AW78" i="5"/>
  <c r="Y78" i="5"/>
  <c r="AK77" i="5"/>
  <c r="W77" i="5"/>
  <c r="AW74" i="5"/>
  <c r="Y74" i="5"/>
  <c r="AK73" i="5"/>
  <c r="W73" i="5"/>
  <c r="AW70" i="5"/>
  <c r="Y70" i="5"/>
  <c r="AK69" i="5"/>
  <c r="W69" i="5"/>
  <c r="AW66" i="5"/>
  <c r="Y66" i="5"/>
  <c r="AK65" i="5"/>
  <c r="W65" i="5"/>
  <c r="Y62" i="5"/>
  <c r="AW62" i="5"/>
  <c r="AK61" i="5"/>
  <c r="W61" i="5"/>
  <c r="AW58" i="5"/>
  <c r="Y58" i="5"/>
  <c r="W57" i="5"/>
  <c r="AK53" i="5"/>
  <c r="W53" i="5"/>
  <c r="AW50" i="5"/>
  <c r="Y50" i="5"/>
  <c r="Y46" i="5"/>
  <c r="AW46" i="5"/>
  <c r="AK45" i="5"/>
  <c r="W45" i="5"/>
  <c r="AW42" i="5"/>
  <c r="Y42" i="5"/>
  <c r="W41" i="5"/>
  <c r="Y38" i="5"/>
  <c r="W37" i="5"/>
  <c r="Y34" i="5"/>
  <c r="W33" i="5"/>
  <c r="Y30" i="5"/>
  <c r="W29" i="5"/>
  <c r="AW425" i="5"/>
  <c r="AW424" i="5"/>
  <c r="AW422" i="5"/>
  <c r="AW421" i="5"/>
  <c r="AW420" i="5"/>
  <c r="AW418" i="5"/>
  <c r="AW417" i="5"/>
  <c r="AW416" i="5"/>
  <c r="AW414" i="5"/>
  <c r="AW413" i="5"/>
  <c r="AW412" i="5"/>
  <c r="AW410" i="5"/>
  <c r="AW409" i="5"/>
  <c r="AW408" i="5"/>
  <c r="AW406" i="5"/>
  <c r="AW405" i="5"/>
  <c r="AW404" i="5"/>
  <c r="AW402" i="5"/>
  <c r="AW401" i="5"/>
  <c r="AW400" i="5"/>
  <c r="AW398" i="5"/>
  <c r="AW397" i="5"/>
  <c r="AW396" i="5"/>
  <c r="AW394" i="5"/>
  <c r="AW393" i="5"/>
  <c r="AW392" i="5"/>
  <c r="AW390" i="5"/>
  <c r="AW389" i="5"/>
  <c r="AW388" i="5"/>
  <c r="AW386" i="5"/>
  <c r="AW385" i="5"/>
  <c r="AW384" i="5"/>
  <c r="AW381" i="5"/>
  <c r="AW377" i="5"/>
  <c r="AW373" i="5"/>
  <c r="AW369" i="5"/>
  <c r="AW349" i="5"/>
  <c r="AW311" i="5"/>
  <c r="AW307" i="5"/>
  <c r="AW303" i="5"/>
  <c r="AW295" i="5"/>
  <c r="AW291" i="5"/>
  <c r="AW255" i="5"/>
  <c r="AW251" i="5"/>
  <c r="AW223" i="5"/>
  <c r="AW182" i="5"/>
  <c r="AW181" i="5"/>
  <c r="AW180" i="5"/>
  <c r="AW178" i="5"/>
  <c r="AW177" i="5"/>
  <c r="AW172" i="5"/>
  <c r="AW170" i="5"/>
  <c r="AW169" i="5"/>
  <c r="AW168" i="5"/>
  <c r="AW151" i="5"/>
  <c r="AW149" i="5"/>
  <c r="AW121" i="5"/>
  <c r="AW119" i="5"/>
  <c r="AW117" i="5"/>
  <c r="AW116" i="5"/>
  <c r="AW115" i="5"/>
  <c r="AW83" i="5"/>
  <c r="AW80" i="5"/>
  <c r="AW79" i="5"/>
  <c r="AW77" i="5"/>
  <c r="AW76" i="5"/>
  <c r="AW75" i="5"/>
  <c r="AW73" i="5"/>
  <c r="AW72" i="5"/>
  <c r="AW71" i="5"/>
  <c r="AW69" i="5"/>
  <c r="AW67" i="5"/>
  <c r="AW65" i="5"/>
  <c r="AW64" i="5"/>
  <c r="AW63" i="5"/>
  <c r="AW61" i="5"/>
  <c r="AW60" i="5"/>
  <c r="AW59" i="5"/>
  <c r="AW53" i="5"/>
  <c r="AW52" i="5"/>
  <c r="AW51" i="5"/>
  <c r="AW49" i="5"/>
  <c r="AW47" i="5"/>
  <c r="AW45" i="5"/>
  <c r="AW44" i="5"/>
  <c r="AW43" i="5"/>
  <c r="AW11" i="5"/>
  <c r="Y212" i="5"/>
  <c r="W81" i="5"/>
  <c r="AK58" i="5"/>
  <c r="V216" i="5"/>
  <c r="X215" i="5"/>
  <c r="V214" i="5"/>
  <c r="V212" i="5"/>
  <c r="X207" i="5"/>
  <c r="V206" i="5"/>
  <c r="V204" i="5"/>
  <c r="V202" i="5"/>
  <c r="V186" i="5"/>
  <c r="V184" i="5"/>
  <c r="AE182" i="5"/>
  <c r="V182" i="5"/>
  <c r="V180" i="5"/>
  <c r="AE178" i="5"/>
  <c r="V178" i="5"/>
  <c r="V172" i="5"/>
  <c r="AE170" i="5"/>
  <c r="V170" i="5"/>
  <c r="V168" i="5"/>
  <c r="V166" i="5"/>
  <c r="V164" i="5"/>
  <c r="V160" i="5"/>
  <c r="V158" i="5"/>
  <c r="V155" i="5"/>
  <c r="V153" i="5"/>
  <c r="V151" i="5"/>
  <c r="AE149" i="5"/>
  <c r="V149" i="5"/>
  <c r="V147" i="5"/>
  <c r="V145" i="5"/>
  <c r="V143" i="5"/>
  <c r="V141" i="5"/>
  <c r="V139" i="5"/>
  <c r="AE121" i="5"/>
  <c r="V121" i="5"/>
  <c r="AE117" i="5"/>
  <c r="V117" i="5"/>
  <c r="V113" i="5"/>
  <c r="V109" i="5"/>
  <c r="V105" i="5"/>
  <c r="V101" i="5"/>
  <c r="AE81" i="5"/>
  <c r="V81" i="5"/>
  <c r="AE77" i="5"/>
  <c r="V77" i="5"/>
  <c r="AE73" i="5"/>
  <c r="V73" i="5"/>
  <c r="AE69" i="5"/>
  <c r="V69" i="5"/>
  <c r="AE65" i="5"/>
  <c r="V65" i="5"/>
  <c r="AE61" i="5"/>
  <c r="V61" i="5"/>
  <c r="V57" i="5"/>
  <c r="AE53" i="5"/>
  <c r="V53" i="5"/>
  <c r="AE49" i="5"/>
  <c r="V49" i="5"/>
  <c r="AE45" i="5"/>
  <c r="V45" i="5"/>
  <c r="V41" i="5"/>
  <c r="V37" i="5"/>
  <c r="V33" i="5"/>
  <c r="V29" i="5"/>
  <c r="AE9" i="5"/>
  <c r="AQ425" i="5"/>
  <c r="AQ424" i="5"/>
  <c r="AQ421" i="5"/>
  <c r="AQ419" i="5"/>
  <c r="AQ417" i="5"/>
  <c r="AQ416" i="5"/>
  <c r="AQ415" i="5"/>
  <c r="AQ413" i="5"/>
  <c r="AQ409" i="5"/>
  <c r="AQ405" i="5"/>
  <c r="AQ403" i="5"/>
  <c r="AQ401" i="5"/>
  <c r="AQ400" i="5"/>
  <c r="AQ397" i="5"/>
  <c r="AQ395" i="5"/>
  <c r="AQ393" i="5"/>
  <c r="AQ389" i="5"/>
  <c r="AQ387" i="5"/>
  <c r="AQ385" i="5"/>
  <c r="AQ384" i="5"/>
  <c r="AQ382" i="5"/>
  <c r="AQ380" i="5"/>
  <c r="AQ378" i="5"/>
  <c r="AQ376" i="5"/>
  <c r="AQ374" i="5"/>
  <c r="AQ370" i="5"/>
  <c r="AQ368" i="5"/>
  <c r="AR368" i="5" s="1"/>
  <c r="AQ366" i="5"/>
  <c r="AR366" i="5" s="1"/>
  <c r="AQ342" i="5"/>
  <c r="AQ314" i="5"/>
  <c r="AQ312" i="5"/>
  <c r="AQ310" i="5"/>
  <c r="AQ309" i="5"/>
  <c r="AQ308" i="5"/>
  <c r="AQ306" i="5"/>
  <c r="AQ305" i="5"/>
  <c r="AQ304" i="5"/>
  <c r="AQ297" i="5"/>
  <c r="AQ296" i="5"/>
  <c r="AQ294" i="5"/>
  <c r="AQ293" i="5"/>
  <c r="AQ286" i="5"/>
  <c r="AQ261" i="5"/>
  <c r="AQ258" i="5"/>
  <c r="AQ256" i="5"/>
  <c r="AQ254" i="5"/>
  <c r="AQ253" i="5"/>
  <c r="AQ252" i="5"/>
  <c r="AQ220" i="5"/>
  <c r="AQ218" i="5"/>
  <c r="AQ216" i="5"/>
  <c r="AQ183" i="5"/>
  <c r="AQ181" i="5"/>
  <c r="AQ179" i="5"/>
  <c r="AQ177" i="5"/>
  <c r="AQ171" i="5"/>
  <c r="AQ169" i="5"/>
  <c r="AQ167" i="5"/>
  <c r="AQ150" i="5"/>
  <c r="AQ118" i="5"/>
  <c r="AQ116" i="5"/>
  <c r="AQ114" i="5"/>
  <c r="AQ82" i="5"/>
  <c r="AQ80" i="5"/>
  <c r="AQ78" i="5"/>
  <c r="AQ76" i="5"/>
  <c r="AQ74" i="5"/>
  <c r="AQ72" i="5"/>
  <c r="AQ70" i="5"/>
  <c r="W314" i="5"/>
  <c r="W310" i="5"/>
  <c r="W280" i="5"/>
  <c r="Y257" i="5"/>
  <c r="W250" i="5"/>
  <c r="W216" i="5"/>
  <c r="W32" i="5"/>
  <c r="AE51" i="5"/>
  <c r="Y206" i="5"/>
  <c r="W185" i="5"/>
  <c r="AK181" i="5"/>
  <c r="W181" i="5"/>
  <c r="AK177" i="5"/>
  <c r="W177" i="5"/>
  <c r="AK169" i="5"/>
  <c r="W169" i="5"/>
  <c r="W165" i="5"/>
  <c r="W161" i="5"/>
  <c r="W157" i="5"/>
  <c r="W152" i="5"/>
  <c r="W148" i="5"/>
  <c r="W140" i="5"/>
  <c r="W120" i="5"/>
  <c r="AK116" i="5"/>
  <c r="W116" i="5"/>
  <c r="W112" i="5"/>
  <c r="W108" i="5"/>
  <c r="W104" i="5"/>
  <c r="W84" i="5"/>
  <c r="AK80" i="5"/>
  <c r="W80" i="5"/>
  <c r="AK76" i="5"/>
  <c r="W76" i="5"/>
  <c r="AK72" i="5"/>
  <c r="W72" i="5"/>
  <c r="W68" i="5"/>
  <c r="AK64" i="5"/>
  <c r="W64" i="5"/>
  <c r="AK60" i="5"/>
  <c r="W60" i="5"/>
  <c r="W56" i="5"/>
  <c r="W52" i="5"/>
  <c r="AK52" i="5"/>
  <c r="W48" i="5"/>
  <c r="AK44" i="5"/>
  <c r="W44" i="5"/>
  <c r="W36" i="5"/>
  <c r="AK424" i="5"/>
  <c r="AK420" i="5"/>
  <c r="AK418" i="5"/>
  <c r="AK416" i="5"/>
  <c r="AK414" i="5"/>
  <c r="AK412" i="5"/>
  <c r="AK408" i="5"/>
  <c r="AK404" i="5"/>
  <c r="AK402" i="5"/>
  <c r="AK400" i="5"/>
  <c r="AK398" i="5"/>
  <c r="AK396" i="5"/>
  <c r="AK394" i="5"/>
  <c r="AK392" i="5"/>
  <c r="AK388" i="5"/>
  <c r="AK386" i="5"/>
  <c r="AK384" i="5"/>
  <c r="AK383" i="5"/>
  <c r="AK381" i="5"/>
  <c r="AK379" i="5"/>
  <c r="AK378" i="5"/>
  <c r="AK377" i="5"/>
  <c r="AK375" i="5"/>
  <c r="AK373" i="5"/>
  <c r="AK371" i="5"/>
  <c r="AK370" i="5"/>
  <c r="AK369" i="5"/>
  <c r="AL369" i="5" s="1"/>
  <c r="AK367" i="5"/>
  <c r="AL367" i="5" s="1"/>
  <c r="AK349" i="5"/>
  <c r="AK347" i="5"/>
  <c r="AK312" i="5"/>
  <c r="AK311" i="5"/>
  <c r="AK309" i="5"/>
  <c r="AK307" i="5"/>
  <c r="AK305" i="5"/>
  <c r="AK304" i="5"/>
  <c r="AK303" i="5"/>
  <c r="AK297" i="5"/>
  <c r="AK296" i="5"/>
  <c r="AK295" i="5"/>
  <c r="AK293" i="5"/>
  <c r="AK291" i="5"/>
  <c r="AK261" i="5"/>
  <c r="AK255" i="5"/>
  <c r="AK253" i="5"/>
  <c r="AK251" i="5"/>
  <c r="AK223" i="5"/>
  <c r="AK217" i="5"/>
  <c r="AK183" i="5"/>
  <c r="AK180" i="5"/>
  <c r="AK179" i="5"/>
  <c r="AK172" i="5"/>
  <c r="AK171" i="5"/>
  <c r="AK168" i="5"/>
  <c r="AK167" i="5"/>
  <c r="AK151" i="5"/>
  <c r="AK150" i="5"/>
  <c r="AK119" i="5"/>
  <c r="AK118" i="5"/>
  <c r="AK115" i="5"/>
  <c r="AK114" i="5"/>
  <c r="AK83" i="5"/>
  <c r="AK82" i="5"/>
  <c r="AK79" i="5"/>
  <c r="AK78" i="5"/>
  <c r="AK75" i="5"/>
  <c r="AK74" i="5"/>
  <c r="AK71" i="5"/>
  <c r="AK70" i="5"/>
  <c r="AK66" i="5"/>
  <c r="AK50" i="5"/>
  <c r="AK47" i="5"/>
  <c r="AK42" i="5"/>
  <c r="AK10" i="5"/>
  <c r="Y305" i="5"/>
  <c r="W298" i="5"/>
  <c r="W294" i="5"/>
  <c r="Y241" i="5"/>
  <c r="Y118" i="5"/>
  <c r="AQ66" i="5"/>
  <c r="AQ64" i="5"/>
  <c r="AQ62" i="5"/>
  <c r="AQ60" i="5"/>
  <c r="AQ58" i="5"/>
  <c r="AQ52" i="5"/>
  <c r="AQ50" i="5"/>
  <c r="AQ46" i="5"/>
  <c r="AQ44" i="5"/>
  <c r="AQ42" i="5"/>
  <c r="AQ10" i="5"/>
  <c r="AK67" i="5"/>
  <c r="AK62" i="5"/>
  <c r="AK59" i="5"/>
  <c r="AK51" i="5"/>
  <c r="AK46" i="5"/>
  <c r="AK43" i="5"/>
  <c r="AK11" i="5"/>
  <c r="AE119" i="5"/>
  <c r="AE115" i="5"/>
  <c r="AE83" i="5"/>
  <c r="AE79" i="5"/>
  <c r="AE75" i="5"/>
  <c r="AE71" i="5"/>
  <c r="AE63" i="5"/>
  <c r="AE47" i="5"/>
  <c r="N75" i="16"/>
  <c r="N82" i="16" s="1"/>
  <c r="N76" i="16"/>
  <c r="H21" i="16"/>
  <c r="Y159" i="5"/>
  <c r="O37" i="16"/>
  <c r="O44" i="16" s="1"/>
  <c r="O45" i="16" s="1"/>
  <c r="B56" i="16"/>
  <c r="T8" i="16"/>
  <c r="N74" i="16"/>
  <c r="B76" i="16"/>
  <c r="B74" i="16"/>
  <c r="Q45" i="16"/>
  <c r="C37" i="16"/>
  <c r="C44" i="16" s="1"/>
  <c r="B55" i="16"/>
  <c r="N37" i="16"/>
  <c r="N44" i="16" s="1"/>
  <c r="B73" i="16"/>
  <c r="B37" i="16"/>
  <c r="B44" i="16" s="1"/>
  <c r="B45" i="16" s="1"/>
  <c r="BB370" i="5" l="1"/>
  <c r="AZ396" i="5"/>
  <c r="AZ404" i="5"/>
  <c r="AZ375" i="5"/>
  <c r="BB375" i="5"/>
  <c r="BB383" i="5"/>
  <c r="BB407" i="5"/>
  <c r="AY376" i="5"/>
  <c r="BB388" i="5"/>
  <c r="BB404" i="5"/>
  <c r="BA367" i="5"/>
  <c r="AZ407" i="5"/>
  <c r="BA391" i="5"/>
  <c r="BA379" i="5"/>
  <c r="AZ368" i="5"/>
  <c r="AZ388" i="5"/>
  <c r="BA404" i="5"/>
  <c r="AZ379" i="5"/>
  <c r="AY379" i="5"/>
  <c r="BB379" i="5"/>
  <c r="BB395" i="5"/>
  <c r="BB403" i="5"/>
  <c r="AY387" i="5"/>
  <c r="BA400" i="5"/>
  <c r="BA376" i="5"/>
  <c r="BA384" i="5"/>
  <c r="BB373" i="5"/>
  <c r="BB390" i="5"/>
  <c r="BB401" i="5"/>
  <c r="BB406" i="5"/>
  <c r="BB422" i="5"/>
  <c r="BB392" i="5"/>
  <c r="BB424" i="5"/>
  <c r="AY368" i="5"/>
  <c r="AY395" i="5"/>
  <c r="AY399" i="5"/>
  <c r="AZ387" i="5"/>
  <c r="AY370" i="5"/>
  <c r="AY384" i="5"/>
  <c r="AY392" i="5"/>
  <c r="AY400" i="5"/>
  <c r="AY407" i="5"/>
  <c r="AZ399" i="5"/>
  <c r="BA388" i="5"/>
  <c r="BB416" i="5"/>
  <c r="BA415" i="5"/>
  <c r="BB410" i="5"/>
  <c r="AY424" i="5"/>
  <c r="AY420" i="5"/>
  <c r="BA377" i="5"/>
  <c r="BA423" i="5"/>
  <c r="BB415" i="5"/>
  <c r="BA416" i="5"/>
  <c r="BA411" i="5"/>
  <c r="BB423" i="5"/>
  <c r="AY423" i="5"/>
  <c r="AZ423" i="5"/>
  <c r="BB412" i="5"/>
  <c r="AY412" i="5"/>
  <c r="BA419" i="5"/>
  <c r="AZ377" i="5"/>
  <c r="AY410" i="5"/>
  <c r="AY414" i="5"/>
  <c r="BB371" i="5"/>
  <c r="AZ382" i="5"/>
  <c r="AZ406" i="5"/>
  <c r="AY389" i="5"/>
  <c r="BA406" i="5"/>
  <c r="AY382" i="5"/>
  <c r="AZ371" i="5"/>
  <c r="AZ378" i="5"/>
  <c r="AZ394" i="5"/>
  <c r="AZ402" i="5"/>
  <c r="AR370" i="5"/>
  <c r="AY417" i="5"/>
  <c r="BB366" i="5"/>
  <c r="AZ405" i="5"/>
  <c r="AY398" i="5"/>
  <c r="AY381" i="5"/>
  <c r="AY393" i="5"/>
  <c r="AY401" i="5"/>
  <c r="AY418" i="5"/>
  <c r="AZ414" i="5"/>
  <c r="BA397" i="5"/>
  <c r="BA405" i="5"/>
  <c r="BB389" i="5"/>
  <c r="BB394" i="5"/>
  <c r="BB405" i="5"/>
  <c r="AY373" i="5"/>
  <c r="AY385" i="5"/>
  <c r="AY397" i="5"/>
  <c r="AY405" i="5"/>
  <c r="AY421" i="5"/>
  <c r="BB413" i="5"/>
  <c r="AZ370" i="5"/>
  <c r="AZ383" i="5"/>
  <c r="AZ392" i="5"/>
  <c r="AZ400" i="5"/>
  <c r="BA385" i="5"/>
  <c r="BA395" i="5"/>
  <c r="BA403" i="5"/>
  <c r="BB369" i="5"/>
  <c r="BB384" i="5"/>
  <c r="BB400" i="5"/>
  <c r="BB421" i="5"/>
  <c r="BA369" i="5"/>
  <c r="BA375" i="5"/>
  <c r="AY380" i="5"/>
  <c r="BA383" i="5"/>
  <c r="BA399" i="5"/>
  <c r="BA407" i="5"/>
  <c r="AY422" i="5"/>
  <c r="AY411" i="5"/>
  <c r="AZ419" i="5"/>
  <c r="AZ376" i="5"/>
  <c r="BB387" i="5"/>
  <c r="BB391" i="5"/>
  <c r="BB399" i="5"/>
  <c r="AZ422" i="5"/>
  <c r="BA396" i="5"/>
  <c r="BB380" i="5"/>
  <c r="AZ385" i="5"/>
  <c r="AZ391" i="5"/>
  <c r="AZ395" i="5"/>
  <c r="AY388" i="5"/>
  <c r="AY396" i="5"/>
  <c r="AY403" i="5"/>
  <c r="BA412" i="5"/>
  <c r="BA420" i="5"/>
  <c r="BB420" i="5"/>
  <c r="AY374" i="5"/>
  <c r="AY416" i="5"/>
  <c r="AZ412" i="5"/>
  <c r="AY415" i="5"/>
  <c r="BB409" i="5"/>
  <c r="AZ408" i="5"/>
  <c r="AZ384" i="5"/>
  <c r="AZ424" i="5"/>
  <c r="BA380" i="5"/>
  <c r="BA387" i="5"/>
  <c r="BA424" i="5"/>
  <c r="BB385" i="5"/>
  <c r="BB396" i="5"/>
  <c r="BA392" i="5"/>
  <c r="BB367" i="5"/>
  <c r="BB411" i="5"/>
  <c r="BB419" i="5"/>
  <c r="BA408" i="5"/>
  <c r="AZ411" i="5"/>
  <c r="AZ415" i="5"/>
  <c r="AY375" i="5"/>
  <c r="AY383" i="5"/>
  <c r="AY391" i="5"/>
  <c r="AY404" i="5"/>
  <c r="BB368" i="5"/>
  <c r="BB376" i="5"/>
  <c r="AZ403" i="5"/>
  <c r="BB408" i="5"/>
  <c r="AY408" i="5"/>
  <c r="AY369" i="5"/>
  <c r="AZ416" i="5"/>
  <c r="AZ380" i="5"/>
  <c r="AZ420" i="5"/>
  <c r="AY419" i="5"/>
  <c r="BA409" i="5"/>
  <c r="BA374" i="5"/>
  <c r="BA389" i="5"/>
  <c r="BB377" i="5"/>
  <c r="BB386" i="5"/>
  <c r="BB397" i="5"/>
  <c r="BB402" i="5"/>
  <c r="BA371" i="5"/>
  <c r="BA373" i="5"/>
  <c r="BA381" i="5"/>
  <c r="AY390" i="5"/>
  <c r="AY406" i="5"/>
  <c r="AY409" i="5"/>
  <c r="AY413" i="5"/>
  <c r="BA418" i="5"/>
  <c r="AZ390" i="5"/>
  <c r="BA394" i="5"/>
  <c r="BB378" i="5"/>
  <c r="BB382" i="5"/>
  <c r="AZ393" i="5"/>
  <c r="AZ397" i="5"/>
  <c r="AZ421" i="5"/>
  <c r="AY378" i="5"/>
  <c r="BA414" i="5"/>
  <c r="AZ418" i="5"/>
  <c r="BB414" i="5"/>
  <c r="BB417" i="5"/>
  <c r="BA413" i="5"/>
  <c r="AZ386" i="5"/>
  <c r="AZ381" i="5"/>
  <c r="AZ398" i="5"/>
  <c r="BA393" i="5"/>
  <c r="BA401" i="5"/>
  <c r="BB381" i="5"/>
  <c r="BB393" i="5"/>
  <c r="BB398" i="5"/>
  <c r="AY377" i="5"/>
  <c r="BA386" i="5"/>
  <c r="BA422" i="5"/>
  <c r="AZ389" i="5"/>
  <c r="AZ366" i="5"/>
  <c r="AZ374" i="5"/>
  <c r="AZ410" i="5"/>
  <c r="BB374" i="5"/>
  <c r="AZ409" i="5"/>
  <c r="AZ413" i="5"/>
  <c r="AZ417" i="5"/>
  <c r="AY371" i="5"/>
  <c r="AY386" i="5"/>
  <c r="AY394" i="5"/>
  <c r="AY402" i="5"/>
  <c r="BA398" i="5"/>
  <c r="BA402" i="5"/>
  <c r="AZ401" i="5"/>
  <c r="BB418" i="5"/>
  <c r="BA417" i="5"/>
  <c r="AR382" i="5"/>
  <c r="AL373" i="5"/>
  <c r="AR390" i="5"/>
  <c r="AL305" i="5"/>
  <c r="AR374" i="5"/>
  <c r="AR378" i="5"/>
  <c r="AL261" i="5"/>
  <c r="AX223" i="5"/>
  <c r="AX255" i="5"/>
  <c r="AX303" i="5"/>
  <c r="AL253" i="5"/>
  <c r="AL309" i="5"/>
  <c r="AX291" i="5"/>
  <c r="AX307" i="5"/>
  <c r="AL217" i="5"/>
  <c r="AX295" i="5"/>
  <c r="AX311" i="5"/>
  <c r="AL293" i="5"/>
  <c r="AX251" i="5"/>
  <c r="AL297" i="5"/>
  <c r="AL349" i="5"/>
  <c r="AR410" i="5"/>
  <c r="T21" i="16"/>
  <c r="AR421" i="5"/>
  <c r="BB425" i="5"/>
  <c r="AL46" i="5"/>
  <c r="AL62" i="5"/>
  <c r="AY425" i="5"/>
  <c r="BA390" i="5"/>
  <c r="BA421" i="5"/>
  <c r="AZ369" i="5"/>
  <c r="BA368" i="5"/>
  <c r="AZ373" i="5"/>
  <c r="AY367" i="5"/>
  <c r="BA370" i="5"/>
  <c r="AR409" i="5"/>
  <c r="AR425" i="5"/>
  <c r="AF407" i="5"/>
  <c r="BA366" i="5"/>
  <c r="BA425" i="5"/>
  <c r="BA378" i="5"/>
  <c r="BA382" i="5"/>
  <c r="BA410" i="5"/>
  <c r="AY366" i="5"/>
  <c r="AZ425" i="5"/>
  <c r="AZ367" i="5"/>
  <c r="AR393" i="5"/>
  <c r="AF419" i="5"/>
  <c r="AL43" i="5"/>
  <c r="AL59" i="5"/>
  <c r="AR46" i="5"/>
  <c r="AR62" i="5"/>
  <c r="AL424" i="5"/>
  <c r="AR401" i="5"/>
  <c r="AX389" i="5"/>
  <c r="AX405" i="5"/>
  <c r="AX421" i="5"/>
  <c r="AF291" i="5"/>
  <c r="AF307" i="5"/>
  <c r="AF375" i="5"/>
  <c r="AR417" i="5"/>
  <c r="AR385" i="5"/>
  <c r="AR397" i="5"/>
  <c r="AL71" i="5"/>
  <c r="AR389" i="5"/>
  <c r="AX388" i="5"/>
  <c r="AX404" i="5"/>
  <c r="AX420" i="5"/>
  <c r="AR217" i="5"/>
  <c r="AL380" i="5"/>
  <c r="AL218" i="5"/>
  <c r="AL150" i="5"/>
  <c r="AL167" i="5"/>
  <c r="AL183" i="5"/>
  <c r="AR413" i="5"/>
  <c r="AX44" i="5"/>
  <c r="AX60" i="5"/>
  <c r="AX76" i="5"/>
  <c r="AL418" i="5"/>
  <c r="AL314" i="5"/>
  <c r="AR405" i="5"/>
  <c r="AR64" i="5"/>
  <c r="AR261" i="5"/>
  <c r="AX72" i="5"/>
  <c r="AX169" i="5"/>
  <c r="AX385" i="5"/>
  <c r="AX401" i="5"/>
  <c r="AX417" i="5"/>
  <c r="AR76" i="5"/>
  <c r="AL381" i="5"/>
  <c r="Z56" i="5"/>
  <c r="AX181" i="5"/>
  <c r="AR44" i="5"/>
  <c r="AR253" i="5"/>
  <c r="AX64" i="5"/>
  <c r="AX80" i="5"/>
  <c r="AR60" i="5"/>
  <c r="AR72" i="5"/>
  <c r="AR293" i="5"/>
  <c r="AR309" i="5"/>
  <c r="AL377" i="5"/>
  <c r="AL400" i="5"/>
  <c r="AR169" i="5"/>
  <c r="AR258" i="5"/>
  <c r="AX393" i="5"/>
  <c r="AX409" i="5"/>
  <c r="AX425" i="5"/>
  <c r="Z354" i="5"/>
  <c r="AF403" i="5"/>
  <c r="AL75" i="5"/>
  <c r="AF251" i="5"/>
  <c r="AF370" i="5"/>
  <c r="AF384" i="5"/>
  <c r="AF423" i="5"/>
  <c r="AL296" i="5"/>
  <c r="AL388" i="5"/>
  <c r="AR306" i="5"/>
  <c r="AX377" i="5"/>
  <c r="AF220" i="5"/>
  <c r="AF347" i="5"/>
  <c r="AR52" i="5"/>
  <c r="AR116" i="5"/>
  <c r="AR181" i="5"/>
  <c r="AR80" i="5"/>
  <c r="AR177" i="5"/>
  <c r="AR305" i="5"/>
  <c r="AX373" i="5"/>
  <c r="Z421" i="5"/>
  <c r="Z40" i="5"/>
  <c r="AR297" i="5"/>
  <c r="AX116" i="5"/>
  <c r="AX177" i="5"/>
  <c r="AX397" i="5"/>
  <c r="AX413" i="5"/>
  <c r="Z70" i="5"/>
  <c r="AR294" i="5"/>
  <c r="AR310" i="5"/>
  <c r="AL180" i="5"/>
  <c r="AL304" i="5"/>
  <c r="AL396" i="5"/>
  <c r="AR342" i="5"/>
  <c r="AX52" i="5"/>
  <c r="AX349" i="5"/>
  <c r="AX381" i="5"/>
  <c r="AL172" i="5"/>
  <c r="AL416" i="5"/>
  <c r="Z152" i="5"/>
  <c r="AR254" i="5"/>
  <c r="AR286" i="5"/>
  <c r="AX168" i="5"/>
  <c r="Z341" i="5"/>
  <c r="Z48" i="5"/>
  <c r="AX119" i="5"/>
  <c r="AX151" i="5"/>
  <c r="AX369" i="5"/>
  <c r="AX384" i="5"/>
  <c r="AX400" i="5"/>
  <c r="AX416" i="5"/>
  <c r="AF371" i="5"/>
  <c r="AF394" i="5"/>
  <c r="AF408" i="5"/>
  <c r="AF418" i="5"/>
  <c r="AL404" i="5"/>
  <c r="AR216" i="5"/>
  <c r="AX398" i="5"/>
  <c r="AL399" i="5"/>
  <c r="AR218" i="5"/>
  <c r="AR314" i="5"/>
  <c r="AL312" i="5"/>
  <c r="AL392" i="5"/>
  <c r="AL420" i="5"/>
  <c r="Z157" i="5"/>
  <c r="AX71" i="5"/>
  <c r="AF304" i="5"/>
  <c r="AF391" i="5"/>
  <c r="AR380" i="5"/>
  <c r="AR424" i="5"/>
  <c r="AX304" i="5"/>
  <c r="AF295" i="5"/>
  <c r="AF305" i="5"/>
  <c r="AF311" i="5"/>
  <c r="AL408" i="5"/>
  <c r="AF379" i="5"/>
  <c r="AL51" i="5"/>
  <c r="AL67" i="5"/>
  <c r="AL47" i="5"/>
  <c r="AL151" i="5"/>
  <c r="AL168" i="5"/>
  <c r="AL383" i="5"/>
  <c r="AL412" i="5"/>
  <c r="Z184" i="5"/>
  <c r="AX406" i="5"/>
  <c r="AX422" i="5"/>
  <c r="Z221" i="5"/>
  <c r="Z245" i="5"/>
  <c r="AF223" i="5"/>
  <c r="AF255" i="5"/>
  <c r="AF303" i="5"/>
  <c r="AL83" i="5"/>
  <c r="AL115" i="5"/>
  <c r="Z336" i="5"/>
  <c r="AF253" i="5"/>
  <c r="AL79" i="5"/>
  <c r="AL119" i="5"/>
  <c r="AL384" i="5"/>
  <c r="AF383" i="5"/>
  <c r="AF415" i="5"/>
  <c r="AL63" i="5"/>
  <c r="AF63" i="5"/>
  <c r="AF119" i="5"/>
  <c r="Z60" i="5"/>
  <c r="AR403" i="5"/>
  <c r="AR415" i="5"/>
  <c r="Z215" i="5"/>
  <c r="Z291" i="5"/>
  <c r="Z307" i="5"/>
  <c r="Z335" i="5"/>
  <c r="AF59" i="5"/>
  <c r="AL251" i="5"/>
  <c r="AL311" i="5"/>
  <c r="AL379" i="5"/>
  <c r="AR400" i="5"/>
  <c r="Z261" i="5"/>
  <c r="Z277" i="5"/>
  <c r="Z293" i="5"/>
  <c r="Z317" i="5"/>
  <c r="Z218" i="5"/>
  <c r="Z251" i="5"/>
  <c r="Z279" i="5"/>
  <c r="Z333" i="5"/>
  <c r="AF261" i="5"/>
  <c r="AF293" i="5"/>
  <c r="AF309" i="5"/>
  <c r="AL295" i="5"/>
  <c r="AX394" i="5"/>
  <c r="Z213" i="5"/>
  <c r="Z253" i="5"/>
  <c r="Z285" i="5"/>
  <c r="Z301" i="5"/>
  <c r="Z309" i="5"/>
  <c r="Z219" i="5"/>
  <c r="Z295" i="5"/>
  <c r="Z311" i="5"/>
  <c r="B75" i="16"/>
  <c r="B77" i="16" s="1"/>
  <c r="AF71" i="5"/>
  <c r="AX49" i="5"/>
  <c r="AX65" i="5"/>
  <c r="AX170" i="5"/>
  <c r="Z55" i="5"/>
  <c r="AR391" i="5"/>
  <c r="Z111" i="5"/>
  <c r="Z31" i="5"/>
  <c r="Z47" i="5"/>
  <c r="Z67" i="5"/>
  <c r="AR308" i="5"/>
  <c r="AF216" i="5"/>
  <c r="AX121" i="5"/>
  <c r="AF396" i="5"/>
  <c r="Z39" i="5"/>
  <c r="Z71" i="5"/>
  <c r="AX81" i="5"/>
  <c r="AF47" i="5"/>
  <c r="AF79" i="5"/>
  <c r="AL375" i="5"/>
  <c r="AR150" i="5"/>
  <c r="AR167" i="5"/>
  <c r="AR183" i="5"/>
  <c r="AX73" i="5"/>
  <c r="AX178" i="5"/>
  <c r="Z103" i="5"/>
  <c r="Z119" i="5"/>
  <c r="AF420" i="5"/>
  <c r="AL70" i="5"/>
  <c r="AL78" i="5"/>
  <c r="AL118" i="5"/>
  <c r="AL307" i="5"/>
  <c r="Z161" i="5"/>
  <c r="AR70" i="5"/>
  <c r="AR78" i="5"/>
  <c r="AR118" i="5"/>
  <c r="AR256" i="5"/>
  <c r="AR304" i="5"/>
  <c r="AR376" i="5"/>
  <c r="AR419" i="5"/>
  <c r="Z180" i="5"/>
  <c r="AX180" i="5"/>
  <c r="AX410" i="5"/>
  <c r="Z30" i="5"/>
  <c r="Z394" i="5"/>
  <c r="AF402" i="5"/>
  <c r="Z338" i="5"/>
  <c r="AL49" i="5"/>
  <c r="AL394" i="5"/>
  <c r="Z275" i="5"/>
  <c r="AF308" i="5"/>
  <c r="AF388" i="5"/>
  <c r="AF412" i="5"/>
  <c r="Z280" i="5"/>
  <c r="AR395" i="5"/>
  <c r="AX83" i="5"/>
  <c r="AX115" i="5"/>
  <c r="AX390" i="5"/>
  <c r="Z247" i="5"/>
  <c r="Z351" i="5"/>
  <c r="AF382" i="5"/>
  <c r="AL74" i="5"/>
  <c r="AL82" i="5"/>
  <c r="AL114" i="5"/>
  <c r="AL291" i="5"/>
  <c r="AL347" i="5"/>
  <c r="Z80" i="5"/>
  <c r="Z108" i="5"/>
  <c r="Z140" i="5"/>
  <c r="AR179" i="5"/>
  <c r="AR296" i="5"/>
  <c r="AR312" i="5"/>
  <c r="AR416" i="5"/>
  <c r="AF172" i="5"/>
  <c r="AX51" i="5"/>
  <c r="AX67" i="5"/>
  <c r="Z420" i="5"/>
  <c r="AF369" i="5"/>
  <c r="Z305" i="5"/>
  <c r="Z364" i="5"/>
  <c r="Z369" i="5"/>
  <c r="AR42" i="5"/>
  <c r="AR50" i="5"/>
  <c r="AR58" i="5"/>
  <c r="AR66" i="5"/>
  <c r="AL50" i="5"/>
  <c r="AL171" i="5"/>
  <c r="AL179" i="5"/>
  <c r="Z214" i="5"/>
  <c r="Z402" i="5"/>
  <c r="Z299" i="5"/>
  <c r="Z315" i="5"/>
  <c r="Z331" i="5"/>
  <c r="Z384" i="5"/>
  <c r="Z413" i="5"/>
  <c r="Z418" i="5"/>
  <c r="AF286" i="5"/>
  <c r="Z308" i="5"/>
  <c r="Z243" i="5"/>
  <c r="Z259" i="5"/>
  <c r="AL42" i="5"/>
  <c r="AL66" i="5"/>
  <c r="Z182" i="5"/>
  <c r="Z209" i="5"/>
  <c r="Z217" i="5"/>
  <c r="Z223" i="5"/>
  <c r="Z255" i="5"/>
  <c r="Z283" i="5"/>
  <c r="Z359" i="5"/>
  <c r="Z63" i="5"/>
  <c r="Z79" i="5"/>
  <c r="Z43" i="5"/>
  <c r="Z51" i="5"/>
  <c r="Z75" i="5"/>
  <c r="Z83" i="5"/>
  <c r="Z203" i="5"/>
  <c r="AL223" i="5"/>
  <c r="AL255" i="5"/>
  <c r="Z104" i="5"/>
  <c r="Z112" i="5"/>
  <c r="AR384" i="5"/>
  <c r="AX386" i="5"/>
  <c r="AF217" i="5"/>
  <c r="AF297" i="5"/>
  <c r="Z304" i="5"/>
  <c r="AL371" i="5"/>
  <c r="Z120" i="5"/>
  <c r="Z207" i="5"/>
  <c r="AL58" i="5"/>
  <c r="AX414" i="5"/>
  <c r="Z297" i="5"/>
  <c r="Z385" i="5"/>
  <c r="AF177" i="5"/>
  <c r="Z388" i="5"/>
  <c r="Z340" i="5"/>
  <c r="Z348" i="5"/>
  <c r="Z332" i="5"/>
  <c r="Z313" i="5"/>
  <c r="AX53" i="5"/>
  <c r="AX69" i="5"/>
  <c r="Z35" i="5"/>
  <c r="AX45" i="5"/>
  <c r="AX61" i="5"/>
  <c r="AX77" i="5"/>
  <c r="AX182" i="5"/>
  <c r="AX402" i="5"/>
  <c r="AX418" i="5"/>
  <c r="Z260" i="5"/>
  <c r="Z276" i="5"/>
  <c r="Z400" i="5"/>
  <c r="AF83" i="5"/>
  <c r="AL303" i="5"/>
  <c r="AL378" i="5"/>
  <c r="AL414" i="5"/>
  <c r="AR220" i="5"/>
  <c r="AR252" i="5"/>
  <c r="Z145" i="5"/>
  <c r="AX47" i="5"/>
  <c r="AX63" i="5"/>
  <c r="AX79" i="5"/>
  <c r="AX117" i="5"/>
  <c r="AX149" i="5"/>
  <c r="Z38" i="5"/>
  <c r="Z303" i="5"/>
  <c r="Z339" i="5"/>
  <c r="AL386" i="5"/>
  <c r="AF51" i="5"/>
  <c r="AL310" i="5"/>
  <c r="AR387" i="5"/>
  <c r="Z220" i="5"/>
  <c r="Z292" i="5"/>
  <c r="Z282" i="5"/>
  <c r="Z102" i="5"/>
  <c r="Z378" i="5"/>
  <c r="AF67" i="5"/>
  <c r="AX396" i="5"/>
  <c r="AX412" i="5"/>
  <c r="Z383" i="5"/>
  <c r="Z414" i="5"/>
  <c r="Z373" i="5"/>
  <c r="Z417" i="5"/>
  <c r="Z396" i="5"/>
  <c r="AF256" i="5"/>
  <c r="AF75" i="5"/>
  <c r="AF115" i="5"/>
  <c r="Z224" i="5"/>
  <c r="Z256" i="5"/>
  <c r="Z300" i="5"/>
  <c r="Z310" i="5"/>
  <c r="Z353" i="5"/>
  <c r="AF378" i="5"/>
  <c r="AF400" i="5"/>
  <c r="Z412" i="5"/>
  <c r="Z362" i="5"/>
  <c r="Z212" i="5"/>
  <c r="Z160" i="5"/>
  <c r="Z44" i="5"/>
  <c r="Z76" i="5"/>
  <c r="Z169" i="5"/>
  <c r="Z168" i="5"/>
  <c r="Z42" i="5"/>
  <c r="Z58" i="5"/>
  <c r="Z167" i="5"/>
  <c r="Z205" i="5"/>
  <c r="Z381" i="5"/>
  <c r="AF296" i="5"/>
  <c r="AF312" i="5"/>
  <c r="AF386" i="5"/>
  <c r="AF424" i="5"/>
  <c r="AL402" i="5"/>
  <c r="Z151" i="5"/>
  <c r="AX43" i="5"/>
  <c r="AX59" i="5"/>
  <c r="AX75" i="5"/>
  <c r="Z278" i="5"/>
  <c r="Z347" i="5"/>
  <c r="Z357" i="5"/>
  <c r="Z395" i="5"/>
  <c r="Z393" i="5"/>
  <c r="Z185" i="5"/>
  <c r="Z244" i="5"/>
  <c r="Z380" i="5"/>
  <c r="AL406" i="5"/>
  <c r="AL410" i="5"/>
  <c r="AX415" i="5"/>
  <c r="AF46" i="5"/>
  <c r="AR51" i="5"/>
  <c r="AF62" i="5"/>
  <c r="AX286" i="5"/>
  <c r="AX294" i="5"/>
  <c r="AX308" i="5"/>
  <c r="AX314" i="5"/>
  <c r="AL411" i="5"/>
  <c r="AL415" i="5"/>
  <c r="AL421" i="5"/>
  <c r="AF43" i="5"/>
  <c r="AF117" i="5"/>
  <c r="Z117" i="5"/>
  <c r="Z149" i="5"/>
  <c r="AF218" i="5"/>
  <c r="AF73" i="5"/>
  <c r="AF81" i="5"/>
  <c r="AF368" i="5"/>
  <c r="AR371" i="5"/>
  <c r="AR373" i="5"/>
  <c r="AR83" i="5"/>
  <c r="AX220" i="5"/>
  <c r="AX310" i="5"/>
  <c r="AL409" i="5"/>
  <c r="Z147" i="5"/>
  <c r="Z29" i="5"/>
  <c r="Z202" i="5"/>
  <c r="AL45" i="5"/>
  <c r="AL61" i="5"/>
  <c r="AL65" i="5"/>
  <c r="AL69" i="5"/>
  <c r="AX82" i="5"/>
  <c r="AX150" i="5"/>
  <c r="Z286" i="5"/>
  <c r="AR291" i="5"/>
  <c r="AR295" i="5"/>
  <c r="AR303" i="5"/>
  <c r="AR307" i="5"/>
  <c r="AR311" i="5"/>
  <c r="Z367" i="5"/>
  <c r="Z375" i="5"/>
  <c r="AL342" i="5"/>
  <c r="AF114" i="5"/>
  <c r="AR117" i="5"/>
  <c r="AR172" i="5"/>
  <c r="AR180" i="5"/>
  <c r="AX296" i="5"/>
  <c r="Z405" i="5"/>
  <c r="Z401" i="5"/>
  <c r="Z59" i="5"/>
  <c r="Z172" i="5"/>
  <c r="Z74" i="5"/>
  <c r="Z106" i="5"/>
  <c r="Z370" i="5"/>
  <c r="Z296" i="5"/>
  <c r="Z312" i="5"/>
  <c r="Z398" i="5"/>
  <c r="Z416" i="5"/>
  <c r="Z424" i="5"/>
  <c r="Z216" i="5"/>
  <c r="AF45" i="5"/>
  <c r="AF53" i="5"/>
  <c r="Z170" i="5"/>
  <c r="AX42" i="5"/>
  <c r="Z306" i="5"/>
  <c r="Z371" i="5"/>
  <c r="Z376" i="5"/>
  <c r="Z379" i="5"/>
  <c r="AF421" i="5"/>
  <c r="AF425" i="5"/>
  <c r="AX371" i="5"/>
  <c r="AL374" i="5"/>
  <c r="AL376" i="5"/>
  <c r="AX395" i="5"/>
  <c r="AX374" i="5"/>
  <c r="Z53" i="5"/>
  <c r="Z115" i="5"/>
  <c r="Z150" i="5"/>
  <c r="AF381" i="5"/>
  <c r="AF393" i="5"/>
  <c r="AF401" i="5"/>
  <c r="AR412" i="5"/>
  <c r="AR420" i="5"/>
  <c r="Z64" i="5"/>
  <c r="Z171" i="5"/>
  <c r="Z389" i="5"/>
  <c r="Z360" i="5"/>
  <c r="Z397" i="5"/>
  <c r="Z204" i="5"/>
  <c r="AL44" i="5"/>
  <c r="AL60" i="5"/>
  <c r="AL76" i="5"/>
  <c r="AL169" i="5"/>
  <c r="AR74" i="5"/>
  <c r="AR82" i="5"/>
  <c r="AR114" i="5"/>
  <c r="AR171" i="5"/>
  <c r="Z49" i="5"/>
  <c r="Z54" i="5"/>
  <c r="Z121" i="5"/>
  <c r="AF182" i="5"/>
  <c r="Z81" i="5"/>
  <c r="AX167" i="5"/>
  <c r="AX217" i="5"/>
  <c r="Z386" i="5"/>
  <c r="AF50" i="5"/>
  <c r="AF342" i="5"/>
  <c r="AF374" i="5"/>
  <c r="AX370" i="5"/>
  <c r="AL401" i="5"/>
  <c r="AL423" i="5"/>
  <c r="AL398" i="5"/>
  <c r="Z72" i="5"/>
  <c r="Z177" i="5"/>
  <c r="AX172" i="5"/>
  <c r="AX392" i="5"/>
  <c r="AX408" i="5"/>
  <c r="AX424" i="5"/>
  <c r="Z242" i="5"/>
  <c r="Z352" i="5"/>
  <c r="AR386" i="5"/>
  <c r="AF395" i="5"/>
  <c r="AF399" i="5"/>
  <c r="AF409" i="5"/>
  <c r="AF413" i="5"/>
  <c r="AR418" i="5"/>
  <c r="AR422" i="5"/>
  <c r="Z404" i="5"/>
  <c r="Z408" i="5"/>
  <c r="AF398" i="5"/>
  <c r="AF404" i="5"/>
  <c r="Z139" i="5"/>
  <c r="Z118" i="5"/>
  <c r="AL370" i="5"/>
  <c r="Z57" i="5"/>
  <c r="Z153" i="5"/>
  <c r="Z138" i="5"/>
  <c r="Z222" i="5"/>
  <c r="Z372" i="5"/>
  <c r="Z406" i="5"/>
  <c r="Z422" i="5"/>
  <c r="AF118" i="5"/>
  <c r="Z392" i="5"/>
  <c r="Z374" i="5"/>
  <c r="AF181" i="5"/>
  <c r="AF252" i="5"/>
  <c r="AF392" i="5"/>
  <c r="AF416" i="5"/>
  <c r="AR47" i="5"/>
  <c r="AR49" i="5"/>
  <c r="AR53" i="5"/>
  <c r="AR65" i="5"/>
  <c r="AR69" i="5"/>
  <c r="AL64" i="5"/>
  <c r="AL72" i="5"/>
  <c r="AL80" i="5"/>
  <c r="AX66" i="5"/>
  <c r="AX70" i="5"/>
  <c r="AL252" i="5"/>
  <c r="AL254" i="5"/>
  <c r="Z294" i="5"/>
  <c r="AL294" i="5"/>
  <c r="Z77" i="5"/>
  <c r="Z113" i="5"/>
  <c r="Z178" i="5"/>
  <c r="AF49" i="5"/>
  <c r="AF77" i="5"/>
  <c r="Z164" i="5"/>
  <c r="AX118" i="5"/>
  <c r="Z155" i="5"/>
  <c r="AF294" i="5"/>
  <c r="AF306" i="5"/>
  <c r="AF310" i="5"/>
  <c r="AF314" i="5"/>
  <c r="AR367" i="5"/>
  <c r="AR369" i="5"/>
  <c r="Z183" i="5"/>
  <c r="AF349" i="5"/>
  <c r="Z377" i="5"/>
  <c r="AX347" i="5"/>
  <c r="AX375" i="5"/>
  <c r="AX403" i="5"/>
  <c r="AX407" i="5"/>
  <c r="AX411" i="5"/>
  <c r="Z66" i="5"/>
  <c r="AF70" i="5"/>
  <c r="Z142" i="5"/>
  <c r="AF167" i="5"/>
  <c r="AR178" i="5"/>
  <c r="AR182" i="5"/>
  <c r="AR388" i="5"/>
  <c r="AL121" i="5"/>
  <c r="Z141" i="5"/>
  <c r="AL149" i="5"/>
  <c r="AX253" i="5"/>
  <c r="AL256" i="5"/>
  <c r="AL308" i="5"/>
  <c r="AL389" i="5"/>
  <c r="AL407" i="5"/>
  <c r="AL425" i="5"/>
  <c r="AX383" i="5"/>
  <c r="Z32" i="5"/>
  <c r="Z36" i="5"/>
  <c r="AR45" i="5"/>
  <c r="AR63" i="5"/>
  <c r="AR67" i="5"/>
  <c r="AF78" i="5"/>
  <c r="Z82" i="5"/>
  <c r="Z356" i="5"/>
  <c r="Z368" i="5"/>
  <c r="Z403" i="5"/>
  <c r="AL286" i="5"/>
  <c r="AX297" i="5"/>
  <c r="AL306" i="5"/>
  <c r="AX309" i="5"/>
  <c r="AF390" i="5"/>
  <c r="Z349" i="5"/>
  <c r="AF385" i="5"/>
  <c r="AR392" i="5"/>
  <c r="AF397" i="5"/>
  <c r="AF405" i="5"/>
  <c r="AF411" i="5"/>
  <c r="AF417" i="5"/>
  <c r="AX306" i="5"/>
  <c r="AL405" i="5"/>
  <c r="AL419" i="5"/>
  <c r="Z240" i="5"/>
  <c r="AL382" i="5"/>
  <c r="AL413" i="5"/>
  <c r="AL417" i="5"/>
  <c r="Z365" i="5"/>
  <c r="Z366" i="5"/>
  <c r="Z116" i="5"/>
  <c r="Z387" i="5"/>
  <c r="AF180" i="5"/>
  <c r="Z34" i="5"/>
  <c r="Z52" i="5"/>
  <c r="Z241" i="5"/>
  <c r="Z143" i="5"/>
  <c r="Z257" i="5"/>
  <c r="AL181" i="5"/>
  <c r="AF61" i="5"/>
  <c r="AF69" i="5"/>
  <c r="Z105" i="5"/>
  <c r="AF149" i="5"/>
  <c r="AF170" i="5"/>
  <c r="Z186" i="5"/>
  <c r="AX46" i="5"/>
  <c r="AX50" i="5"/>
  <c r="AX58" i="5"/>
  <c r="AX62" i="5"/>
  <c r="AL73" i="5"/>
  <c r="AL77" i="5"/>
  <c r="Z101" i="5"/>
  <c r="AX114" i="5"/>
  <c r="Z158" i="5"/>
  <c r="AL170" i="5"/>
  <c r="AL178" i="5"/>
  <c r="AL182" i="5"/>
  <c r="AL220" i="5"/>
  <c r="Z252" i="5"/>
  <c r="Z254" i="5"/>
  <c r="Z284" i="5"/>
  <c r="Z316" i="5"/>
  <c r="AR223" i="5"/>
  <c r="AR251" i="5"/>
  <c r="AR255" i="5"/>
  <c r="Z298" i="5"/>
  <c r="Z314" i="5"/>
  <c r="AR347" i="5"/>
  <c r="AR349" i="5"/>
  <c r="AF376" i="5"/>
  <c r="AR379" i="5"/>
  <c r="AR381" i="5"/>
  <c r="Z390" i="5"/>
  <c r="AR399" i="5"/>
  <c r="AF406" i="5"/>
  <c r="AF410" i="5"/>
  <c r="AF414" i="5"/>
  <c r="AF422" i="5"/>
  <c r="AR61" i="5"/>
  <c r="AR170" i="5"/>
  <c r="AF183" i="5"/>
  <c r="AF377" i="5"/>
  <c r="AX252" i="5"/>
  <c r="AX256" i="5"/>
  <c r="AX342" i="5"/>
  <c r="AX366" i="5"/>
  <c r="Z407" i="5"/>
  <c r="Z425" i="5"/>
  <c r="AL366" i="5"/>
  <c r="AL368" i="5"/>
  <c r="Z382" i="5"/>
  <c r="AL390" i="5"/>
  <c r="AX399" i="5"/>
  <c r="Z410" i="5"/>
  <c r="AX419" i="5"/>
  <c r="AX423" i="5"/>
  <c r="Z46" i="5"/>
  <c r="AF58" i="5"/>
  <c r="Z62" i="5"/>
  <c r="AF66" i="5"/>
  <c r="AF74" i="5"/>
  <c r="AR77" i="5"/>
  <c r="AR81" i="5"/>
  <c r="AF116" i="5"/>
  <c r="AR151" i="5"/>
  <c r="AR168" i="5"/>
  <c r="Z181" i="5"/>
  <c r="AF387" i="5"/>
  <c r="AR394" i="5"/>
  <c r="AR404" i="5"/>
  <c r="AR408" i="5"/>
  <c r="AX216" i="5"/>
  <c r="AX258" i="5"/>
  <c r="AX378" i="5"/>
  <c r="AX382" i="5"/>
  <c r="AL387" i="5"/>
  <c r="AL393" i="5"/>
  <c r="AL397" i="5"/>
  <c r="Z415" i="5"/>
  <c r="Z350" i="5"/>
  <c r="AF151" i="5"/>
  <c r="AF168" i="5"/>
  <c r="AR43" i="5"/>
  <c r="AF52" i="5"/>
  <c r="AR71" i="5"/>
  <c r="Z78" i="5"/>
  <c r="AF82" i="5"/>
  <c r="Z114" i="5"/>
  <c r="Z148" i="5"/>
  <c r="Z165" i="5"/>
  <c r="AX368" i="5"/>
  <c r="AX376" i="5"/>
  <c r="AL403" i="5"/>
  <c r="AL81" i="5"/>
  <c r="AL216" i="5"/>
  <c r="Z41" i="5"/>
  <c r="Z37" i="5"/>
  <c r="Z109" i="5"/>
  <c r="Z258" i="5"/>
  <c r="AX305" i="5"/>
  <c r="Z250" i="5"/>
  <c r="Z179" i="5"/>
  <c r="Z355" i="5"/>
  <c r="Z358" i="5"/>
  <c r="Z50" i="5"/>
  <c r="Z68" i="5"/>
  <c r="Z391" i="5"/>
  <c r="Z84" i="5"/>
  <c r="Z110" i="5"/>
  <c r="AR398" i="5"/>
  <c r="AR402" i="5"/>
  <c r="AR414" i="5"/>
  <c r="Z399" i="5"/>
  <c r="AX218" i="5"/>
  <c r="AX312" i="5"/>
  <c r="Z423" i="5"/>
  <c r="AL52" i="5"/>
  <c r="AL116" i="5"/>
  <c r="AL177" i="5"/>
  <c r="AF65" i="5"/>
  <c r="Z73" i="5"/>
  <c r="AF121" i="5"/>
  <c r="AF178" i="5"/>
  <c r="Z33" i="5"/>
  <c r="Z45" i="5"/>
  <c r="AL53" i="5"/>
  <c r="Z61" i="5"/>
  <c r="Z65" i="5"/>
  <c r="Z69" i="5"/>
  <c r="AX74" i="5"/>
  <c r="AX78" i="5"/>
  <c r="AL117" i="5"/>
  <c r="Z162" i="5"/>
  <c r="Z166" i="5"/>
  <c r="AX171" i="5"/>
  <c r="AX179" i="5"/>
  <c r="AX183" i="5"/>
  <c r="Z206" i="5"/>
  <c r="AL258" i="5"/>
  <c r="AX261" i="5"/>
  <c r="AX293" i="5"/>
  <c r="AF254" i="5"/>
  <c r="AF258" i="5"/>
  <c r="Z363" i="5"/>
  <c r="AR375" i="5"/>
  <c r="AR377" i="5"/>
  <c r="AF380" i="5"/>
  <c r="AR383" i="5"/>
  <c r="AR407" i="5"/>
  <c r="AR411" i="5"/>
  <c r="AR423" i="5"/>
  <c r="AR59" i="5"/>
  <c r="AR73" i="5"/>
  <c r="AR119" i="5"/>
  <c r="AF169" i="5"/>
  <c r="AF179" i="5"/>
  <c r="Z361" i="5"/>
  <c r="AF373" i="5"/>
  <c r="Z411" i="5"/>
  <c r="AX254" i="5"/>
  <c r="Z419" i="5"/>
  <c r="Z334" i="5"/>
  <c r="Z342" i="5"/>
  <c r="AX367" i="5"/>
  <c r="AX379" i="5"/>
  <c r="AX387" i="5"/>
  <c r="AX391" i="5"/>
  <c r="AL422" i="5"/>
  <c r="AF60" i="5"/>
  <c r="AF64" i="5"/>
  <c r="AF72" i="5"/>
  <c r="AR75" i="5"/>
  <c r="AR79" i="5"/>
  <c r="AR121" i="5"/>
  <c r="AR149" i="5"/>
  <c r="AF171" i="5"/>
  <c r="AF389" i="5"/>
  <c r="AR396" i="5"/>
  <c r="AR406" i="5"/>
  <c r="AX380" i="5"/>
  <c r="AL385" i="5"/>
  <c r="AL391" i="5"/>
  <c r="AL395" i="5"/>
  <c r="Z409" i="5"/>
  <c r="AF42" i="5"/>
  <c r="AF44" i="5"/>
  <c r="AF76" i="5"/>
  <c r="AF80" i="5"/>
  <c r="AR115" i="5"/>
  <c r="Z146" i="5"/>
  <c r="AF150" i="5"/>
  <c r="Z163" i="5"/>
  <c r="Z159" i="5"/>
  <c r="C73" i="16"/>
  <c r="B6" i="16"/>
  <c r="C45" i="16"/>
  <c r="AC9" i="16"/>
  <c r="B82" i="16"/>
  <c r="T5" i="16"/>
  <c r="K6" i="16"/>
  <c r="K9" i="16"/>
  <c r="B53" i="16"/>
  <c r="B46" i="16"/>
  <c r="F21" i="16"/>
  <c r="N73" i="16"/>
  <c r="N54" i="16"/>
  <c r="S21" i="16"/>
  <c r="N45" i="16"/>
  <c r="U21" i="16"/>
  <c r="N56" i="16"/>
  <c r="AC6" i="16"/>
  <c r="B83" i="16"/>
  <c r="AC5" i="16"/>
  <c r="T9" i="16"/>
  <c r="BC388" i="5" l="1"/>
  <c r="T6" i="16"/>
  <c r="BC379" i="5"/>
  <c r="BC404" i="5"/>
  <c r="BC387" i="5"/>
  <c r="BC407" i="5"/>
  <c r="BC371" i="5"/>
  <c r="BC423" i="5"/>
  <c r="BC370" i="5"/>
  <c r="BC419" i="5"/>
  <c r="BC376" i="5"/>
  <c r="BC385" i="5"/>
  <c r="BC409" i="5"/>
  <c r="BC375" i="5"/>
  <c r="BC395" i="5"/>
  <c r="BC374" i="5"/>
  <c r="BC400" i="5"/>
  <c r="BC405" i="5"/>
  <c r="BC389" i="5"/>
  <c r="BC401" i="5"/>
  <c r="BC399" i="5"/>
  <c r="BC420" i="5"/>
  <c r="BC382" i="5"/>
  <c r="BC369" i="5"/>
  <c r="BC424" i="5"/>
  <c r="BC412" i="5"/>
  <c r="BC411" i="5"/>
  <c r="BC383" i="5"/>
  <c r="BC402" i="5"/>
  <c r="BC417" i="5"/>
  <c r="BC406" i="5"/>
  <c r="BC391" i="5"/>
  <c r="BC392" i="5"/>
  <c r="BC380" i="5"/>
  <c r="BC408" i="5"/>
  <c r="BC415" i="5"/>
  <c r="BC396" i="5"/>
  <c r="BC422" i="5"/>
  <c r="BC394" i="5"/>
  <c r="BC393" i="5"/>
  <c r="BC414" i="5"/>
  <c r="BC397" i="5"/>
  <c r="BC384" i="5"/>
  <c r="BC416" i="5"/>
  <c r="BC403" i="5"/>
  <c r="BC418" i="5"/>
  <c r="BC386" i="5"/>
  <c r="BC381" i="5"/>
  <c r="BC413" i="5"/>
  <c r="BC390" i="5"/>
  <c r="BC368" i="5"/>
  <c r="BC398" i="5"/>
  <c r="BC378" i="5"/>
  <c r="BC377" i="5"/>
  <c r="BC373" i="5"/>
  <c r="BC366" i="5"/>
  <c r="BC425" i="5"/>
  <c r="BC421" i="5"/>
  <c r="BC367" i="5"/>
  <c r="BC410" i="5"/>
  <c r="AC8" i="16"/>
  <c r="N83" i="16"/>
  <c r="B54" i="16"/>
  <c r="C46" i="16"/>
  <c r="D46" i="16" s="1"/>
  <c r="E46" i="16" s="1"/>
  <c r="G21" i="16"/>
  <c r="G73" i="16"/>
  <c r="F73" i="16"/>
  <c r="E73" i="16"/>
  <c r="C6" i="16"/>
  <c r="D73" i="16"/>
  <c r="N46" i="16"/>
  <c r="R21" i="16"/>
  <c r="N53" i="16"/>
  <c r="B9" i="16"/>
  <c r="O73" i="16"/>
  <c r="N77" i="16"/>
  <c r="C53" i="16"/>
  <c r="B80" i="16"/>
  <c r="B57" i="16"/>
  <c r="B5" i="16"/>
  <c r="K8" i="16"/>
  <c r="N81" i="16"/>
  <c r="C80" i="16" l="1"/>
  <c r="G53" i="16"/>
  <c r="F53" i="16"/>
  <c r="C5" i="16"/>
  <c r="E53" i="16"/>
  <c r="D53" i="16"/>
  <c r="C54" i="16" s="1"/>
  <c r="E6" i="16"/>
  <c r="Q73" i="16"/>
  <c r="C9" i="16"/>
  <c r="P73" i="16"/>
  <c r="S73" i="16"/>
  <c r="R73" i="16"/>
  <c r="D6" i="16"/>
  <c r="C74" i="16"/>
  <c r="G6" i="16"/>
  <c r="B81" i="16"/>
  <c r="K5" i="16"/>
  <c r="B8" i="16"/>
  <c r="O53" i="16"/>
  <c r="N80" i="16"/>
  <c r="N57" i="16"/>
  <c r="O46" i="16"/>
  <c r="F6" i="16"/>
  <c r="C81" i="16" l="1"/>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R26" i="6" l="1"/>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7" i="15"/>
  <c r="E67" i="15"/>
  <c r="D67" i="15"/>
  <c r="C67" i="15"/>
  <c r="F66" i="15"/>
  <c r="E66" i="15"/>
  <c r="D66" i="15"/>
  <c r="C66" i="15"/>
  <c r="F65" i="15"/>
  <c r="E65" i="15"/>
  <c r="D65" i="15"/>
  <c r="C65"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I36" i="12"/>
  <c r="K36" i="12" s="1"/>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M12" i="12"/>
  <c r="L12" i="12"/>
  <c r="J12" i="12"/>
  <c r="Q11" i="12"/>
  <c r="O11" i="12"/>
  <c r="N11" i="12"/>
  <c r="M11" i="12"/>
  <c r="L11" i="12"/>
  <c r="J11" i="12"/>
  <c r="Q10" i="12"/>
  <c r="O10" i="12"/>
  <c r="N10" i="12"/>
  <c r="M10" i="12"/>
  <c r="L10" i="12"/>
  <c r="J10" i="12"/>
  <c r="N9" i="12"/>
  <c r="M9" i="12"/>
  <c r="J9" i="12"/>
  <c r="I8" i="5"/>
  <c r="J8" i="5"/>
  <c r="K8" i="5"/>
  <c r="H8" i="5"/>
  <c r="V9" i="5"/>
  <c r="W9" i="5"/>
  <c r="R8" i="5"/>
  <c r="L8" i="5"/>
  <c r="G8" i="5"/>
  <c r="D8" i="5"/>
  <c r="AV8" i="5" l="1"/>
  <c r="L15" i="20"/>
  <c r="L19" i="20"/>
  <c r="L23" i="20"/>
  <c r="L27" i="20"/>
  <c r="L31" i="20"/>
  <c r="L35" i="20"/>
  <c r="L39" i="20"/>
  <c r="L46" i="20"/>
  <c r="L50" i="20"/>
  <c r="L54" i="20"/>
  <c r="L58" i="20"/>
  <c r="L62" i="20"/>
  <c r="L66" i="20"/>
  <c r="L70" i="20"/>
  <c r="L74" i="20"/>
  <c r="L78" i="20"/>
  <c r="L82" i="20"/>
  <c r="L86" i="20"/>
  <c r="L90" i="20"/>
  <c r="L94" i="20"/>
  <c r="L98" i="20"/>
  <c r="L102" i="20"/>
  <c r="L106" i="20"/>
  <c r="L110" i="20"/>
  <c r="L114" i="20"/>
  <c r="L118" i="20"/>
  <c r="L122" i="20"/>
  <c r="L126" i="20"/>
  <c r="L130" i="20"/>
  <c r="L134" i="20"/>
  <c r="L138" i="20"/>
  <c r="L142" i="20"/>
  <c r="L146" i="20"/>
  <c r="L150" i="20"/>
  <c r="L154" i="20"/>
  <c r="L158" i="20"/>
  <c r="L162" i="20"/>
  <c r="L166" i="20"/>
  <c r="L170" i="20"/>
  <c r="L174" i="20"/>
  <c r="L178" i="20"/>
  <c r="L16" i="20"/>
  <c r="L20" i="20"/>
  <c r="L24" i="20"/>
  <c r="L28" i="20"/>
  <c r="L32" i="20"/>
  <c r="L36" i="20"/>
  <c r="L40" i="20"/>
  <c r="L47" i="20"/>
  <c r="L51" i="20"/>
  <c r="L55" i="20"/>
  <c r="L59" i="20"/>
  <c r="L63" i="20"/>
  <c r="L67" i="20"/>
  <c r="L71" i="20"/>
  <c r="L75" i="20"/>
  <c r="L79" i="20"/>
  <c r="L83" i="20"/>
  <c r="L87" i="20"/>
  <c r="L91" i="20"/>
  <c r="L95" i="20"/>
  <c r="L99" i="20"/>
  <c r="L103" i="20"/>
  <c r="L107" i="20"/>
  <c r="L111" i="20"/>
  <c r="L115" i="20"/>
  <c r="L119" i="20"/>
  <c r="L123" i="20"/>
  <c r="L127" i="20"/>
  <c r="L131" i="20"/>
  <c r="L135" i="20"/>
  <c r="L139" i="20"/>
  <c r="L143" i="20"/>
  <c r="L147" i="20"/>
  <c r="L151" i="20"/>
  <c r="L155" i="20"/>
  <c r="L159" i="20"/>
  <c r="L163" i="20"/>
  <c r="L167" i="20"/>
  <c r="L171" i="20"/>
  <c r="L175" i="20"/>
  <c r="L179" i="20"/>
  <c r="L14" i="20"/>
  <c r="L22" i="20"/>
  <c r="L30" i="20"/>
  <c r="L38" i="20"/>
  <c r="L49" i="20"/>
  <c r="L61" i="20"/>
  <c r="L69" i="20"/>
  <c r="L77" i="20"/>
  <c r="L85" i="20"/>
  <c r="L89" i="20"/>
  <c r="L97" i="20"/>
  <c r="L105" i="20"/>
  <c r="L113" i="20"/>
  <c r="L121" i="20"/>
  <c r="L129" i="20"/>
  <c r="L137" i="20"/>
  <c r="L149" i="20"/>
  <c r="L157" i="20"/>
  <c r="L161" i="20"/>
  <c r="L173" i="20"/>
  <c r="L17" i="20"/>
  <c r="L21" i="20"/>
  <c r="L25" i="20"/>
  <c r="L29" i="20"/>
  <c r="L33" i="20"/>
  <c r="L37" i="20"/>
  <c r="L44" i="20"/>
  <c r="L48" i="20"/>
  <c r="L52" i="20"/>
  <c r="L56" i="20"/>
  <c r="L60" i="20"/>
  <c r="L64" i="20"/>
  <c r="L68" i="20"/>
  <c r="L72" i="20"/>
  <c r="L76" i="20"/>
  <c r="L80" i="20"/>
  <c r="L84" i="20"/>
  <c r="L88" i="20"/>
  <c r="L92" i="20"/>
  <c r="L96" i="20"/>
  <c r="L100" i="20"/>
  <c r="L104" i="20"/>
  <c r="L108" i="20"/>
  <c r="L112" i="20"/>
  <c r="L116" i="20"/>
  <c r="L120" i="20"/>
  <c r="L124" i="20"/>
  <c r="L128" i="20"/>
  <c r="L132" i="20"/>
  <c r="L136" i="20"/>
  <c r="L140" i="20"/>
  <c r="L144" i="20"/>
  <c r="L148" i="20"/>
  <c r="L152" i="20"/>
  <c r="L156" i="20"/>
  <c r="L160" i="20"/>
  <c r="L164" i="20"/>
  <c r="L168" i="20"/>
  <c r="L172" i="20"/>
  <c r="L176" i="20"/>
  <c r="L180" i="20"/>
  <c r="L18" i="20"/>
  <c r="L26" i="20"/>
  <c r="L34" i="20"/>
  <c r="L45" i="20"/>
  <c r="L53" i="20"/>
  <c r="L57" i="20"/>
  <c r="L65" i="20"/>
  <c r="L73" i="20"/>
  <c r="L81" i="20"/>
  <c r="L93" i="20"/>
  <c r="L101" i="20"/>
  <c r="L109" i="20"/>
  <c r="L117" i="20"/>
  <c r="L125" i="20"/>
  <c r="L133" i="20"/>
  <c r="L141" i="20"/>
  <c r="L145" i="20"/>
  <c r="L153" i="20"/>
  <c r="L165" i="20"/>
  <c r="L169" i="20"/>
  <c r="L177" i="20"/>
  <c r="C45" i="12"/>
  <c r="C52" i="12"/>
  <c r="N89" i="10" s="1"/>
  <c r="AC358" i="5" s="1"/>
  <c r="AE358" i="5" s="1"/>
  <c r="F70" i="15"/>
  <c r="D70" i="15"/>
  <c r="C70" i="15"/>
  <c r="E70" i="15"/>
  <c r="AL9" i="5"/>
  <c r="AF9" i="5"/>
  <c r="N82" i="10"/>
  <c r="N119" i="10"/>
  <c r="N126" i="10"/>
  <c r="B17" i="13"/>
  <c r="BA314" i="5"/>
  <c r="BB314" i="5"/>
  <c r="AY314" i="5"/>
  <c r="AZ314" i="5"/>
  <c r="BB310" i="5"/>
  <c r="AY310" i="5"/>
  <c r="AZ310" i="5"/>
  <c r="BA310" i="5"/>
  <c r="AY306" i="5"/>
  <c r="AZ306" i="5"/>
  <c r="BA306" i="5"/>
  <c r="BB306" i="5"/>
  <c r="BA294" i="5"/>
  <c r="AZ294" i="5"/>
  <c r="BB294" i="5"/>
  <c r="AY294" i="5"/>
  <c r="AY286" i="5"/>
  <c r="BB286" i="5"/>
  <c r="AZ286" i="5"/>
  <c r="BA286" i="5"/>
  <c r="BB258" i="5"/>
  <c r="AY258" i="5"/>
  <c r="AZ258" i="5"/>
  <c r="BA258" i="5"/>
  <c r="AY254" i="5"/>
  <c r="AZ254" i="5"/>
  <c r="BA254" i="5"/>
  <c r="BB254" i="5"/>
  <c r="AZ218" i="5"/>
  <c r="BA218" i="5"/>
  <c r="AY218" i="5"/>
  <c r="BB218" i="5"/>
  <c r="AY182" i="5"/>
  <c r="BB182" i="5"/>
  <c r="BA182" i="5"/>
  <c r="AZ182" i="5"/>
  <c r="AZ178" i="5"/>
  <c r="BA178" i="5"/>
  <c r="BB178" i="5"/>
  <c r="AY178" i="5"/>
  <c r="BB170" i="5"/>
  <c r="AZ170" i="5"/>
  <c r="AY170" i="5"/>
  <c r="BA170" i="5"/>
  <c r="AY149" i="5"/>
  <c r="AZ149" i="5"/>
  <c r="BB149" i="5"/>
  <c r="BA149" i="5"/>
  <c r="BA121" i="5"/>
  <c r="AY121" i="5"/>
  <c r="AZ121" i="5"/>
  <c r="BB121" i="5"/>
  <c r="AY117" i="5"/>
  <c r="BA117" i="5"/>
  <c r="BB117" i="5"/>
  <c r="AZ117" i="5"/>
  <c r="BA347" i="5"/>
  <c r="BB347" i="5"/>
  <c r="AY347" i="5"/>
  <c r="AZ347" i="5"/>
  <c r="BB309" i="5"/>
  <c r="AY309" i="5"/>
  <c r="AZ309" i="5"/>
  <c r="BA309" i="5"/>
  <c r="AY305" i="5"/>
  <c r="AZ305" i="5"/>
  <c r="BA305" i="5"/>
  <c r="BB305" i="5"/>
  <c r="BA297" i="5"/>
  <c r="BB297" i="5"/>
  <c r="AY297" i="5"/>
  <c r="AZ297" i="5"/>
  <c r="BA293" i="5"/>
  <c r="AY293" i="5"/>
  <c r="AZ293" i="5"/>
  <c r="BB293" i="5"/>
  <c r="BA261" i="5"/>
  <c r="BB261" i="5"/>
  <c r="AY261" i="5"/>
  <c r="AZ261" i="5"/>
  <c r="AY253" i="5"/>
  <c r="BA253" i="5"/>
  <c r="AZ253" i="5"/>
  <c r="BB253" i="5"/>
  <c r="AZ217" i="5"/>
  <c r="BB217" i="5"/>
  <c r="AY217" i="5"/>
  <c r="BA217" i="5"/>
  <c r="AY181" i="5"/>
  <c r="BA181" i="5"/>
  <c r="BB181" i="5"/>
  <c r="AZ181" i="5"/>
  <c r="AZ177" i="5"/>
  <c r="BB177" i="5"/>
  <c r="AY177" i="5"/>
  <c r="BA177" i="5"/>
  <c r="BB169" i="5"/>
  <c r="AY169" i="5"/>
  <c r="AZ169" i="5"/>
  <c r="BA169" i="5"/>
  <c r="AY116" i="5"/>
  <c r="AZ116" i="5"/>
  <c r="BA116" i="5"/>
  <c r="BB116" i="5"/>
  <c r="BB342" i="5"/>
  <c r="AY342" i="5"/>
  <c r="AZ342" i="5"/>
  <c r="BA342" i="5"/>
  <c r="BA312" i="5"/>
  <c r="BB312" i="5"/>
  <c r="AY312" i="5"/>
  <c r="AZ312" i="5"/>
  <c r="AY308" i="5"/>
  <c r="AZ308" i="5"/>
  <c r="BA308" i="5"/>
  <c r="BB308" i="5"/>
  <c r="AY304" i="5"/>
  <c r="AZ304" i="5"/>
  <c r="BA304" i="5"/>
  <c r="BB304" i="5"/>
  <c r="BA296" i="5"/>
  <c r="BB296" i="5"/>
  <c r="AY296" i="5"/>
  <c r="AZ296" i="5"/>
  <c r="BB256" i="5"/>
  <c r="BA256" i="5"/>
  <c r="AY256" i="5"/>
  <c r="AZ256" i="5"/>
  <c r="AZ252" i="5"/>
  <c r="BA252" i="5"/>
  <c r="AY252" i="5"/>
  <c r="BB252" i="5"/>
  <c r="AZ220" i="5"/>
  <c r="BA220" i="5"/>
  <c r="BB220" i="5"/>
  <c r="AY220" i="5"/>
  <c r="AZ216" i="5"/>
  <c r="H26" i="6" s="1"/>
  <c r="BA216" i="5"/>
  <c r="K26" i="6" s="1"/>
  <c r="L26" i="6" s="1"/>
  <c r="BB216" i="5"/>
  <c r="O26" i="6" s="1"/>
  <c r="P26" i="6" s="1"/>
  <c r="AY216" i="5"/>
  <c r="AY180" i="5"/>
  <c r="AZ180" i="5"/>
  <c r="BA180" i="5"/>
  <c r="BB180" i="5"/>
  <c r="BB172" i="5"/>
  <c r="AY172" i="5"/>
  <c r="BA172" i="5"/>
  <c r="AZ172" i="5"/>
  <c r="BB168" i="5"/>
  <c r="AZ168" i="5"/>
  <c r="BA168" i="5"/>
  <c r="AY168" i="5"/>
  <c r="BB151" i="5"/>
  <c r="AZ151" i="5"/>
  <c r="BA151" i="5"/>
  <c r="AY151" i="5"/>
  <c r="BB119" i="5"/>
  <c r="AY119" i="5"/>
  <c r="BA119" i="5"/>
  <c r="AZ119" i="5"/>
  <c r="AY115" i="5"/>
  <c r="AZ115" i="5"/>
  <c r="BA115" i="5"/>
  <c r="BB115" i="5"/>
  <c r="BA349" i="5"/>
  <c r="BB349" i="5"/>
  <c r="AY349" i="5"/>
  <c r="AZ349" i="5"/>
  <c r="BB311" i="5"/>
  <c r="AY311" i="5"/>
  <c r="AZ311" i="5"/>
  <c r="BA311" i="5"/>
  <c r="AY307" i="5"/>
  <c r="AZ307" i="5"/>
  <c r="BA307" i="5"/>
  <c r="BB307" i="5"/>
  <c r="AZ303" i="5"/>
  <c r="BA303" i="5"/>
  <c r="AY303" i="5"/>
  <c r="BB303" i="5"/>
  <c r="BA295" i="5"/>
  <c r="BB295" i="5"/>
  <c r="AY295" i="5"/>
  <c r="AZ295" i="5"/>
  <c r="BA291" i="5"/>
  <c r="BB291" i="5"/>
  <c r="AY291" i="5"/>
  <c r="AZ291" i="5"/>
  <c r="AY255" i="5"/>
  <c r="BA255" i="5"/>
  <c r="BB255" i="5"/>
  <c r="AZ255" i="5"/>
  <c r="AZ251" i="5"/>
  <c r="BB251" i="5"/>
  <c r="AY251" i="5"/>
  <c r="BA251" i="5"/>
  <c r="AY223" i="5"/>
  <c r="AZ223" i="5"/>
  <c r="BA223" i="5"/>
  <c r="BB223" i="5"/>
  <c r="AY183" i="5"/>
  <c r="BA183" i="5"/>
  <c r="BB183" i="5"/>
  <c r="AZ183" i="5"/>
  <c r="AY179" i="5"/>
  <c r="BB179" i="5"/>
  <c r="AZ179" i="5"/>
  <c r="BA179" i="5"/>
  <c r="BB171" i="5"/>
  <c r="BA171" i="5"/>
  <c r="AY171" i="5"/>
  <c r="AZ171" i="5"/>
  <c r="AY167" i="5"/>
  <c r="BB167" i="5"/>
  <c r="BA167" i="5"/>
  <c r="AZ167" i="5"/>
  <c r="AY150" i="5"/>
  <c r="AZ150" i="5"/>
  <c r="BA150" i="5"/>
  <c r="BB150" i="5"/>
  <c r="AY118" i="5"/>
  <c r="BB118" i="5"/>
  <c r="BA118" i="5"/>
  <c r="AZ118" i="5"/>
  <c r="AY114" i="5"/>
  <c r="BB114" i="5"/>
  <c r="BA114" i="5"/>
  <c r="AZ114" i="5"/>
  <c r="R10" i="12"/>
  <c r="B50" i="12" s="1"/>
  <c r="E79" i="12"/>
  <c r="E82" i="12"/>
  <c r="D33" i="15"/>
  <c r="E33" i="15"/>
  <c r="S20" i="12"/>
  <c r="C56" i="12" s="1"/>
  <c r="E80" i="12"/>
  <c r="C44" i="12"/>
  <c r="E78" i="12"/>
  <c r="C23" i="13"/>
  <c r="N207" i="10" s="1"/>
  <c r="B23" i="13"/>
  <c r="N206" i="10" s="1"/>
  <c r="N243" i="10" s="1"/>
  <c r="AC213" i="5" s="1"/>
  <c r="AE213" i="5" s="1"/>
  <c r="AF213" i="5" s="1"/>
  <c r="C33" i="15"/>
  <c r="B58" i="12"/>
  <c r="S23" i="12"/>
  <c r="C61" i="12" s="1"/>
  <c r="C58" i="12"/>
  <c r="S10" i="12"/>
  <c r="C50" i="12" s="1"/>
  <c r="S14" i="12"/>
  <c r="C55" i="12" s="1"/>
  <c r="C51" i="12"/>
  <c r="C49" i="12"/>
  <c r="C47" i="12"/>
  <c r="B51" i="12"/>
  <c r="C46" i="12"/>
  <c r="B48" i="12"/>
  <c r="B52" i="12"/>
  <c r="B54" i="12"/>
  <c r="R23" i="12"/>
  <c r="B61" i="12" s="1"/>
  <c r="C48" i="12"/>
  <c r="C54" i="12"/>
  <c r="R14" i="12"/>
  <c r="B55" i="12" s="1"/>
  <c r="R20" i="12"/>
  <c r="B56" i="12" s="1"/>
  <c r="B47" i="12"/>
  <c r="B49" i="12"/>
  <c r="X9" i="5"/>
  <c r="Y9" i="5"/>
  <c r="M169" i="20" l="1"/>
  <c r="N169" i="20"/>
  <c r="M109" i="20"/>
  <c r="N109" i="20"/>
  <c r="N45" i="20"/>
  <c r="M45" i="20"/>
  <c r="M164" i="20"/>
  <c r="N164" i="20"/>
  <c r="M132" i="20"/>
  <c r="N132" i="20"/>
  <c r="N100" i="20"/>
  <c r="M100" i="20"/>
  <c r="N68" i="20"/>
  <c r="M68" i="20"/>
  <c r="M17" i="20"/>
  <c r="N17" i="20"/>
  <c r="M113" i="20"/>
  <c r="N113" i="20"/>
  <c r="M49" i="20"/>
  <c r="N49" i="20"/>
  <c r="M167" i="20"/>
  <c r="N167" i="20"/>
  <c r="M135" i="20"/>
  <c r="N135" i="20"/>
  <c r="N103" i="20"/>
  <c r="M103" i="20"/>
  <c r="M71" i="20"/>
  <c r="N71" i="20"/>
  <c r="M36" i="20"/>
  <c r="N36" i="20"/>
  <c r="N170" i="20"/>
  <c r="M170" i="20"/>
  <c r="M154" i="20"/>
  <c r="N154" i="20"/>
  <c r="N122" i="20"/>
  <c r="M122" i="20"/>
  <c r="M90" i="20"/>
  <c r="N90" i="20"/>
  <c r="M39" i="20"/>
  <c r="N39" i="20"/>
  <c r="M165" i="20"/>
  <c r="N165" i="20"/>
  <c r="N133" i="20"/>
  <c r="M133" i="20"/>
  <c r="N101" i="20"/>
  <c r="M101" i="20"/>
  <c r="N65" i="20"/>
  <c r="M65" i="20"/>
  <c r="M34" i="20"/>
  <c r="N34" i="20"/>
  <c r="M176" i="20"/>
  <c r="N176" i="20"/>
  <c r="M160" i="20"/>
  <c r="N160" i="20"/>
  <c r="M144" i="20"/>
  <c r="N144" i="20"/>
  <c r="N128" i="20"/>
  <c r="M128" i="20"/>
  <c r="N112" i="20"/>
  <c r="M112" i="20"/>
  <c r="M96" i="20"/>
  <c r="N96" i="20"/>
  <c r="M80" i="20"/>
  <c r="N80" i="20"/>
  <c r="M64" i="20"/>
  <c r="N64" i="20"/>
  <c r="M48" i="20"/>
  <c r="N48" i="20"/>
  <c r="N29" i="20"/>
  <c r="M29" i="20"/>
  <c r="M173" i="20"/>
  <c r="N173" i="20"/>
  <c r="M137" i="20"/>
  <c r="N137" i="20"/>
  <c r="M105" i="20"/>
  <c r="N105" i="20"/>
  <c r="M77" i="20"/>
  <c r="N77" i="20"/>
  <c r="M38" i="20"/>
  <c r="N38" i="20"/>
  <c r="M179" i="20"/>
  <c r="N179" i="20"/>
  <c r="M163" i="20"/>
  <c r="N163" i="20"/>
  <c r="M147" i="20"/>
  <c r="N147" i="20"/>
  <c r="M131" i="20"/>
  <c r="N131" i="20"/>
  <c r="M115" i="20"/>
  <c r="N115" i="20"/>
  <c r="M99" i="20"/>
  <c r="N99" i="20"/>
  <c r="N83" i="20"/>
  <c r="M83" i="20"/>
  <c r="N67" i="20"/>
  <c r="M67" i="20"/>
  <c r="M51" i="20"/>
  <c r="N51" i="20"/>
  <c r="N32" i="20"/>
  <c r="M32" i="20"/>
  <c r="N16" i="20"/>
  <c r="M16" i="20"/>
  <c r="M166" i="20"/>
  <c r="N166" i="20"/>
  <c r="N150" i="20"/>
  <c r="M150" i="20"/>
  <c r="N134" i="20"/>
  <c r="M134" i="20"/>
  <c r="M118" i="20"/>
  <c r="N118" i="20"/>
  <c r="N102" i="20"/>
  <c r="M102" i="20"/>
  <c r="N86" i="20"/>
  <c r="M86" i="20"/>
  <c r="M70" i="20"/>
  <c r="N70" i="20"/>
  <c r="M54" i="20"/>
  <c r="N54" i="20"/>
  <c r="M35" i="20"/>
  <c r="N35" i="20"/>
  <c r="N19" i="20"/>
  <c r="M19" i="20"/>
  <c r="N95" i="20"/>
  <c r="M95" i="20"/>
  <c r="M79" i="20"/>
  <c r="N79" i="20"/>
  <c r="M63" i="20"/>
  <c r="N63" i="20"/>
  <c r="M47" i="20"/>
  <c r="N47" i="20"/>
  <c r="N28" i="20"/>
  <c r="M28" i="20"/>
  <c r="M178" i="20"/>
  <c r="N178" i="20"/>
  <c r="N162" i="20"/>
  <c r="M162" i="20"/>
  <c r="N146" i="20"/>
  <c r="M146" i="20"/>
  <c r="N130" i="20"/>
  <c r="M130" i="20"/>
  <c r="M114" i="20"/>
  <c r="N114" i="20"/>
  <c r="N98" i="20"/>
  <c r="M98" i="20"/>
  <c r="M82" i="20"/>
  <c r="N82" i="20"/>
  <c r="M66" i="20"/>
  <c r="N66" i="20"/>
  <c r="M50" i="20"/>
  <c r="N50" i="20"/>
  <c r="M31" i="20"/>
  <c r="N31" i="20"/>
  <c r="N15" i="20"/>
  <c r="M15" i="20"/>
  <c r="M141" i="20"/>
  <c r="N141" i="20"/>
  <c r="N73" i="20"/>
  <c r="M73" i="20"/>
  <c r="N180" i="20"/>
  <c r="M180" i="20"/>
  <c r="N148" i="20"/>
  <c r="M148" i="20"/>
  <c r="M116" i="20"/>
  <c r="N116" i="20"/>
  <c r="N84" i="20"/>
  <c r="M84" i="20"/>
  <c r="N52" i="20"/>
  <c r="M52" i="20"/>
  <c r="N33" i="20"/>
  <c r="M33" i="20"/>
  <c r="N149" i="20"/>
  <c r="M149" i="20"/>
  <c r="M85" i="20"/>
  <c r="N85" i="20"/>
  <c r="N14" i="20"/>
  <c r="M14" i="20"/>
  <c r="M151" i="20"/>
  <c r="N151" i="20"/>
  <c r="M119" i="20"/>
  <c r="N119" i="20"/>
  <c r="N87" i="20"/>
  <c r="M87" i="20"/>
  <c r="M55" i="20"/>
  <c r="N55" i="20"/>
  <c r="M20" i="20"/>
  <c r="N20" i="20"/>
  <c r="M138" i="20"/>
  <c r="N138" i="20"/>
  <c r="N106" i="20"/>
  <c r="M106" i="20"/>
  <c r="N74" i="20"/>
  <c r="M74" i="20"/>
  <c r="M58" i="20"/>
  <c r="N58" i="20"/>
  <c r="M23" i="20"/>
  <c r="N23" i="20"/>
  <c r="M153" i="20"/>
  <c r="N153" i="20"/>
  <c r="M125" i="20"/>
  <c r="N125" i="20"/>
  <c r="N93" i="20"/>
  <c r="M93" i="20"/>
  <c r="M57" i="20"/>
  <c r="N57" i="20"/>
  <c r="M26" i="20"/>
  <c r="N26" i="20"/>
  <c r="M172" i="20"/>
  <c r="N172" i="20"/>
  <c r="N156" i="20"/>
  <c r="M156" i="20"/>
  <c r="N140" i="20"/>
  <c r="M140" i="20"/>
  <c r="N124" i="20"/>
  <c r="M124" i="20"/>
  <c r="M108" i="20"/>
  <c r="N108" i="20"/>
  <c r="M92" i="20"/>
  <c r="N92" i="20"/>
  <c r="N76" i="20"/>
  <c r="M76" i="20"/>
  <c r="M60" i="20"/>
  <c r="N60" i="20"/>
  <c r="N44" i="20"/>
  <c r="M44" i="20"/>
  <c r="N25" i="20"/>
  <c r="M25" i="20"/>
  <c r="N161" i="20"/>
  <c r="M161" i="20"/>
  <c r="M129" i="20"/>
  <c r="N129" i="20"/>
  <c r="M97" i="20"/>
  <c r="N97" i="20"/>
  <c r="M69" i="20"/>
  <c r="N69" i="20"/>
  <c r="M30" i="20"/>
  <c r="N30" i="20"/>
  <c r="N175" i="20"/>
  <c r="M175" i="20"/>
  <c r="N159" i="20"/>
  <c r="M159" i="20"/>
  <c r="N143" i="20"/>
  <c r="M143" i="20"/>
  <c r="N127" i="20"/>
  <c r="M127" i="20"/>
  <c r="N111" i="20"/>
  <c r="M111" i="20"/>
  <c r="N177" i="20"/>
  <c r="M177" i="20"/>
  <c r="N145" i="20"/>
  <c r="M145" i="20"/>
  <c r="N117" i="20"/>
  <c r="M117" i="20"/>
  <c r="M81" i="20"/>
  <c r="N81" i="20"/>
  <c r="M53" i="20"/>
  <c r="N53" i="20"/>
  <c r="N18" i="20"/>
  <c r="M18" i="20"/>
  <c r="M168" i="20"/>
  <c r="N168" i="20"/>
  <c r="N152" i="20"/>
  <c r="M152" i="20"/>
  <c r="M136" i="20"/>
  <c r="N136" i="20"/>
  <c r="N120" i="20"/>
  <c r="M120" i="20"/>
  <c r="N104" i="20"/>
  <c r="M104" i="20"/>
  <c r="M88" i="20"/>
  <c r="N88" i="20"/>
  <c r="N72" i="20"/>
  <c r="M72" i="20"/>
  <c r="N56" i="20"/>
  <c r="M56" i="20"/>
  <c r="N37" i="20"/>
  <c r="M37" i="20"/>
  <c r="M21" i="20"/>
  <c r="N21" i="20"/>
  <c r="M157" i="20"/>
  <c r="N157" i="20"/>
  <c r="M121" i="20"/>
  <c r="N121" i="20"/>
  <c r="N89" i="20"/>
  <c r="M89" i="20"/>
  <c r="M61" i="20"/>
  <c r="N61" i="20"/>
  <c r="N22" i="20"/>
  <c r="M22" i="20"/>
  <c r="N171" i="20"/>
  <c r="M171" i="20"/>
  <c r="N155" i="20"/>
  <c r="M155" i="20"/>
  <c r="N139" i="20"/>
  <c r="M139" i="20"/>
  <c r="N123" i="20"/>
  <c r="M123" i="20"/>
  <c r="M107" i="20"/>
  <c r="N107" i="20"/>
  <c r="N91" i="20"/>
  <c r="M91" i="20"/>
  <c r="M75" i="20"/>
  <c r="N75" i="20"/>
  <c r="M59" i="20"/>
  <c r="N59" i="20"/>
  <c r="M40" i="20"/>
  <c r="N40" i="20"/>
  <c r="N24" i="20"/>
  <c r="M24" i="20"/>
  <c r="M174" i="20"/>
  <c r="N174" i="20"/>
  <c r="M158" i="20"/>
  <c r="N158" i="20"/>
  <c r="N142" i="20"/>
  <c r="M142" i="20"/>
  <c r="N126" i="20"/>
  <c r="M126" i="20"/>
  <c r="M110" i="20"/>
  <c r="N110" i="20"/>
  <c r="M94" i="20"/>
  <c r="N94" i="20"/>
  <c r="N78" i="20"/>
  <c r="M78" i="20"/>
  <c r="N62" i="20"/>
  <c r="M62" i="20"/>
  <c r="N46" i="20"/>
  <c r="M46" i="20"/>
  <c r="M27" i="20"/>
  <c r="N27" i="20"/>
  <c r="B59" i="12"/>
  <c r="C60" i="12"/>
  <c r="N132" i="10" s="1"/>
  <c r="AY213" i="5"/>
  <c r="AC351" i="5"/>
  <c r="AE351" i="5" s="1"/>
  <c r="AC316" i="5"/>
  <c r="AE316" i="5" s="1"/>
  <c r="AF358" i="5"/>
  <c r="AY358" i="5"/>
  <c r="AC222" i="5"/>
  <c r="AE222" i="5" s="1"/>
  <c r="AX9" i="5"/>
  <c r="AR9" i="5"/>
  <c r="AC130" i="5"/>
  <c r="AC221" i="5"/>
  <c r="AE221" i="5" s="1"/>
  <c r="AC106" i="5"/>
  <c r="AE106" i="5" s="1"/>
  <c r="N96" i="10"/>
  <c r="AC365" i="5" s="1"/>
  <c r="AE365" i="5" s="1"/>
  <c r="N133" i="10"/>
  <c r="N172" i="10"/>
  <c r="AC176" i="5" s="1"/>
  <c r="N286" i="10"/>
  <c r="AC57" i="5" s="1"/>
  <c r="AE57" i="5" s="1"/>
  <c r="AF57" i="5" s="1"/>
  <c r="N342" i="10"/>
  <c r="N169" i="10"/>
  <c r="N283" i="10"/>
  <c r="AC54" i="5" s="1"/>
  <c r="AE54" i="5" s="1"/>
  <c r="AF54" i="5" s="1"/>
  <c r="N339" i="10"/>
  <c r="N188" i="10"/>
  <c r="AC157" i="5" s="1"/>
  <c r="AE157" i="5" s="1"/>
  <c r="N261" i="10"/>
  <c r="AC32" i="5" s="1"/>
  <c r="AE32" i="5" s="1"/>
  <c r="AF32" i="5" s="1"/>
  <c r="N317" i="10"/>
  <c r="O126" i="10"/>
  <c r="N95" i="10"/>
  <c r="AC364" i="5" s="1"/>
  <c r="AE364" i="5" s="1"/>
  <c r="N125" i="10"/>
  <c r="N88" i="10"/>
  <c r="E84" i="12"/>
  <c r="O89" i="10"/>
  <c r="AI358" i="5" s="1"/>
  <c r="AK358" i="5" s="1"/>
  <c r="N83" i="10"/>
  <c r="N120" i="10"/>
  <c r="N245" i="10"/>
  <c r="AC215" i="5" s="1"/>
  <c r="AE215" i="5" s="1"/>
  <c r="O207" i="10"/>
  <c r="N185" i="10"/>
  <c r="AC189" i="5" s="1"/>
  <c r="N258" i="10"/>
  <c r="N314" i="10"/>
  <c r="N85" i="10"/>
  <c r="N122" i="10"/>
  <c r="AC126" i="5" s="1"/>
  <c r="C57" i="12"/>
  <c r="N189" i="10"/>
  <c r="AC158" i="5" s="1"/>
  <c r="AE158" i="5" s="1"/>
  <c r="N262" i="10"/>
  <c r="AC33" i="5" s="1"/>
  <c r="AE33" i="5" s="1"/>
  <c r="AF33" i="5" s="1"/>
  <c r="N318" i="10"/>
  <c r="N128" i="10"/>
  <c r="N91" i="10"/>
  <c r="AC360" i="5" s="1"/>
  <c r="AE360" i="5" s="1"/>
  <c r="N92" i="10"/>
  <c r="AC361" i="5" s="1"/>
  <c r="AE361" i="5" s="1"/>
  <c r="N129" i="10"/>
  <c r="N270" i="10"/>
  <c r="AC41" i="5" s="1"/>
  <c r="AE41" i="5" s="1"/>
  <c r="AF41" i="5" s="1"/>
  <c r="N197" i="10"/>
  <c r="AC166" i="5" s="1"/>
  <c r="AE166" i="5" s="1"/>
  <c r="N326" i="10"/>
  <c r="N193" i="10"/>
  <c r="N266" i="10"/>
  <c r="N322" i="10"/>
  <c r="N190" i="10"/>
  <c r="AC159" i="5" s="1"/>
  <c r="AE159" i="5" s="1"/>
  <c r="N263" i="10"/>
  <c r="AC34" i="5" s="1"/>
  <c r="AE34" i="5" s="1"/>
  <c r="AF34" i="5" s="1"/>
  <c r="N319" i="10"/>
  <c r="N84" i="10"/>
  <c r="AC353" i="5" s="1"/>
  <c r="AE353" i="5" s="1"/>
  <c r="N121" i="10"/>
  <c r="AC125" i="5" s="1"/>
  <c r="N87" i="10"/>
  <c r="N124" i="10"/>
  <c r="N81" i="10"/>
  <c r="N118" i="10"/>
  <c r="N340" i="10"/>
  <c r="N170" i="10"/>
  <c r="N284" i="10"/>
  <c r="AC55" i="5" s="1"/>
  <c r="AE55" i="5" s="1"/>
  <c r="AF55" i="5" s="1"/>
  <c r="O119" i="10"/>
  <c r="N260" i="10"/>
  <c r="AC31" i="5" s="1"/>
  <c r="AE31" i="5" s="1"/>
  <c r="AF31" i="5" s="1"/>
  <c r="N316" i="10"/>
  <c r="AC86" i="5" s="1"/>
  <c r="N187" i="10"/>
  <c r="AC156" i="5" s="1"/>
  <c r="AE156" i="5" s="1"/>
  <c r="N324" i="10"/>
  <c r="N195" i="10"/>
  <c r="AC164" i="5" s="1"/>
  <c r="AE164" i="5" s="1"/>
  <c r="N268" i="10"/>
  <c r="AC39" i="5" s="1"/>
  <c r="AE39" i="5" s="1"/>
  <c r="AF39" i="5" s="1"/>
  <c r="N321" i="10"/>
  <c r="N192" i="10"/>
  <c r="AC161" i="5" s="1"/>
  <c r="AE161" i="5" s="1"/>
  <c r="N265" i="10"/>
  <c r="AC36" i="5" s="1"/>
  <c r="AE36" i="5" s="1"/>
  <c r="AF36" i="5" s="1"/>
  <c r="N186" i="10"/>
  <c r="N298" i="10"/>
  <c r="AC68" i="5" s="1"/>
  <c r="AE68" i="5" s="1"/>
  <c r="AF68" i="5" s="1"/>
  <c r="N150" i="10"/>
  <c r="AC123" i="5" s="1"/>
  <c r="N259" i="10"/>
  <c r="N315" i="10"/>
  <c r="N86" i="10"/>
  <c r="N123" i="10"/>
  <c r="N244" i="10"/>
  <c r="AC214" i="5" s="1"/>
  <c r="AE214" i="5" s="1"/>
  <c r="O206" i="10"/>
  <c r="O243" i="10" s="1"/>
  <c r="AI213" i="5" s="1"/>
  <c r="AK213" i="5" s="1"/>
  <c r="N285" i="10"/>
  <c r="AC56" i="5" s="1"/>
  <c r="AE56" i="5" s="1"/>
  <c r="AF56" i="5" s="1"/>
  <c r="N341" i="10"/>
  <c r="N171" i="10"/>
  <c r="O82" i="10"/>
  <c r="BC295" i="5"/>
  <c r="BC303" i="5"/>
  <c r="BC151" i="5"/>
  <c r="BC168" i="5"/>
  <c r="BC216" i="5"/>
  <c r="BC220" i="5"/>
  <c r="BC304" i="5"/>
  <c r="BC181" i="5"/>
  <c r="BC261" i="5"/>
  <c r="BC347" i="5"/>
  <c r="BC117" i="5"/>
  <c r="BC170" i="5"/>
  <c r="BC178" i="5"/>
  <c r="BC182" i="5"/>
  <c r="BC114" i="5"/>
  <c r="BC179" i="5"/>
  <c r="BC307" i="5"/>
  <c r="BC311" i="5"/>
  <c r="BC180" i="5"/>
  <c r="BC252" i="5"/>
  <c r="BC296" i="5"/>
  <c r="BC312" i="5"/>
  <c r="BC342" i="5"/>
  <c r="BC116" i="5"/>
  <c r="BC177" i="5"/>
  <c r="BC217" i="5"/>
  <c r="BC293" i="5"/>
  <c r="BC297" i="5"/>
  <c r="BC286" i="5"/>
  <c r="BC306" i="5"/>
  <c r="BC310" i="5"/>
  <c r="BC118" i="5"/>
  <c r="BC150" i="5"/>
  <c r="BC167" i="5"/>
  <c r="BC183" i="5"/>
  <c r="BC223" i="5"/>
  <c r="BC251" i="5"/>
  <c r="BC255" i="5"/>
  <c r="BC115" i="5"/>
  <c r="BC119" i="5"/>
  <c r="BC172" i="5"/>
  <c r="BC169" i="5"/>
  <c r="BC309" i="5"/>
  <c r="BC121" i="5"/>
  <c r="BC149" i="5"/>
  <c r="BC218" i="5"/>
  <c r="BC254" i="5"/>
  <c r="BC258" i="5"/>
  <c r="BC294" i="5"/>
  <c r="BC171" i="5"/>
  <c r="BC291" i="5"/>
  <c r="BC349" i="5"/>
  <c r="BC256" i="5"/>
  <c r="BC308" i="5"/>
  <c r="BC253" i="5"/>
  <c r="BC305" i="5"/>
  <c r="BC314" i="5"/>
  <c r="N204" i="10"/>
  <c r="C59" i="12"/>
  <c r="S26" i="6"/>
  <c r="T26" i="6" s="1"/>
  <c r="D26" i="6"/>
  <c r="AE8" i="5"/>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N4" i="20" l="1"/>
  <c r="M4" i="20"/>
  <c r="AF215" i="5"/>
  <c r="AY215" i="5"/>
  <c r="AF214" i="5"/>
  <c r="AY214" i="5"/>
  <c r="AC326" i="5"/>
  <c r="AC319" i="5"/>
  <c r="AC141" i="5"/>
  <c r="AE141" i="5" s="1"/>
  <c r="AY141" i="5" s="1"/>
  <c r="AI351" i="5"/>
  <c r="AK351" i="5" s="1"/>
  <c r="AL213" i="5"/>
  <c r="AZ213" i="5"/>
  <c r="AC270" i="5"/>
  <c r="AC37" i="5"/>
  <c r="AE37" i="5" s="1"/>
  <c r="AF37" i="5" s="1"/>
  <c r="AC262" i="5"/>
  <c r="AC29" i="5"/>
  <c r="AE29" i="5" s="1"/>
  <c r="AF29" i="5" s="1"/>
  <c r="AC124" i="5"/>
  <c r="AC317" i="5"/>
  <c r="AE317" i="5" s="1"/>
  <c r="AC219" i="5"/>
  <c r="AE219" i="5" s="1"/>
  <c r="AF219" i="5" s="1"/>
  <c r="N241" i="10"/>
  <c r="AC263" i="5"/>
  <c r="AC30" i="5"/>
  <c r="AE30" i="5" s="1"/>
  <c r="AF30" i="5" s="1"/>
  <c r="AF164" i="5"/>
  <c r="AY164" i="5"/>
  <c r="AC162" i="5"/>
  <c r="AE162" i="5" s="1"/>
  <c r="AC87" i="5"/>
  <c r="AC352" i="5"/>
  <c r="AE352" i="5" s="1"/>
  <c r="AF222" i="5"/>
  <c r="AY222" i="5"/>
  <c r="AF316" i="5"/>
  <c r="AY316" i="5"/>
  <c r="AY351" i="5"/>
  <c r="AF351" i="5"/>
  <c r="AF161" i="5"/>
  <c r="AY161" i="5"/>
  <c r="AI316" i="5"/>
  <c r="AK316" i="5" s="1"/>
  <c r="AC122" i="5"/>
  <c r="AC315" i="5"/>
  <c r="AE315" i="5" s="1"/>
  <c r="AF159" i="5"/>
  <c r="AY159" i="5"/>
  <c r="AY361" i="5"/>
  <c r="AF361" i="5"/>
  <c r="AZ358" i="5"/>
  <c r="AL358" i="5"/>
  <c r="AF221" i="5"/>
  <c r="AY221" i="5"/>
  <c r="AY156" i="5"/>
  <c r="AF156" i="5"/>
  <c r="AC85" i="5"/>
  <c r="AC350" i="5"/>
  <c r="AE350" i="5" s="1"/>
  <c r="AY353" i="5"/>
  <c r="AF353" i="5"/>
  <c r="AF166" i="5"/>
  <c r="AY166" i="5"/>
  <c r="AY360" i="5"/>
  <c r="AF360" i="5"/>
  <c r="AF158" i="5"/>
  <c r="AY158" i="5"/>
  <c r="AC318" i="5"/>
  <c r="AC84" i="5"/>
  <c r="AE84" i="5" s="1"/>
  <c r="AF84" i="5" s="1"/>
  <c r="AY364" i="5"/>
  <c r="AF364" i="5"/>
  <c r="AF157" i="5"/>
  <c r="AY157" i="5"/>
  <c r="AY365" i="5"/>
  <c r="AF365" i="5"/>
  <c r="AY219" i="5"/>
  <c r="AC175" i="5"/>
  <c r="AC186" i="5"/>
  <c r="AE186" i="5" s="1"/>
  <c r="AC259" i="5"/>
  <c r="AE259" i="5" s="1"/>
  <c r="AC269" i="5"/>
  <c r="AC280" i="5"/>
  <c r="AE280" i="5" s="1"/>
  <c r="AC264" i="5"/>
  <c r="AC275" i="5"/>
  <c r="AE275" i="5" s="1"/>
  <c r="AC344" i="5"/>
  <c r="AC355" i="5"/>
  <c r="AE355" i="5" s="1"/>
  <c r="AC91" i="5"/>
  <c r="AC104" i="5"/>
  <c r="AE104" i="5" s="1"/>
  <c r="AC267" i="5"/>
  <c r="AC278" i="5"/>
  <c r="AE278" i="5" s="1"/>
  <c r="AC133" i="5"/>
  <c r="AC322" i="5"/>
  <c r="AC333" i="5"/>
  <c r="AE333" i="5" s="1"/>
  <c r="AC129" i="5"/>
  <c r="AC140" i="5"/>
  <c r="AE140" i="5" s="1"/>
  <c r="AC321" i="5"/>
  <c r="AC332" i="5"/>
  <c r="AE332" i="5" s="1"/>
  <c r="AC287" i="5"/>
  <c r="AC298" i="5"/>
  <c r="AE298" i="5" s="1"/>
  <c r="AC127" i="5"/>
  <c r="AC138" i="5"/>
  <c r="AE138" i="5" s="1"/>
  <c r="AC96" i="5"/>
  <c r="AC109" i="5"/>
  <c r="AE109" i="5" s="1"/>
  <c r="AC266" i="5"/>
  <c r="AC277" i="5"/>
  <c r="AE277" i="5" s="1"/>
  <c r="AI222" i="5"/>
  <c r="AK222" i="5" s="1"/>
  <c r="AI106" i="5"/>
  <c r="AK106" i="5" s="1"/>
  <c r="AC136" i="5"/>
  <c r="AC147" i="5"/>
  <c r="AE147" i="5" s="1"/>
  <c r="AC265" i="5"/>
  <c r="AC276" i="5"/>
  <c r="AE276" i="5" s="1"/>
  <c r="AC173" i="5"/>
  <c r="AC184" i="5"/>
  <c r="AE184" i="5" s="1"/>
  <c r="AC137" i="5"/>
  <c r="AC148" i="5"/>
  <c r="AE148" i="5" s="1"/>
  <c r="AI221" i="5"/>
  <c r="AK221" i="5" s="1"/>
  <c r="AC272" i="5"/>
  <c r="AC283" i="5"/>
  <c r="AE283" i="5" s="1"/>
  <c r="AC320" i="5"/>
  <c r="AC331" i="5"/>
  <c r="AE331" i="5" s="1"/>
  <c r="AC174" i="5"/>
  <c r="AC185" i="5"/>
  <c r="AE185" i="5" s="1"/>
  <c r="AC128" i="5"/>
  <c r="AC139" i="5"/>
  <c r="AE139" i="5" s="1"/>
  <c r="AC323" i="5"/>
  <c r="AC334" i="5"/>
  <c r="AE334" i="5" s="1"/>
  <c r="AC274" i="5"/>
  <c r="AC285" i="5"/>
  <c r="AE285" i="5" s="1"/>
  <c r="AC132" i="5"/>
  <c r="AC143" i="5"/>
  <c r="AE143" i="5" s="1"/>
  <c r="AC92" i="5"/>
  <c r="AC105" i="5"/>
  <c r="AE105" i="5" s="1"/>
  <c r="AI130" i="5"/>
  <c r="AC343" i="5"/>
  <c r="AC354" i="5"/>
  <c r="AE354" i="5" s="1"/>
  <c r="AC290" i="5"/>
  <c r="AC301" i="5"/>
  <c r="AE301" i="5" s="1"/>
  <c r="AF106" i="5"/>
  <c r="AY106" i="5"/>
  <c r="AC345" i="5"/>
  <c r="AC356" i="5"/>
  <c r="AE356" i="5" s="1"/>
  <c r="AC154" i="5"/>
  <c r="AC207" i="5"/>
  <c r="AE207" i="5" s="1"/>
  <c r="AC339" i="5"/>
  <c r="AE339" i="5" s="1"/>
  <c r="AC330" i="5"/>
  <c r="AC341" i="5"/>
  <c r="AE341" i="5" s="1"/>
  <c r="AC89" i="5"/>
  <c r="AC102" i="5"/>
  <c r="AE102" i="5" s="1"/>
  <c r="AC289" i="5"/>
  <c r="AC300" i="5"/>
  <c r="AE300" i="5" s="1"/>
  <c r="AC302" i="5"/>
  <c r="AC313" i="5"/>
  <c r="AE313" i="5" s="1"/>
  <c r="AC325" i="5"/>
  <c r="AC336" i="5"/>
  <c r="AE336" i="5" s="1"/>
  <c r="AC288" i="5"/>
  <c r="AC299" i="5"/>
  <c r="AE299" i="5" s="1"/>
  <c r="AC88" i="5"/>
  <c r="AC101" i="5"/>
  <c r="AE101" i="5" s="1"/>
  <c r="AC108" i="5"/>
  <c r="AE108" i="5" s="1"/>
  <c r="AC260" i="5"/>
  <c r="AE260" i="5" s="1"/>
  <c r="AC99" i="5"/>
  <c r="AC112" i="5"/>
  <c r="AE112" i="5" s="1"/>
  <c r="AC346" i="5"/>
  <c r="AC357" i="5"/>
  <c r="AE357" i="5" s="1"/>
  <c r="AC100" i="5"/>
  <c r="AC113" i="5"/>
  <c r="AE113" i="5" s="1"/>
  <c r="AC210" i="5"/>
  <c r="AE210" i="5" s="1"/>
  <c r="N242" i="10"/>
  <c r="AC212" i="5" s="1"/>
  <c r="AE212" i="5" s="1"/>
  <c r="AC208" i="5"/>
  <c r="N194" i="10"/>
  <c r="AC163" i="5" s="1"/>
  <c r="AE163" i="5" s="1"/>
  <c r="N267" i="10"/>
  <c r="AC38" i="5" s="1"/>
  <c r="AE38" i="5" s="1"/>
  <c r="AF38" i="5" s="1"/>
  <c r="N323" i="10"/>
  <c r="AC93" i="5" s="1"/>
  <c r="AE93" i="5" s="1"/>
  <c r="O171" i="10"/>
  <c r="P206" i="10"/>
  <c r="P243" i="10" s="1"/>
  <c r="AO213" i="5" s="1"/>
  <c r="AQ213" i="5" s="1"/>
  <c r="O244" i="10"/>
  <c r="AI214" i="5" s="1"/>
  <c r="AK214" i="5" s="1"/>
  <c r="O315" i="10"/>
  <c r="N224" i="10"/>
  <c r="AC228" i="5" s="1"/>
  <c r="O186" i="10"/>
  <c r="O268" i="10"/>
  <c r="AI39" i="5" s="1"/>
  <c r="AK39" i="5" s="1"/>
  <c r="AL39" i="5" s="1"/>
  <c r="O316" i="10"/>
  <c r="AI86" i="5" s="1"/>
  <c r="O284" i="10"/>
  <c r="AI55" i="5" s="1"/>
  <c r="AK55" i="5" s="1"/>
  <c r="AL55" i="5" s="1"/>
  <c r="O81" i="10"/>
  <c r="O84" i="10"/>
  <c r="AI353" i="5" s="1"/>
  <c r="AK353" i="5" s="1"/>
  <c r="O322" i="10"/>
  <c r="O197" i="10"/>
  <c r="AI166" i="5" s="1"/>
  <c r="AK166" i="5" s="1"/>
  <c r="N235" i="10"/>
  <c r="AC205" i="5" s="1"/>
  <c r="AE205" i="5" s="1"/>
  <c r="O91" i="10"/>
  <c r="AI360" i="5" s="1"/>
  <c r="AK360" i="5" s="1"/>
  <c r="O189" i="10"/>
  <c r="AI158" i="5" s="1"/>
  <c r="AK158" i="5" s="1"/>
  <c r="N227" i="10"/>
  <c r="AC197" i="5" s="1"/>
  <c r="O314" i="10"/>
  <c r="O245" i="10"/>
  <c r="AI215" i="5" s="1"/>
  <c r="AK215" i="5" s="1"/>
  <c r="P207" i="10"/>
  <c r="V93" i="5"/>
  <c r="O125" i="10"/>
  <c r="P126" i="10"/>
  <c r="O339" i="10"/>
  <c r="O286" i="10"/>
  <c r="AI57" i="5" s="1"/>
  <c r="AK57" i="5" s="1"/>
  <c r="AL57" i="5" s="1"/>
  <c r="O341" i="10"/>
  <c r="V248" i="5"/>
  <c r="O259" i="10"/>
  <c r="O265" i="10"/>
  <c r="AI36" i="5" s="1"/>
  <c r="AK36" i="5" s="1"/>
  <c r="AL36" i="5" s="1"/>
  <c r="O195" i="10"/>
  <c r="AI164" i="5" s="1"/>
  <c r="AK164" i="5" s="1"/>
  <c r="O260" i="10"/>
  <c r="AI31" i="5" s="1"/>
  <c r="AK31" i="5" s="1"/>
  <c r="AL31" i="5" s="1"/>
  <c r="O170" i="10"/>
  <c r="O124" i="10"/>
  <c r="O319" i="10"/>
  <c r="O266" i="10"/>
  <c r="O270" i="10"/>
  <c r="AI41" i="5" s="1"/>
  <c r="AK41" i="5" s="1"/>
  <c r="AL41" i="5" s="1"/>
  <c r="O128" i="10"/>
  <c r="N93" i="10"/>
  <c r="AC362" i="5" s="1"/>
  <c r="AE362" i="5" s="1"/>
  <c r="N130" i="10"/>
  <c r="O258" i="10"/>
  <c r="V249" i="5"/>
  <c r="P89" i="10"/>
  <c r="AO358" i="5" s="1"/>
  <c r="AQ358" i="5" s="1"/>
  <c r="O132" i="10"/>
  <c r="O317" i="10"/>
  <c r="O283" i="10"/>
  <c r="AI54" i="5" s="1"/>
  <c r="AK54" i="5" s="1"/>
  <c r="AL54" i="5" s="1"/>
  <c r="O172" i="10"/>
  <c r="AI176" i="5" s="1"/>
  <c r="N131" i="10"/>
  <c r="AC328" i="5" s="1"/>
  <c r="N94" i="10"/>
  <c r="AC363" i="5" s="1"/>
  <c r="AE363" i="5" s="1"/>
  <c r="AE86" i="5"/>
  <c r="V86" i="5"/>
  <c r="O285" i="10"/>
  <c r="AI56" i="5" s="1"/>
  <c r="AK56" i="5" s="1"/>
  <c r="AL56" i="5" s="1"/>
  <c r="O123" i="10"/>
  <c r="O150" i="10"/>
  <c r="AI123" i="5" s="1"/>
  <c r="N230" i="10"/>
  <c r="O192" i="10"/>
  <c r="AI161" i="5" s="1"/>
  <c r="AK161" i="5" s="1"/>
  <c r="O324" i="10"/>
  <c r="AE123" i="5"/>
  <c r="V123" i="5"/>
  <c r="O340" i="10"/>
  <c r="O87" i="10"/>
  <c r="O263" i="10"/>
  <c r="AI34" i="5" s="1"/>
  <c r="AK34" i="5" s="1"/>
  <c r="AL34" i="5" s="1"/>
  <c r="O193" i="10"/>
  <c r="O129" i="10"/>
  <c r="O318" i="10"/>
  <c r="O122" i="10"/>
  <c r="AI126" i="5" s="1"/>
  <c r="O185" i="10"/>
  <c r="AI189" i="5" s="1"/>
  <c r="N223" i="10"/>
  <c r="AC227" i="5" s="1"/>
  <c r="O120" i="10"/>
  <c r="C84" i="12"/>
  <c r="N184" i="10" s="1"/>
  <c r="N183" i="10"/>
  <c r="O95" i="10"/>
  <c r="AI364" i="5" s="1"/>
  <c r="AK364" i="5" s="1"/>
  <c r="O261" i="10"/>
  <c r="AI32" i="5" s="1"/>
  <c r="AK32" i="5" s="1"/>
  <c r="AL32" i="5" s="1"/>
  <c r="O169" i="10"/>
  <c r="O133" i="10"/>
  <c r="N90" i="10"/>
  <c r="N127" i="10"/>
  <c r="N196" i="10"/>
  <c r="AC165" i="5" s="1"/>
  <c r="AE165" i="5" s="1"/>
  <c r="N269" i="10"/>
  <c r="AC40" i="5" s="1"/>
  <c r="AE40" i="5" s="1"/>
  <c r="AF40" i="5" s="1"/>
  <c r="N325" i="10"/>
  <c r="AC95" i="5" s="1"/>
  <c r="N191" i="10"/>
  <c r="AC160" i="5" s="1"/>
  <c r="AE160" i="5" s="1"/>
  <c r="N320" i="10"/>
  <c r="AC90" i="5" s="1"/>
  <c r="N264" i="10"/>
  <c r="AC35" i="5" s="1"/>
  <c r="AE35" i="5" s="1"/>
  <c r="AF35" i="5" s="1"/>
  <c r="P82" i="10"/>
  <c r="V210" i="5"/>
  <c r="O86" i="10"/>
  <c r="O298" i="10"/>
  <c r="AI68" i="5" s="1"/>
  <c r="AK68" i="5" s="1"/>
  <c r="AL68" i="5" s="1"/>
  <c r="O321" i="10"/>
  <c r="N225" i="10"/>
  <c r="O187" i="10"/>
  <c r="AI156" i="5" s="1"/>
  <c r="AK156" i="5" s="1"/>
  <c r="P119" i="10"/>
  <c r="O118" i="10"/>
  <c r="O121" i="10"/>
  <c r="AI125" i="5" s="1"/>
  <c r="O190" i="10"/>
  <c r="AI159" i="5" s="1"/>
  <c r="AK159" i="5" s="1"/>
  <c r="O326" i="10"/>
  <c r="O92" i="10"/>
  <c r="AI361" i="5" s="1"/>
  <c r="AK361" i="5" s="1"/>
  <c r="O262" i="10"/>
  <c r="AI33" i="5" s="1"/>
  <c r="AK33" i="5" s="1"/>
  <c r="AL33" i="5" s="1"/>
  <c r="O85" i="10"/>
  <c r="V211" i="5"/>
  <c r="O83" i="10"/>
  <c r="O88" i="10"/>
  <c r="AE130" i="5"/>
  <c r="V130" i="5"/>
  <c r="N226" i="10"/>
  <c r="AC196" i="5" s="1"/>
  <c r="O188" i="10"/>
  <c r="AI157" i="5" s="1"/>
  <c r="AK157" i="5" s="1"/>
  <c r="O342" i="10"/>
  <c r="O96" i="10"/>
  <c r="AI365" i="5" s="1"/>
  <c r="AK365" i="5" s="1"/>
  <c r="V246" i="5"/>
  <c r="AY81" i="5"/>
  <c r="AZ81" i="5"/>
  <c r="BB81" i="5"/>
  <c r="BA81" i="5"/>
  <c r="BA77" i="5"/>
  <c r="AZ77" i="5"/>
  <c r="BB77" i="5"/>
  <c r="AY77" i="5"/>
  <c r="BB73" i="5"/>
  <c r="AY73" i="5"/>
  <c r="BA73" i="5"/>
  <c r="AZ73" i="5"/>
  <c r="AZ69" i="5"/>
  <c r="BA69" i="5"/>
  <c r="AY69" i="5"/>
  <c r="BB69" i="5"/>
  <c r="AZ65" i="5"/>
  <c r="BA65" i="5"/>
  <c r="AY65" i="5"/>
  <c r="BB65" i="5"/>
  <c r="BB61" i="5"/>
  <c r="AY61" i="5"/>
  <c r="BA61" i="5"/>
  <c r="AZ61" i="5"/>
  <c r="AY57" i="5"/>
  <c r="AZ57" i="5"/>
  <c r="AZ53" i="5"/>
  <c r="BA53" i="5"/>
  <c r="AY53" i="5"/>
  <c r="BB53" i="5"/>
  <c r="AZ49" i="5"/>
  <c r="BA49" i="5"/>
  <c r="AY49" i="5"/>
  <c r="BB49" i="5"/>
  <c r="BB45" i="5"/>
  <c r="AY45" i="5"/>
  <c r="BA45" i="5"/>
  <c r="AZ45" i="5"/>
  <c r="AY41" i="5"/>
  <c r="AY33" i="5"/>
  <c r="AY8" i="5"/>
  <c r="AZ80" i="5"/>
  <c r="AY80" i="5"/>
  <c r="BA80" i="5"/>
  <c r="BB80" i="5"/>
  <c r="BA76" i="5"/>
  <c r="AY76" i="5"/>
  <c r="AZ76" i="5"/>
  <c r="BB76" i="5"/>
  <c r="AY72" i="5"/>
  <c r="AZ72" i="5"/>
  <c r="BB72" i="5"/>
  <c r="BA72" i="5"/>
  <c r="AY68" i="5"/>
  <c r="BA64" i="5"/>
  <c r="BB64" i="5"/>
  <c r="AZ64" i="5"/>
  <c r="AY64" i="5"/>
  <c r="BB60" i="5"/>
  <c r="AY60" i="5"/>
  <c r="BA60" i="5"/>
  <c r="AZ60" i="5"/>
  <c r="AY56" i="5"/>
  <c r="AZ52" i="5"/>
  <c r="BA52" i="5"/>
  <c r="AY52" i="5"/>
  <c r="BB52" i="5"/>
  <c r="BB44" i="5"/>
  <c r="AY44" i="5"/>
  <c r="BA44" i="5"/>
  <c r="AZ44" i="5"/>
  <c r="AY36" i="5"/>
  <c r="AY32" i="5"/>
  <c r="BB11" i="5"/>
  <c r="AY11" i="5"/>
  <c r="BA11" i="5"/>
  <c r="AZ11" i="5"/>
  <c r="BB9" i="5"/>
  <c r="AY9" i="5"/>
  <c r="BA9" i="5"/>
  <c r="AZ9" i="5"/>
  <c r="AY83" i="5"/>
  <c r="BA83" i="5"/>
  <c r="BB83" i="5"/>
  <c r="AZ83" i="5"/>
  <c r="AZ79" i="5"/>
  <c r="BB79" i="5"/>
  <c r="BA79" i="5"/>
  <c r="AY79" i="5"/>
  <c r="AY75" i="5"/>
  <c r="BA75" i="5"/>
  <c r="AZ75" i="5"/>
  <c r="BB75" i="5"/>
  <c r="AY71" i="5"/>
  <c r="AZ71" i="5"/>
  <c r="BB71" i="5"/>
  <c r="BA71" i="5"/>
  <c r="AZ67" i="5"/>
  <c r="BA67" i="5"/>
  <c r="AY67" i="5"/>
  <c r="BB67" i="5"/>
  <c r="BA63" i="5"/>
  <c r="BB63" i="5"/>
  <c r="AZ63" i="5"/>
  <c r="AY63" i="5"/>
  <c r="BB59" i="5"/>
  <c r="AY59" i="5"/>
  <c r="BA59" i="5"/>
  <c r="AZ59" i="5"/>
  <c r="AY55" i="5"/>
  <c r="AZ51" i="5"/>
  <c r="BA51" i="5"/>
  <c r="AY51" i="5"/>
  <c r="BB51" i="5"/>
  <c r="BA47" i="5"/>
  <c r="BB47" i="5"/>
  <c r="AZ47" i="5"/>
  <c r="AY47" i="5"/>
  <c r="BB43" i="5"/>
  <c r="AY43" i="5"/>
  <c r="BA43" i="5"/>
  <c r="AZ43" i="5"/>
  <c r="AY39" i="5"/>
  <c r="AY31" i="5"/>
  <c r="BB10" i="5"/>
  <c r="AY10" i="5"/>
  <c r="BA10" i="5"/>
  <c r="AZ10" i="5"/>
  <c r="AY82" i="5"/>
  <c r="AZ82" i="5"/>
  <c r="BA82" i="5"/>
  <c r="BB82" i="5"/>
  <c r="BA78" i="5"/>
  <c r="BB78" i="5"/>
  <c r="AZ78" i="5"/>
  <c r="AY78" i="5"/>
  <c r="BB74" i="5"/>
  <c r="AY74" i="5"/>
  <c r="BA74" i="5"/>
  <c r="AZ74" i="5"/>
  <c r="AZ70" i="5"/>
  <c r="BA70" i="5"/>
  <c r="AY70" i="5"/>
  <c r="BB70" i="5"/>
  <c r="AZ66" i="5"/>
  <c r="BA66" i="5"/>
  <c r="AY66" i="5"/>
  <c r="BB66" i="5"/>
  <c r="BB62" i="5"/>
  <c r="AY62" i="5"/>
  <c r="BA62" i="5"/>
  <c r="AZ62" i="5"/>
  <c r="BB58" i="5"/>
  <c r="AY58" i="5"/>
  <c r="BA58" i="5"/>
  <c r="AZ58" i="5"/>
  <c r="AY54" i="5"/>
  <c r="AZ50" i="5"/>
  <c r="BA50" i="5"/>
  <c r="AY50" i="5"/>
  <c r="BB50" i="5"/>
  <c r="BB46" i="5"/>
  <c r="AY46" i="5"/>
  <c r="BA46" i="5"/>
  <c r="AZ46" i="5"/>
  <c r="BB42" i="5"/>
  <c r="AY42" i="5"/>
  <c r="BA42" i="5"/>
  <c r="AZ42" i="5"/>
  <c r="AZ34" i="5"/>
  <c r="AY34" i="5"/>
  <c r="N103" i="10"/>
  <c r="AC372" i="5" s="1"/>
  <c r="AE372" i="5" s="1"/>
  <c r="N333" i="10"/>
  <c r="AC348" i="5" s="1"/>
  <c r="AE348" i="5" s="1"/>
  <c r="N277" i="10"/>
  <c r="N140" i="10"/>
  <c r="O204" i="10"/>
  <c r="V8" i="5"/>
  <c r="AF141" i="5" l="1"/>
  <c r="AZ41" i="5"/>
  <c r="AZ32" i="5"/>
  <c r="AZ36" i="5"/>
  <c r="AZ54" i="5"/>
  <c r="AZ39" i="5"/>
  <c r="AY38" i="5"/>
  <c r="AY37" i="5"/>
  <c r="AL215" i="5"/>
  <c r="AZ215" i="5"/>
  <c r="AL214" i="5"/>
  <c r="AZ214" i="5"/>
  <c r="AY30" i="5"/>
  <c r="N231" i="10"/>
  <c r="AC235" i="5" s="1"/>
  <c r="AE235" i="5" s="1"/>
  <c r="AI141" i="5"/>
  <c r="AK141" i="5" s="1"/>
  <c r="AL141" i="5" s="1"/>
  <c r="N233" i="10"/>
  <c r="AC203" i="5" s="1"/>
  <c r="AE203" i="5" s="1"/>
  <c r="AY203" i="5" s="1"/>
  <c r="AY29" i="5"/>
  <c r="AZ68" i="5"/>
  <c r="AZ33" i="5"/>
  <c r="AC103" i="5"/>
  <c r="AE103" i="5" s="1"/>
  <c r="AY103" i="5" s="1"/>
  <c r="AL159" i="5"/>
  <c r="AZ159" i="5"/>
  <c r="AL161" i="5"/>
  <c r="AZ161" i="5"/>
  <c r="AL166" i="5"/>
  <c r="AZ166" i="5"/>
  <c r="AI87" i="5"/>
  <c r="AI352" i="5"/>
  <c r="AK352" i="5" s="1"/>
  <c r="AL361" i="5"/>
  <c r="AZ361" i="5"/>
  <c r="AC188" i="5"/>
  <c r="AC153" i="5"/>
  <c r="AE153" i="5" s="1"/>
  <c r="AI162" i="5"/>
  <c r="AK162" i="5" s="1"/>
  <c r="AR358" i="5"/>
  <c r="BA358" i="5"/>
  <c r="AY362" i="5"/>
  <c r="AF362" i="5"/>
  <c r="AL164" i="5"/>
  <c r="AZ164" i="5"/>
  <c r="AL158" i="5"/>
  <c r="AZ158" i="5"/>
  <c r="AI326" i="5"/>
  <c r="AI319" i="5"/>
  <c r="AC193" i="5"/>
  <c r="AE193" i="5" s="1"/>
  <c r="AC201" i="5"/>
  <c r="AE201" i="5" s="1"/>
  <c r="AL222" i="5"/>
  <c r="AZ222" i="5"/>
  <c r="AF259" i="5"/>
  <c r="AY259" i="5"/>
  <c r="AL316" i="5"/>
  <c r="AZ316" i="5"/>
  <c r="AF162" i="5"/>
  <c r="AY162" i="5"/>
  <c r="AF317" i="5"/>
  <c r="AY317" i="5"/>
  <c r="AC292" i="5"/>
  <c r="AE292" i="5" s="1"/>
  <c r="AY292" i="5" s="1"/>
  <c r="AC48" i="5"/>
  <c r="AE48" i="5" s="1"/>
  <c r="AZ31" i="5"/>
  <c r="AZ55" i="5"/>
  <c r="AZ56" i="5"/>
  <c r="AL365" i="5"/>
  <c r="AZ365" i="5"/>
  <c r="AI122" i="5"/>
  <c r="AI315" i="5"/>
  <c r="AK315" i="5" s="1"/>
  <c r="AF160" i="5"/>
  <c r="AY160" i="5"/>
  <c r="AI124" i="5"/>
  <c r="AI317" i="5"/>
  <c r="AK317" i="5" s="1"/>
  <c r="AZ360" i="5"/>
  <c r="AL360" i="5"/>
  <c r="AZ353" i="5"/>
  <c r="AL353" i="5"/>
  <c r="AL221" i="5"/>
  <c r="AZ221" i="5"/>
  <c r="AY350" i="5"/>
  <c r="AF350" i="5"/>
  <c r="AL351" i="5"/>
  <c r="AZ351" i="5"/>
  <c r="AL157" i="5"/>
  <c r="AZ157" i="5"/>
  <c r="AZ156" i="5"/>
  <c r="AL156" i="5"/>
  <c r="AC187" i="5"/>
  <c r="AC152" i="5"/>
  <c r="AE152" i="5" s="1"/>
  <c r="N220" i="10"/>
  <c r="AI270" i="5"/>
  <c r="AI37" i="5"/>
  <c r="AK37" i="5" s="1"/>
  <c r="AI263" i="5"/>
  <c r="AI30" i="5"/>
  <c r="AK30" i="5" s="1"/>
  <c r="AY35" i="5"/>
  <c r="AI219" i="5"/>
  <c r="AK219" i="5" s="1"/>
  <c r="AL219" i="5" s="1"/>
  <c r="O241" i="10"/>
  <c r="AY372" i="5"/>
  <c r="AF372" i="5"/>
  <c r="AY40" i="5"/>
  <c r="AY84" i="5"/>
  <c r="N228" i="10"/>
  <c r="AC232" i="5" s="1"/>
  <c r="AE232" i="5" s="1"/>
  <c r="AO316" i="5"/>
  <c r="AQ316" i="5" s="1"/>
  <c r="AO351" i="5"/>
  <c r="AQ351" i="5" s="1"/>
  <c r="AC94" i="5"/>
  <c r="AC359" i="5"/>
  <c r="AE359" i="5" s="1"/>
  <c r="AL364" i="5"/>
  <c r="AZ364" i="5"/>
  <c r="AF363" i="5"/>
  <c r="AY363" i="5"/>
  <c r="AI262" i="5"/>
  <c r="AI29" i="5"/>
  <c r="AK29" i="5" s="1"/>
  <c r="AI318" i="5"/>
  <c r="AI84" i="5"/>
  <c r="AK84" i="5" s="1"/>
  <c r="AI85" i="5"/>
  <c r="AI350" i="5"/>
  <c r="AK350" i="5" s="1"/>
  <c r="AR213" i="5"/>
  <c r="BA213" i="5"/>
  <c r="AF163" i="5"/>
  <c r="AY163" i="5"/>
  <c r="AF260" i="5"/>
  <c r="AY260" i="5"/>
  <c r="AC194" i="5"/>
  <c r="AE194" i="5" s="1"/>
  <c r="AF315" i="5"/>
  <c r="AY315" i="5"/>
  <c r="AF352" i="5"/>
  <c r="AY352" i="5"/>
  <c r="AF313" i="5"/>
  <c r="AY313" i="5"/>
  <c r="AY356" i="5"/>
  <c r="AF356" i="5"/>
  <c r="AF331" i="5"/>
  <c r="AY331" i="5"/>
  <c r="AF280" i="5"/>
  <c r="AY280" i="5"/>
  <c r="AI346" i="5"/>
  <c r="AI357" i="5"/>
  <c r="AK357" i="5" s="1"/>
  <c r="AI330" i="5"/>
  <c r="AI341" i="5"/>
  <c r="AK341" i="5" s="1"/>
  <c r="AI325" i="5"/>
  <c r="AI336" i="5"/>
  <c r="AK336" i="5" s="1"/>
  <c r="AC195" i="5"/>
  <c r="AC206" i="5"/>
  <c r="AE206" i="5" s="1"/>
  <c r="AC131" i="5"/>
  <c r="AC142" i="5"/>
  <c r="AE142" i="5" s="1"/>
  <c r="AI265" i="5"/>
  <c r="AI276" i="5"/>
  <c r="AK276" i="5" s="1"/>
  <c r="AI322" i="5"/>
  <c r="AI333" i="5"/>
  <c r="AK333" i="5" s="1"/>
  <c r="AI267" i="5"/>
  <c r="AI278" i="5"/>
  <c r="AK278" i="5" s="1"/>
  <c r="AI154" i="5"/>
  <c r="AI287" i="5"/>
  <c r="AI298" i="5"/>
  <c r="AK298" i="5" s="1"/>
  <c r="AC97" i="5"/>
  <c r="AC110" i="5"/>
  <c r="AE110" i="5" s="1"/>
  <c r="AI323" i="5"/>
  <c r="AI334" i="5"/>
  <c r="AK334" i="5" s="1"/>
  <c r="AI343" i="5"/>
  <c r="AI354" i="5"/>
  <c r="AK354" i="5" s="1"/>
  <c r="AC231" i="5"/>
  <c r="AE231" i="5" s="1"/>
  <c r="AC242" i="5"/>
  <c r="AE242" i="5" s="1"/>
  <c r="AI288" i="5"/>
  <c r="AI299" i="5"/>
  <c r="AK299" i="5" s="1"/>
  <c r="AI175" i="5"/>
  <c r="AI186" i="5"/>
  <c r="AK186" i="5" s="1"/>
  <c r="AI210" i="5"/>
  <c r="AK210" i="5" s="1"/>
  <c r="AF104" i="5"/>
  <c r="AY104" i="5"/>
  <c r="AF275" i="5"/>
  <c r="AY275" i="5"/>
  <c r="AF348" i="5"/>
  <c r="AY348" i="5"/>
  <c r="AI100" i="5"/>
  <c r="AI113" i="5"/>
  <c r="AK113" i="5" s="1"/>
  <c r="AC200" i="5"/>
  <c r="AC211" i="5"/>
  <c r="AE211" i="5" s="1"/>
  <c r="AF211" i="5" s="1"/>
  <c r="AC234" i="5"/>
  <c r="AE234" i="5" s="1"/>
  <c r="AC245" i="5"/>
  <c r="AE245" i="5" s="1"/>
  <c r="AC134" i="5"/>
  <c r="AC145" i="5"/>
  <c r="AE145" i="5" s="1"/>
  <c r="AC198" i="5"/>
  <c r="AC209" i="5"/>
  <c r="AE209" i="5" s="1"/>
  <c r="AF108" i="5"/>
  <c r="AY108" i="5"/>
  <c r="AF341" i="5"/>
  <c r="AY341" i="5"/>
  <c r="AF105" i="5"/>
  <c r="AY105" i="5"/>
  <c r="AF139" i="5"/>
  <c r="AY139" i="5"/>
  <c r="AF184" i="5"/>
  <c r="AY184" i="5"/>
  <c r="AF138" i="5"/>
  <c r="AY138" i="5"/>
  <c r="AF332" i="5"/>
  <c r="AY332" i="5"/>
  <c r="AZ219" i="5"/>
  <c r="AC144" i="5"/>
  <c r="AE144" i="5" s="1"/>
  <c r="AY144" i="5" s="1"/>
  <c r="AC155" i="5"/>
  <c r="AE155" i="5" s="1"/>
  <c r="AI92" i="5"/>
  <c r="AI105" i="5"/>
  <c r="AK105" i="5" s="1"/>
  <c r="AI89" i="5"/>
  <c r="AI102" i="5"/>
  <c r="AK102" i="5" s="1"/>
  <c r="AC243" i="5"/>
  <c r="AE243" i="5" s="1"/>
  <c r="AI302" i="5"/>
  <c r="AI313" i="5"/>
  <c r="AK313" i="5" s="1"/>
  <c r="AC329" i="5"/>
  <c r="AC340" i="5"/>
  <c r="AE340" i="5" s="1"/>
  <c r="AI99" i="5"/>
  <c r="AI112" i="5"/>
  <c r="AK112" i="5" s="1"/>
  <c r="AI133" i="5"/>
  <c r="AI91" i="5"/>
  <c r="AI104" i="5"/>
  <c r="AK104" i="5" s="1"/>
  <c r="AI339" i="5"/>
  <c r="AK339" i="5" s="1"/>
  <c r="AI127" i="5"/>
  <c r="AI138" i="5"/>
  <c r="AK138" i="5" s="1"/>
  <c r="AC98" i="5"/>
  <c r="AC111" i="5"/>
  <c r="AE111" i="5" s="1"/>
  <c r="AI321" i="5"/>
  <c r="AI332" i="5"/>
  <c r="AK332" i="5" s="1"/>
  <c r="AI132" i="5"/>
  <c r="AI143" i="5"/>
  <c r="AK143" i="5" s="1"/>
  <c r="AI128" i="5"/>
  <c r="AI139" i="5"/>
  <c r="AK139" i="5" s="1"/>
  <c r="AO130" i="5"/>
  <c r="AO222" i="5"/>
  <c r="AQ222" i="5" s="1"/>
  <c r="AI320" i="5"/>
  <c r="AI331" i="5"/>
  <c r="AK331" i="5" s="1"/>
  <c r="AC327" i="5"/>
  <c r="AC338" i="5"/>
  <c r="AE338" i="5" s="1"/>
  <c r="AC246" i="5"/>
  <c r="AE246" i="5" s="1"/>
  <c r="AF246" i="5" s="1"/>
  <c r="AC257" i="5"/>
  <c r="AE257" i="5" s="1"/>
  <c r="AY357" i="5"/>
  <c r="AF357" i="5"/>
  <c r="AF112" i="5"/>
  <c r="AY112" i="5"/>
  <c r="AF212" i="5"/>
  <c r="AY212" i="5"/>
  <c r="AF299" i="5"/>
  <c r="AY299" i="5"/>
  <c r="AF336" i="5"/>
  <c r="AY336" i="5"/>
  <c r="AF102" i="5"/>
  <c r="AY102" i="5"/>
  <c r="AF339" i="5"/>
  <c r="AY339" i="5"/>
  <c r="AF165" i="5"/>
  <c r="AY165" i="5"/>
  <c r="AF301" i="5"/>
  <c r="AY301" i="5"/>
  <c r="AF143" i="5"/>
  <c r="AY143" i="5"/>
  <c r="AF334" i="5"/>
  <c r="AY334" i="5"/>
  <c r="AF185" i="5"/>
  <c r="AY185" i="5"/>
  <c r="AF283" i="5"/>
  <c r="AY283" i="5"/>
  <c r="AF148" i="5"/>
  <c r="AY148" i="5"/>
  <c r="AF276" i="5"/>
  <c r="AY276" i="5"/>
  <c r="AL106" i="5"/>
  <c r="AZ106" i="5"/>
  <c r="AF277" i="5"/>
  <c r="AY277" i="5"/>
  <c r="AF205" i="5"/>
  <c r="AY205" i="5"/>
  <c r="AF298" i="5"/>
  <c r="AY298" i="5"/>
  <c r="AF140" i="5"/>
  <c r="AY140" i="5"/>
  <c r="AI96" i="5"/>
  <c r="AI109" i="5"/>
  <c r="AK109" i="5" s="1"/>
  <c r="AC229" i="5"/>
  <c r="AE229" i="5" s="1"/>
  <c r="AC240" i="5"/>
  <c r="AE240" i="5" s="1"/>
  <c r="AC324" i="5"/>
  <c r="AC335" i="5"/>
  <c r="AE335" i="5" s="1"/>
  <c r="AI173" i="5"/>
  <c r="AI184" i="5"/>
  <c r="AK184" i="5" s="1"/>
  <c r="AO106" i="5"/>
  <c r="AQ106" i="5" s="1"/>
  <c r="AI264" i="5"/>
  <c r="AI275" i="5"/>
  <c r="AK275" i="5" s="1"/>
  <c r="AI290" i="5"/>
  <c r="AI301" i="5"/>
  <c r="AK301" i="5" s="1"/>
  <c r="AC239" i="5"/>
  <c r="AE239" i="5" s="1"/>
  <c r="AC250" i="5"/>
  <c r="AE250" i="5" s="1"/>
  <c r="AO221" i="5"/>
  <c r="AQ221" i="5" s="1"/>
  <c r="AF113" i="5"/>
  <c r="AY113" i="5"/>
  <c r="AF101" i="5"/>
  <c r="AY101" i="5"/>
  <c r="AF300" i="5"/>
  <c r="AY300" i="5"/>
  <c r="AF207" i="5"/>
  <c r="AY207" i="5"/>
  <c r="AF354" i="5"/>
  <c r="AY354" i="5"/>
  <c r="AF285" i="5"/>
  <c r="AY285" i="5"/>
  <c r="AF147" i="5"/>
  <c r="AY147" i="5"/>
  <c r="AF109" i="5"/>
  <c r="AY109" i="5"/>
  <c r="AF333" i="5"/>
  <c r="AY333" i="5"/>
  <c r="AF186" i="5"/>
  <c r="AY186" i="5"/>
  <c r="AC107" i="5"/>
  <c r="AE107" i="5" s="1"/>
  <c r="AY107" i="5" s="1"/>
  <c r="AC120" i="5"/>
  <c r="AE120" i="5" s="1"/>
  <c r="AC230" i="5"/>
  <c r="AE230" i="5" s="1"/>
  <c r="AC241" i="5"/>
  <c r="AE241" i="5" s="1"/>
  <c r="AI266" i="5"/>
  <c r="AI277" i="5"/>
  <c r="AK277" i="5" s="1"/>
  <c r="AC268" i="5"/>
  <c r="AC279" i="5"/>
  <c r="AE279" i="5" s="1"/>
  <c r="AC273" i="5"/>
  <c r="AC284" i="5"/>
  <c r="AE284" i="5" s="1"/>
  <c r="AI137" i="5"/>
  <c r="AI148" i="5"/>
  <c r="AK148" i="5" s="1"/>
  <c r="AI344" i="5"/>
  <c r="AI355" i="5"/>
  <c r="AK355" i="5" s="1"/>
  <c r="AI207" i="5"/>
  <c r="AK207" i="5" s="1"/>
  <c r="AI289" i="5"/>
  <c r="AI300" i="5"/>
  <c r="AK300" i="5" s="1"/>
  <c r="AC135" i="5"/>
  <c r="AC146" i="5"/>
  <c r="AE146" i="5" s="1"/>
  <c r="AI136" i="5"/>
  <c r="AI147" i="5"/>
  <c r="AK147" i="5" s="1"/>
  <c r="AI274" i="5"/>
  <c r="AI285" i="5"/>
  <c r="AK285" i="5" s="1"/>
  <c r="AI174" i="5"/>
  <c r="AI185" i="5"/>
  <c r="AK185" i="5" s="1"/>
  <c r="AI269" i="5"/>
  <c r="AI280" i="5"/>
  <c r="AK280" i="5" s="1"/>
  <c r="AI345" i="5"/>
  <c r="AI356" i="5"/>
  <c r="AK356" i="5" s="1"/>
  <c r="AI129" i="5"/>
  <c r="AI140" i="5"/>
  <c r="AK140" i="5" s="1"/>
  <c r="AI260" i="5"/>
  <c r="AK260" i="5" s="1"/>
  <c r="AI108" i="5"/>
  <c r="AK108" i="5" s="1"/>
  <c r="AI88" i="5"/>
  <c r="AI101" i="5"/>
  <c r="AK101" i="5" s="1"/>
  <c r="AI272" i="5"/>
  <c r="AI283" i="5"/>
  <c r="AK283" i="5" s="1"/>
  <c r="AI259" i="5"/>
  <c r="AK259" i="5" s="1"/>
  <c r="AC271" i="5"/>
  <c r="AC282" i="5"/>
  <c r="AE282" i="5" s="1"/>
  <c r="AF278" i="5"/>
  <c r="AY278" i="5"/>
  <c r="AY355" i="5"/>
  <c r="AF355" i="5"/>
  <c r="AC248" i="5"/>
  <c r="AE248" i="5" s="1"/>
  <c r="AF248" i="5" s="1"/>
  <c r="O333" i="10"/>
  <c r="AI103" i="5" s="1"/>
  <c r="AK103" i="5" s="1"/>
  <c r="AC337" i="5"/>
  <c r="O277" i="10"/>
  <c r="AI48" i="5" s="1"/>
  <c r="AK48" i="5" s="1"/>
  <c r="AC281" i="5"/>
  <c r="AE281" i="5" s="1"/>
  <c r="AY281" i="5" s="1"/>
  <c r="O242" i="10"/>
  <c r="AI212" i="5" s="1"/>
  <c r="AK212" i="5" s="1"/>
  <c r="AI208" i="5"/>
  <c r="AF86" i="5"/>
  <c r="AF210" i="5"/>
  <c r="AY86" i="5"/>
  <c r="P96" i="10"/>
  <c r="AO365" i="5" s="1"/>
  <c r="AQ365" i="5" s="1"/>
  <c r="O226" i="10"/>
  <c r="AI196" i="5" s="1"/>
  <c r="P188" i="10"/>
  <c r="AO157" i="5" s="1"/>
  <c r="AQ157" i="5" s="1"/>
  <c r="AE92" i="5"/>
  <c r="V92" i="5"/>
  <c r="AE266" i="5"/>
  <c r="V266" i="5"/>
  <c r="AE330" i="5"/>
  <c r="V330" i="5"/>
  <c r="P190" i="10"/>
  <c r="AO159" i="5" s="1"/>
  <c r="AQ159" i="5" s="1"/>
  <c r="P118" i="10"/>
  <c r="O225" i="10"/>
  <c r="P187" i="10"/>
  <c r="AO156" i="5" s="1"/>
  <c r="AQ156" i="5" s="1"/>
  <c r="AE302" i="5"/>
  <c r="V302" i="5"/>
  <c r="AY210" i="5"/>
  <c r="O264" i="10"/>
  <c r="AI35" i="5" s="1"/>
  <c r="AK35" i="5" s="1"/>
  <c r="O269" i="10"/>
  <c r="AI40" i="5" s="1"/>
  <c r="AK40" i="5" s="1"/>
  <c r="AE137" i="5"/>
  <c r="V137" i="5"/>
  <c r="AE265" i="5"/>
  <c r="V265" i="5"/>
  <c r="N221" i="10"/>
  <c r="O183" i="10"/>
  <c r="AE189" i="5"/>
  <c r="V189" i="5"/>
  <c r="P122" i="10"/>
  <c r="AO126" i="5" s="1"/>
  <c r="P129" i="10"/>
  <c r="AE267" i="5"/>
  <c r="V267" i="5"/>
  <c r="AE344" i="5"/>
  <c r="V344" i="5"/>
  <c r="AE328" i="5"/>
  <c r="V328" i="5"/>
  <c r="V234" i="5"/>
  <c r="P123" i="10"/>
  <c r="P172" i="10"/>
  <c r="AO176" i="5" s="1"/>
  <c r="P317" i="10"/>
  <c r="Q89" i="10"/>
  <c r="AU358" i="5" s="1"/>
  <c r="AW358" i="5" s="1"/>
  <c r="P258" i="10"/>
  <c r="P128" i="10"/>
  <c r="P266" i="10"/>
  <c r="P124" i="10"/>
  <c r="P260" i="10"/>
  <c r="AO31" i="5" s="1"/>
  <c r="AQ31" i="5" s="1"/>
  <c r="AE269" i="5"/>
  <c r="V269" i="5"/>
  <c r="AE290" i="5"/>
  <c r="V290" i="5"/>
  <c r="AK130" i="5"/>
  <c r="W130" i="5"/>
  <c r="W249" i="5"/>
  <c r="V231" i="5"/>
  <c r="V201" i="5"/>
  <c r="P322" i="10"/>
  <c r="AO326" i="5" s="1"/>
  <c r="P81" i="10"/>
  <c r="P316" i="10"/>
  <c r="AO86" i="5" s="1"/>
  <c r="P186" i="10"/>
  <c r="O224" i="10"/>
  <c r="AI228" i="5" s="1"/>
  <c r="W210" i="5"/>
  <c r="P171" i="10"/>
  <c r="AE346" i="5"/>
  <c r="V346" i="5"/>
  <c r="V230" i="5"/>
  <c r="P88" i="10"/>
  <c r="P262" i="10"/>
  <c r="AO33" i="5" s="1"/>
  <c r="AQ33" i="5" s="1"/>
  <c r="P326" i="10"/>
  <c r="AE125" i="5"/>
  <c r="V125" i="5"/>
  <c r="AK123" i="5"/>
  <c r="W123" i="5"/>
  <c r="V229" i="5"/>
  <c r="P298" i="10"/>
  <c r="AO68" i="5" s="1"/>
  <c r="AQ68" i="5" s="1"/>
  <c r="O320" i="10"/>
  <c r="AI90" i="5" s="1"/>
  <c r="N234" i="10"/>
  <c r="AC204" i="5" s="1"/>
  <c r="AE204" i="5" s="1"/>
  <c r="AY204" i="5" s="1"/>
  <c r="O196" i="10"/>
  <c r="AI165" i="5" s="1"/>
  <c r="AK165" i="5" s="1"/>
  <c r="P133" i="10"/>
  <c r="P261" i="10"/>
  <c r="AO32" i="5" s="1"/>
  <c r="AQ32" i="5" s="1"/>
  <c r="N222" i="10"/>
  <c r="O184" i="10"/>
  <c r="AE227" i="5"/>
  <c r="V227" i="5"/>
  <c r="AE322" i="5"/>
  <c r="V322" i="5"/>
  <c r="AE197" i="5"/>
  <c r="V197" i="5"/>
  <c r="P263" i="10"/>
  <c r="AO34" i="5" s="1"/>
  <c r="AQ34" i="5" s="1"/>
  <c r="P340" i="10"/>
  <c r="P324" i="10"/>
  <c r="AE154" i="5"/>
  <c r="V154" i="5"/>
  <c r="AE289" i="5"/>
  <c r="V289" i="5"/>
  <c r="O94" i="10"/>
  <c r="AI363" i="5" s="1"/>
  <c r="AK363" i="5" s="1"/>
  <c r="AE287" i="5"/>
  <c r="V287" i="5"/>
  <c r="AE136" i="5"/>
  <c r="V136" i="5"/>
  <c r="O130" i="10"/>
  <c r="AE274" i="5"/>
  <c r="V274" i="5"/>
  <c r="AE323" i="5"/>
  <c r="V323" i="5"/>
  <c r="AE174" i="5"/>
  <c r="V174" i="5"/>
  <c r="V199" i="5"/>
  <c r="P265" i="10"/>
  <c r="AO36" i="5" s="1"/>
  <c r="AQ36" i="5" s="1"/>
  <c r="P286" i="10"/>
  <c r="AO57" i="5" s="1"/>
  <c r="AQ57" i="5" s="1"/>
  <c r="Q126" i="10"/>
  <c r="AF93" i="5"/>
  <c r="AY93" i="5"/>
  <c r="AE318" i="5"/>
  <c r="V318" i="5"/>
  <c r="O227" i="10"/>
  <c r="AI197" i="5" s="1"/>
  <c r="P189" i="10"/>
  <c r="AO158" i="5" s="1"/>
  <c r="AQ158" i="5" s="1"/>
  <c r="V239" i="5"/>
  <c r="AE88" i="5"/>
  <c r="V88" i="5"/>
  <c r="AE288" i="5"/>
  <c r="V288" i="5"/>
  <c r="AE272" i="5"/>
  <c r="V272" i="5"/>
  <c r="AE228" i="5"/>
  <c r="V228" i="5"/>
  <c r="W248" i="5"/>
  <c r="O323" i="10"/>
  <c r="AI93" i="5" s="1"/>
  <c r="AK93" i="5" s="1"/>
  <c r="P342" i="10"/>
  <c r="AE87" i="5"/>
  <c r="V87" i="5"/>
  <c r="AE89" i="5"/>
  <c r="V89" i="5"/>
  <c r="AE96" i="5"/>
  <c r="V96" i="5"/>
  <c r="V194" i="5"/>
  <c r="P121" i="10"/>
  <c r="AO125" i="5" s="1"/>
  <c r="Q119" i="10"/>
  <c r="AE325" i="5"/>
  <c r="V325" i="5"/>
  <c r="AE90" i="5"/>
  <c r="V90" i="5"/>
  <c r="AK86" i="5"/>
  <c r="W86" i="5"/>
  <c r="N229" i="10"/>
  <c r="AC199" i="5" s="1"/>
  <c r="AE199" i="5" s="1"/>
  <c r="O191" i="10"/>
  <c r="AI160" i="5" s="1"/>
  <c r="AK160" i="5" s="1"/>
  <c r="O127" i="10"/>
  <c r="AE173" i="5"/>
  <c r="V173" i="5"/>
  <c r="AE99" i="5"/>
  <c r="V99" i="5"/>
  <c r="AE124" i="5"/>
  <c r="V124" i="5"/>
  <c r="O223" i="10"/>
  <c r="AI227" i="5" s="1"/>
  <c r="P185" i="10"/>
  <c r="AO189" i="5" s="1"/>
  <c r="P318" i="10"/>
  <c r="V235" i="5"/>
  <c r="AE91" i="5"/>
  <c r="V91" i="5"/>
  <c r="AE196" i="5"/>
  <c r="V196" i="5"/>
  <c r="P150" i="10"/>
  <c r="AO123" i="5" s="1"/>
  <c r="P285" i="10"/>
  <c r="AO56" i="5" s="1"/>
  <c r="AQ56" i="5" s="1"/>
  <c r="O131" i="10"/>
  <c r="AI328" i="5" s="1"/>
  <c r="P283" i="10"/>
  <c r="AO54" i="5" s="1"/>
  <c r="AQ54" i="5" s="1"/>
  <c r="P132" i="10"/>
  <c r="O93" i="10"/>
  <c r="AI362" i="5" s="1"/>
  <c r="AK362" i="5" s="1"/>
  <c r="P270" i="10"/>
  <c r="AO41" i="5" s="1"/>
  <c r="AQ41" i="5" s="1"/>
  <c r="P319" i="10"/>
  <c r="P170" i="10"/>
  <c r="P195" i="10"/>
  <c r="O233" i="10"/>
  <c r="AI203" i="5" s="1"/>
  <c r="AK203" i="5" s="1"/>
  <c r="AE263" i="5"/>
  <c r="V263" i="5"/>
  <c r="AE345" i="5"/>
  <c r="V345" i="5"/>
  <c r="AE343" i="5"/>
  <c r="V343" i="5"/>
  <c r="AE129" i="5"/>
  <c r="V129" i="5"/>
  <c r="W211" i="5"/>
  <c r="P314" i="10"/>
  <c r="AE95" i="5"/>
  <c r="V95" i="5"/>
  <c r="P197" i="10"/>
  <c r="AO166" i="5" s="1"/>
  <c r="AQ166" i="5" s="1"/>
  <c r="O235" i="10"/>
  <c r="AI205" i="5" s="1"/>
  <c r="AK205" i="5" s="1"/>
  <c r="P84" i="10"/>
  <c r="AO353" i="5" s="1"/>
  <c r="AQ353" i="5" s="1"/>
  <c r="P284" i="10"/>
  <c r="AO55" i="5" s="1"/>
  <c r="AQ55" i="5" s="1"/>
  <c r="P268" i="10"/>
  <c r="AO39" i="5" s="1"/>
  <c r="AQ39" i="5" s="1"/>
  <c r="AE319" i="5"/>
  <c r="V319" i="5"/>
  <c r="Q206" i="10"/>
  <c r="Q243" i="10" s="1"/>
  <c r="AU213" i="5" s="1"/>
  <c r="AW213" i="5" s="1"/>
  <c r="P244" i="10"/>
  <c r="AO214" i="5" s="1"/>
  <c r="AQ214" i="5" s="1"/>
  <c r="O267" i="10"/>
  <c r="AI38" i="5" s="1"/>
  <c r="AK38" i="5" s="1"/>
  <c r="AE100" i="5"/>
  <c r="V100" i="5"/>
  <c r="V192" i="5"/>
  <c r="AF130" i="5"/>
  <c r="AY130" i="5"/>
  <c r="P83" i="10"/>
  <c r="P85" i="10"/>
  <c r="P92" i="10"/>
  <c r="AO361" i="5" s="1"/>
  <c r="AQ361" i="5" s="1"/>
  <c r="V232" i="5"/>
  <c r="AE122" i="5"/>
  <c r="V122" i="5"/>
  <c r="V191" i="5"/>
  <c r="P321" i="10"/>
  <c r="P86" i="10"/>
  <c r="Q82" i="10"/>
  <c r="O325" i="10"/>
  <c r="AI95" i="5" s="1"/>
  <c r="O90" i="10"/>
  <c r="P169" i="10"/>
  <c r="P95" i="10"/>
  <c r="AO364" i="5" s="1"/>
  <c r="AQ364" i="5" s="1"/>
  <c r="P120" i="10"/>
  <c r="AE126" i="5"/>
  <c r="V126" i="5"/>
  <c r="AE133" i="5"/>
  <c r="V133" i="5"/>
  <c r="P193" i="10"/>
  <c r="P87" i="10"/>
  <c r="AF123" i="5"/>
  <c r="AY123" i="5"/>
  <c r="P192" i="10"/>
  <c r="AO161" i="5" s="1"/>
  <c r="AQ161" i="5" s="1"/>
  <c r="O230" i="10"/>
  <c r="AE127" i="5"/>
  <c r="V127" i="5"/>
  <c r="AE176" i="5"/>
  <c r="V176" i="5"/>
  <c r="AE321" i="5"/>
  <c r="V321" i="5"/>
  <c r="W93" i="5"/>
  <c r="AE262" i="5"/>
  <c r="V262" i="5"/>
  <c r="AE132" i="5"/>
  <c r="V132" i="5"/>
  <c r="AE270" i="5"/>
  <c r="V270" i="5"/>
  <c r="AE128" i="5"/>
  <c r="V128" i="5"/>
  <c r="AE264" i="5"/>
  <c r="V264" i="5"/>
  <c r="V237" i="5"/>
  <c r="P259" i="10"/>
  <c r="P341" i="10"/>
  <c r="P339" i="10"/>
  <c r="P125" i="10"/>
  <c r="P245" i="10"/>
  <c r="AO215" i="5" s="1"/>
  <c r="AQ215" i="5" s="1"/>
  <c r="Q207" i="10"/>
  <c r="V193" i="5"/>
  <c r="P91" i="10"/>
  <c r="AO360" i="5" s="1"/>
  <c r="AQ360" i="5" s="1"/>
  <c r="AE326" i="5"/>
  <c r="V326" i="5"/>
  <c r="AE85" i="5"/>
  <c r="V85" i="5"/>
  <c r="AE320" i="5"/>
  <c r="V320" i="5"/>
  <c r="V190" i="5"/>
  <c r="P315" i="10"/>
  <c r="AO319" i="5" s="1"/>
  <c r="AE175" i="5"/>
  <c r="V175" i="5"/>
  <c r="O194" i="10"/>
  <c r="AI163" i="5" s="1"/>
  <c r="AK163" i="5" s="1"/>
  <c r="N232" i="10"/>
  <c r="AC202" i="5" s="1"/>
  <c r="AE202" i="5" s="1"/>
  <c r="AF202" i="5" s="1"/>
  <c r="W246" i="5"/>
  <c r="BC42" i="5"/>
  <c r="BC58" i="5"/>
  <c r="BC70" i="5"/>
  <c r="BC82" i="5"/>
  <c r="BC10" i="5"/>
  <c r="BC75" i="5"/>
  <c r="BC44" i="5"/>
  <c r="BC60" i="5"/>
  <c r="BC45" i="5"/>
  <c r="BC61" i="5"/>
  <c r="BC74" i="5"/>
  <c r="BC46" i="5"/>
  <c r="BC50" i="5"/>
  <c r="BC62" i="5"/>
  <c r="BC66" i="5"/>
  <c r="BC9" i="5"/>
  <c r="BC52" i="5"/>
  <c r="BC80" i="5"/>
  <c r="BC49" i="5"/>
  <c r="BC65" i="5"/>
  <c r="BC51" i="5"/>
  <c r="BC67" i="5"/>
  <c r="BC71" i="5"/>
  <c r="BC72" i="5"/>
  <c r="BC76" i="5"/>
  <c r="BC73" i="5"/>
  <c r="BC77" i="5"/>
  <c r="BC78" i="5"/>
  <c r="BC43" i="5"/>
  <c r="BC47" i="5"/>
  <c r="BC59" i="5"/>
  <c r="BC63" i="5"/>
  <c r="BC79" i="5"/>
  <c r="BC83" i="5"/>
  <c r="BC11" i="5"/>
  <c r="BC64" i="5"/>
  <c r="BC53" i="5"/>
  <c r="BC69" i="5"/>
  <c r="BC81" i="5"/>
  <c r="V337" i="5"/>
  <c r="O140" i="10"/>
  <c r="AI155" i="5" s="1"/>
  <c r="AK155" i="5" s="1"/>
  <c r="O103" i="10"/>
  <c r="P204" i="10"/>
  <c r="V107" i="5"/>
  <c r="V144" i="5"/>
  <c r="AE208" i="5"/>
  <c r="AY208" i="5" s="1"/>
  <c r="V208" i="5"/>
  <c r="Y11" i="5"/>
  <c r="Y10" i="5"/>
  <c r="V10" i="5"/>
  <c r="AF8" i="5"/>
  <c r="V11" i="5"/>
  <c r="AF11" i="5" s="1"/>
  <c r="X10" i="5"/>
  <c r="W11" i="5"/>
  <c r="AL11" i="5" s="1"/>
  <c r="X11" i="5"/>
  <c r="AR11" i="5" s="1"/>
  <c r="W10" i="5"/>
  <c r="AK8" i="5"/>
  <c r="AF203" i="5" l="1"/>
  <c r="P333" i="10"/>
  <c r="AX11" i="5"/>
  <c r="AF292" i="5"/>
  <c r="AF103" i="5"/>
  <c r="AZ141" i="5"/>
  <c r="AR215" i="5"/>
  <c r="BA215" i="5"/>
  <c r="AR214" i="5"/>
  <c r="BA214" i="5"/>
  <c r="AO141" i="5"/>
  <c r="AQ141" i="5" s="1"/>
  <c r="AR141" i="5" s="1"/>
  <c r="O231" i="10"/>
  <c r="AI235" i="5" s="1"/>
  <c r="AK235" i="5" s="1"/>
  <c r="AI193" i="5"/>
  <c r="AK193" i="5" s="1"/>
  <c r="AY211" i="5"/>
  <c r="AO318" i="5"/>
  <c r="AO84" i="5"/>
  <c r="AQ84" i="5" s="1"/>
  <c r="AR158" i="5"/>
  <c r="BA158" i="5"/>
  <c r="AR34" i="5"/>
  <c r="BA34" i="5"/>
  <c r="AR159" i="5"/>
  <c r="BA159" i="5"/>
  <c r="AF204" i="5"/>
  <c r="AZ350" i="5"/>
  <c r="AL350" i="5"/>
  <c r="AO162" i="5"/>
  <c r="AQ162" i="5" s="1"/>
  <c r="AI94" i="5"/>
  <c r="AI359" i="5"/>
  <c r="AK359" i="5" s="1"/>
  <c r="AO87" i="5"/>
  <c r="AO352" i="5"/>
  <c r="AQ352" i="5" s="1"/>
  <c r="AR39" i="5"/>
  <c r="BA39" i="5"/>
  <c r="AR166" i="5"/>
  <c r="BA166" i="5"/>
  <c r="AR54" i="5"/>
  <c r="BA54" i="5"/>
  <c r="AL160" i="5"/>
  <c r="AZ160" i="5"/>
  <c r="AU316" i="5"/>
  <c r="AW316" i="5" s="1"/>
  <c r="AL363" i="5"/>
  <c r="AZ363" i="5"/>
  <c r="AR32" i="5"/>
  <c r="BA32" i="5"/>
  <c r="AO85" i="5"/>
  <c r="AO350" i="5"/>
  <c r="AQ350" i="5" s="1"/>
  <c r="AL35" i="5"/>
  <c r="AZ35" i="5"/>
  <c r="BA156" i="5"/>
  <c r="AR156" i="5"/>
  <c r="O228" i="10"/>
  <c r="AI198" i="5" s="1"/>
  <c r="AR157" i="5"/>
  <c r="BA157" i="5"/>
  <c r="AL260" i="5"/>
  <c r="AZ260" i="5"/>
  <c r="AI194" i="5"/>
  <c r="AK194" i="5" s="1"/>
  <c r="AR222" i="5"/>
  <c r="BA222" i="5"/>
  <c r="AY202" i="5"/>
  <c r="AL37" i="5"/>
  <c r="AZ37" i="5"/>
  <c r="AL162" i="5"/>
  <c r="AZ162" i="5"/>
  <c r="AI120" i="5"/>
  <c r="AK120" i="5" s="1"/>
  <c r="AL120" i="5" s="1"/>
  <c r="AI372" i="5"/>
  <c r="AK372" i="5" s="1"/>
  <c r="AR161" i="5"/>
  <c r="BA161" i="5"/>
  <c r="AL38" i="5"/>
  <c r="AZ38" i="5"/>
  <c r="AR36" i="5"/>
  <c r="BA36" i="5"/>
  <c r="AC226" i="5"/>
  <c r="AE226" i="5" s="1"/>
  <c r="AC192" i="5"/>
  <c r="AE192" i="5" s="1"/>
  <c r="AF192" i="5" s="1"/>
  <c r="AO270" i="5"/>
  <c r="AO37" i="5"/>
  <c r="AQ37" i="5" s="1"/>
  <c r="AL40" i="5"/>
  <c r="AZ40" i="5"/>
  <c r="AO124" i="5"/>
  <c r="AO317" i="5"/>
  <c r="AQ317" i="5" s="1"/>
  <c r="AX213" i="5"/>
  <c r="BB213" i="5"/>
  <c r="BC213" i="5" s="1"/>
  <c r="AR55" i="5"/>
  <c r="BA55" i="5"/>
  <c r="AR41" i="5"/>
  <c r="BA41" i="5"/>
  <c r="AR31" i="5"/>
  <c r="BA31" i="5"/>
  <c r="AI187" i="5"/>
  <c r="AI152" i="5"/>
  <c r="AK152" i="5" s="1"/>
  <c r="O220" i="10"/>
  <c r="AL84" i="5"/>
  <c r="AZ84" i="5"/>
  <c r="AF359" i="5"/>
  <c r="AY359" i="5"/>
  <c r="AR316" i="5"/>
  <c r="BA316" i="5"/>
  <c r="AL29" i="5"/>
  <c r="AZ29" i="5"/>
  <c r="BA351" i="5"/>
  <c r="AR351" i="5"/>
  <c r="AF152" i="5"/>
  <c r="AY152" i="5"/>
  <c r="AF48" i="5"/>
  <c r="AY48" i="5"/>
  <c r="AO219" i="5"/>
  <c r="AQ219" i="5" s="1"/>
  <c r="BA219" i="5" s="1"/>
  <c r="P241" i="10"/>
  <c r="AR68" i="5"/>
  <c r="BA68" i="5"/>
  <c r="AR33" i="5"/>
  <c r="BA33" i="5"/>
  <c r="AO262" i="5"/>
  <c r="AO29" i="5"/>
  <c r="AQ29" i="5" s="1"/>
  <c r="AL259" i="5"/>
  <c r="AZ259" i="5"/>
  <c r="AR221" i="5"/>
  <c r="BA221" i="5"/>
  <c r="AL163" i="5"/>
  <c r="AZ163" i="5"/>
  <c r="BA360" i="5"/>
  <c r="AR360" i="5"/>
  <c r="AO263" i="5"/>
  <c r="AO30" i="5"/>
  <c r="AQ30" i="5" s="1"/>
  <c r="AR364" i="5"/>
  <c r="BA364" i="5"/>
  <c r="AU351" i="5"/>
  <c r="AW351" i="5" s="1"/>
  <c r="BA361" i="5"/>
  <c r="AR361" i="5"/>
  <c r="BA353" i="5"/>
  <c r="AR353" i="5"/>
  <c r="AO210" i="5"/>
  <c r="AQ210" i="5" s="1"/>
  <c r="AO164" i="5"/>
  <c r="AQ164" i="5" s="1"/>
  <c r="AL362" i="5"/>
  <c r="AZ362" i="5"/>
  <c r="AR56" i="5"/>
  <c r="BA56" i="5"/>
  <c r="AR57" i="5"/>
  <c r="BA57" i="5"/>
  <c r="AI188" i="5"/>
  <c r="AI153" i="5"/>
  <c r="AK153" i="5" s="1"/>
  <c r="BB358" i="5"/>
  <c r="BC358" i="5" s="1"/>
  <c r="AX358" i="5"/>
  <c r="AC225" i="5"/>
  <c r="AE225" i="5" s="1"/>
  <c r="AC191" i="5"/>
  <c r="AE191" i="5" s="1"/>
  <c r="AF191" i="5" s="1"/>
  <c r="AO122" i="5"/>
  <c r="AO315" i="5"/>
  <c r="AQ315" i="5" s="1"/>
  <c r="AR365" i="5"/>
  <c r="BA365" i="5"/>
  <c r="AL48" i="5"/>
  <c r="AZ48" i="5"/>
  <c r="AL30" i="5"/>
  <c r="AZ30" i="5"/>
  <c r="AC224" i="5"/>
  <c r="AE224" i="5" s="1"/>
  <c r="AC190" i="5"/>
  <c r="AE190" i="5" s="1"/>
  <c r="AF190" i="5" s="1"/>
  <c r="AL317" i="5"/>
  <c r="AZ317" i="5"/>
  <c r="AL315" i="5"/>
  <c r="AZ315" i="5"/>
  <c r="AF153" i="5"/>
  <c r="AY153" i="5"/>
  <c r="AL352" i="5"/>
  <c r="AZ352" i="5"/>
  <c r="AZ210" i="5"/>
  <c r="AY248" i="5"/>
  <c r="AY246" i="5"/>
  <c r="AO129" i="5"/>
  <c r="AO140" i="5"/>
  <c r="AQ140" i="5" s="1"/>
  <c r="AU221" i="5"/>
  <c r="AW221" i="5" s="1"/>
  <c r="AO343" i="5"/>
  <c r="AO354" i="5"/>
  <c r="AQ354" i="5" s="1"/>
  <c r="AO207" i="5"/>
  <c r="AQ207" i="5" s="1"/>
  <c r="AO173" i="5"/>
  <c r="AO184" i="5"/>
  <c r="AQ184" i="5" s="1"/>
  <c r="AO103" i="5"/>
  <c r="AQ103" i="5" s="1"/>
  <c r="AO96" i="5"/>
  <c r="AO109" i="5"/>
  <c r="AQ109" i="5" s="1"/>
  <c r="AO88" i="5"/>
  <c r="AO101" i="5"/>
  <c r="AQ101" i="5" s="1"/>
  <c r="AO274" i="5"/>
  <c r="AO285" i="5"/>
  <c r="AQ285" i="5" s="1"/>
  <c r="AO287" i="5"/>
  <c r="AO298" i="5"/>
  <c r="AQ298" i="5" s="1"/>
  <c r="AI195" i="5"/>
  <c r="AI206" i="5"/>
  <c r="AK206" i="5" s="1"/>
  <c r="AO269" i="5"/>
  <c r="AO280" i="5"/>
  <c r="AQ280" i="5" s="1"/>
  <c r="AO339" i="5"/>
  <c r="AQ339" i="5" s="1"/>
  <c r="AO137" i="5"/>
  <c r="AO148" i="5"/>
  <c r="AQ148" i="5" s="1"/>
  <c r="AO302" i="5"/>
  <c r="AO313" i="5"/>
  <c r="AQ313" i="5" s="1"/>
  <c r="AO266" i="5"/>
  <c r="AO277" i="5"/>
  <c r="AQ277" i="5" s="1"/>
  <c r="AO128" i="5"/>
  <c r="AO139" i="5"/>
  <c r="AQ139" i="5" s="1"/>
  <c r="AU106" i="5"/>
  <c r="AW106" i="5" s="1"/>
  <c r="AO133" i="5"/>
  <c r="AI229" i="5"/>
  <c r="AK229" i="5" s="1"/>
  <c r="AI240" i="5"/>
  <c r="AK240" i="5" s="1"/>
  <c r="AI230" i="5"/>
  <c r="AK230" i="5" s="1"/>
  <c r="AI241" i="5"/>
  <c r="AK241" i="5" s="1"/>
  <c r="AI246" i="5"/>
  <c r="AK246" i="5" s="1"/>
  <c r="AZ246" i="5" s="1"/>
  <c r="AI257" i="5"/>
  <c r="AK257" i="5" s="1"/>
  <c r="AI337" i="5"/>
  <c r="AK337" i="5" s="1"/>
  <c r="AZ337" i="5" s="1"/>
  <c r="AI348" i="5"/>
  <c r="AK348" i="5" s="1"/>
  <c r="AL143" i="5"/>
  <c r="AZ143" i="5"/>
  <c r="AF111" i="5"/>
  <c r="AY111" i="5"/>
  <c r="AL339" i="5"/>
  <c r="AZ339" i="5"/>
  <c r="AF145" i="5"/>
  <c r="AY145" i="5"/>
  <c r="AF110" i="5"/>
  <c r="AY110" i="5"/>
  <c r="AL165" i="5"/>
  <c r="AZ165" i="5"/>
  <c r="AL333" i="5"/>
  <c r="AZ333" i="5"/>
  <c r="AF142" i="5"/>
  <c r="AY142" i="5"/>
  <c r="AL336" i="5"/>
  <c r="AZ336" i="5"/>
  <c r="AL357" i="5"/>
  <c r="AZ357" i="5"/>
  <c r="AF10" i="5"/>
  <c r="AL155" i="5"/>
  <c r="AZ155" i="5"/>
  <c r="AI234" i="5"/>
  <c r="AK234" i="5" s="1"/>
  <c r="AI245" i="5"/>
  <c r="AK245" i="5" s="1"/>
  <c r="AO99" i="5"/>
  <c r="AO112" i="5"/>
  <c r="AQ112" i="5" s="1"/>
  <c r="AO288" i="5"/>
  <c r="AO299" i="5"/>
  <c r="AQ299" i="5" s="1"/>
  <c r="AO323" i="5"/>
  <c r="AO334" i="5"/>
  <c r="AQ334" i="5" s="1"/>
  <c r="AO136" i="5"/>
  <c r="AO147" i="5"/>
  <c r="AQ147" i="5" s="1"/>
  <c r="AI98" i="5"/>
  <c r="AI111" i="5"/>
  <c r="AK111" i="5" s="1"/>
  <c r="AI324" i="5"/>
  <c r="AI335" i="5"/>
  <c r="AK335" i="5" s="1"/>
  <c r="AO330" i="5"/>
  <c r="AO341" i="5"/>
  <c r="AQ341" i="5" s="1"/>
  <c r="AO320" i="5"/>
  <c r="AO331" i="5"/>
  <c r="AQ331" i="5" s="1"/>
  <c r="AI268" i="5"/>
  <c r="AI279" i="5"/>
  <c r="AK279" i="5" s="1"/>
  <c r="AI243" i="5"/>
  <c r="AK243" i="5" s="1"/>
  <c r="AL283" i="5"/>
  <c r="AZ283" i="5"/>
  <c r="AL140" i="5"/>
  <c r="AZ140" i="5"/>
  <c r="AL285" i="5"/>
  <c r="AZ285" i="5"/>
  <c r="AF146" i="5"/>
  <c r="AY146" i="5"/>
  <c r="AL148" i="5"/>
  <c r="AZ148" i="5"/>
  <c r="AL277" i="5"/>
  <c r="AZ277" i="5"/>
  <c r="AR106" i="5"/>
  <c r="BA106" i="5"/>
  <c r="AL109" i="5"/>
  <c r="AZ109" i="5"/>
  <c r="AF338" i="5"/>
  <c r="AY338" i="5"/>
  <c r="AF243" i="5"/>
  <c r="AY243" i="5"/>
  <c r="AF155" i="5"/>
  <c r="AY155" i="5"/>
  <c r="AL186" i="5"/>
  <c r="AZ186" i="5"/>
  <c r="AL354" i="5"/>
  <c r="AZ354" i="5"/>
  <c r="AR10" i="5"/>
  <c r="AX10" i="5"/>
  <c r="AC236" i="5"/>
  <c r="AE236" i="5" s="1"/>
  <c r="AC247" i="5"/>
  <c r="AE247" i="5" s="1"/>
  <c r="AU222" i="5"/>
  <c r="AW222" i="5" s="1"/>
  <c r="AO345" i="5"/>
  <c r="AO356" i="5"/>
  <c r="AQ356" i="5" s="1"/>
  <c r="AO325" i="5"/>
  <c r="AO336" i="5"/>
  <c r="AQ336" i="5" s="1"/>
  <c r="AO89" i="5"/>
  <c r="AO102" i="5"/>
  <c r="AQ102" i="5" s="1"/>
  <c r="AI271" i="5"/>
  <c r="AI282" i="5"/>
  <c r="AK282" i="5" s="1"/>
  <c r="AI239" i="5"/>
  <c r="AK239" i="5" s="1"/>
  <c r="AI250" i="5"/>
  <c r="AK250" i="5" s="1"/>
  <c r="AI97" i="5"/>
  <c r="AI110" i="5"/>
  <c r="AK110" i="5" s="1"/>
  <c r="AI135" i="5"/>
  <c r="AI146" i="5"/>
  <c r="AK146" i="5" s="1"/>
  <c r="AC233" i="5"/>
  <c r="AE233" i="5" s="1"/>
  <c r="AC244" i="5"/>
  <c r="AE244" i="5" s="1"/>
  <c r="AI231" i="5"/>
  <c r="AK231" i="5" s="1"/>
  <c r="AI242" i="5"/>
  <c r="AK242" i="5" s="1"/>
  <c r="AI134" i="5"/>
  <c r="AI145" i="5"/>
  <c r="AK145" i="5" s="1"/>
  <c r="AO344" i="5"/>
  <c r="AO355" i="5"/>
  <c r="AQ355" i="5" s="1"/>
  <c r="AI200" i="5"/>
  <c r="AI211" i="5"/>
  <c r="AK211" i="5" s="1"/>
  <c r="AZ211" i="5" s="1"/>
  <c r="AO92" i="5"/>
  <c r="AO105" i="5"/>
  <c r="AQ105" i="5" s="1"/>
  <c r="AO321" i="5"/>
  <c r="AO332" i="5"/>
  <c r="AQ332" i="5" s="1"/>
  <c r="AO100" i="5"/>
  <c r="AO113" i="5"/>
  <c r="AQ113" i="5" s="1"/>
  <c r="AL101" i="5"/>
  <c r="AZ101" i="5"/>
  <c r="AZ356" i="5"/>
  <c r="AL356" i="5"/>
  <c r="AL185" i="5"/>
  <c r="AZ185" i="5"/>
  <c r="AL147" i="5"/>
  <c r="AZ147" i="5"/>
  <c r="AL300" i="5"/>
  <c r="AZ300" i="5"/>
  <c r="AZ355" i="5"/>
  <c r="AL355" i="5"/>
  <c r="AF284" i="5"/>
  <c r="AY284" i="5"/>
  <c r="AL103" i="5"/>
  <c r="AZ103" i="5"/>
  <c r="AL205" i="5"/>
  <c r="AZ205" i="5"/>
  <c r="AF241" i="5"/>
  <c r="AY241" i="5"/>
  <c r="AF120" i="5"/>
  <c r="AY120" i="5"/>
  <c r="AF250" i="5"/>
  <c r="AY250" i="5"/>
  <c r="AL275" i="5"/>
  <c r="AZ275" i="5"/>
  <c r="AL184" i="5"/>
  <c r="AZ184" i="5"/>
  <c r="AF240" i="5"/>
  <c r="AY240" i="5"/>
  <c r="AF257" i="5"/>
  <c r="AY257" i="5"/>
  <c r="AL331" i="5"/>
  <c r="AZ331" i="5"/>
  <c r="AC237" i="5"/>
  <c r="AE237" i="5" s="1"/>
  <c r="AF237" i="5" s="1"/>
  <c r="AL112" i="5"/>
  <c r="AZ112" i="5"/>
  <c r="AL313" i="5"/>
  <c r="AZ313" i="5"/>
  <c r="AL102" i="5"/>
  <c r="AZ102" i="5"/>
  <c r="AL203" i="5"/>
  <c r="AZ203" i="5"/>
  <c r="AL299" i="5"/>
  <c r="AZ299" i="5"/>
  <c r="AF242" i="5"/>
  <c r="AY242" i="5"/>
  <c r="AO91" i="5"/>
  <c r="AO104" i="5"/>
  <c r="AQ104" i="5" s="1"/>
  <c r="AO154" i="5"/>
  <c r="AI131" i="5"/>
  <c r="AI142" i="5"/>
  <c r="AK142" i="5" s="1"/>
  <c r="AI327" i="5"/>
  <c r="AI338" i="5"/>
  <c r="AK338" i="5" s="1"/>
  <c r="AO290" i="5"/>
  <c r="AO301" i="5"/>
  <c r="AQ301" i="5" s="1"/>
  <c r="AO265" i="5"/>
  <c r="AO276" i="5"/>
  <c r="AQ276" i="5" s="1"/>
  <c r="AO264" i="5"/>
  <c r="AO275" i="5"/>
  <c r="AQ275" i="5" s="1"/>
  <c r="AO127" i="5"/>
  <c r="AO138" i="5"/>
  <c r="AQ138" i="5" s="1"/>
  <c r="AF282" i="5"/>
  <c r="AY282" i="5"/>
  <c r="AL108" i="5"/>
  <c r="AZ108" i="5"/>
  <c r="AL280" i="5"/>
  <c r="AZ280" i="5"/>
  <c r="AL207" i="5"/>
  <c r="AZ207" i="5"/>
  <c r="AF279" i="5"/>
  <c r="AY279" i="5"/>
  <c r="AL301" i="5"/>
  <c r="AZ301" i="5"/>
  <c r="AF335" i="5"/>
  <c r="AY335" i="5"/>
  <c r="AF340" i="5"/>
  <c r="AY340" i="5"/>
  <c r="AL105" i="5"/>
  <c r="AZ105" i="5"/>
  <c r="AL212" i="5"/>
  <c r="AZ212" i="5"/>
  <c r="AL10" i="5"/>
  <c r="AO348" i="5"/>
  <c r="AQ348" i="5" s="1"/>
  <c r="AI209" i="5"/>
  <c r="AK209" i="5" s="1"/>
  <c r="AO108" i="5"/>
  <c r="AQ108" i="5" s="1"/>
  <c r="AO260" i="5"/>
  <c r="AQ260" i="5" s="1"/>
  <c r="AI329" i="5"/>
  <c r="AI340" i="5"/>
  <c r="AK340" i="5" s="1"/>
  <c r="AO259" i="5"/>
  <c r="AQ259" i="5" s="1"/>
  <c r="AO272" i="5"/>
  <c r="AO283" i="5"/>
  <c r="AQ283" i="5" s="1"/>
  <c r="AO174" i="5"/>
  <c r="AO185" i="5"/>
  <c r="AQ185" i="5" s="1"/>
  <c r="AO289" i="5"/>
  <c r="AO300" i="5"/>
  <c r="AQ300" i="5" s="1"/>
  <c r="AO322" i="5"/>
  <c r="AO333" i="5"/>
  <c r="AQ333" i="5" s="1"/>
  <c r="AO346" i="5"/>
  <c r="AO357" i="5"/>
  <c r="AQ357" i="5" s="1"/>
  <c r="AU130" i="5"/>
  <c r="AW130" i="5" s="1"/>
  <c r="AO267" i="5"/>
  <c r="AO278" i="5"/>
  <c r="AQ278" i="5" s="1"/>
  <c r="AC238" i="5"/>
  <c r="AE238" i="5" s="1"/>
  <c r="AC249" i="5"/>
  <c r="AE249" i="5" s="1"/>
  <c r="AO175" i="5"/>
  <c r="AO186" i="5"/>
  <c r="AQ186" i="5" s="1"/>
  <c r="AO132" i="5"/>
  <c r="AO143" i="5"/>
  <c r="AQ143" i="5" s="1"/>
  <c r="AI273" i="5"/>
  <c r="AI284" i="5"/>
  <c r="AK284" i="5" s="1"/>
  <c r="AI281" i="5"/>
  <c r="AK281" i="5" s="1"/>
  <c r="AZ281" i="5" s="1"/>
  <c r="AI292" i="5"/>
  <c r="AK292" i="5" s="1"/>
  <c r="AI248" i="5"/>
  <c r="AK248" i="5" s="1"/>
  <c r="AZ248" i="5" s="1"/>
  <c r="AL139" i="5"/>
  <c r="AZ139" i="5"/>
  <c r="AL332" i="5"/>
  <c r="AZ332" i="5"/>
  <c r="AL138" i="5"/>
  <c r="AZ138" i="5"/>
  <c r="AL104" i="5"/>
  <c r="AZ104" i="5"/>
  <c r="AF209" i="5"/>
  <c r="AY209" i="5"/>
  <c r="AF245" i="5"/>
  <c r="AY245" i="5"/>
  <c r="AL113" i="5"/>
  <c r="AZ113" i="5"/>
  <c r="AL334" i="5"/>
  <c r="AZ334" i="5"/>
  <c r="AL298" i="5"/>
  <c r="AZ298" i="5"/>
  <c r="AL278" i="5"/>
  <c r="AZ278" i="5"/>
  <c r="AL276" i="5"/>
  <c r="AZ276" i="5"/>
  <c r="AF206" i="5"/>
  <c r="AY206" i="5"/>
  <c r="AL341" i="5"/>
  <c r="AZ341" i="5"/>
  <c r="P277" i="10"/>
  <c r="P140" i="10"/>
  <c r="Q140" i="10" s="1"/>
  <c r="AI144" i="5"/>
  <c r="P242" i="10"/>
  <c r="AO212" i="5" s="1"/>
  <c r="AQ212" i="5" s="1"/>
  <c r="AO208" i="5"/>
  <c r="P103" i="10"/>
  <c r="AO372" i="5" s="1"/>
  <c r="AQ372" i="5" s="1"/>
  <c r="AI107" i="5"/>
  <c r="AK95" i="5"/>
  <c r="W95" i="5"/>
  <c r="X211" i="5"/>
  <c r="Q125" i="10"/>
  <c r="Q341" i="10"/>
  <c r="AF128" i="5"/>
  <c r="AY128" i="5"/>
  <c r="AF132" i="5"/>
  <c r="AY132" i="5"/>
  <c r="AL93" i="5"/>
  <c r="AZ93" i="5"/>
  <c r="AF176" i="5"/>
  <c r="AY176" i="5"/>
  <c r="AK196" i="5"/>
  <c r="W196" i="5"/>
  <c r="W235" i="5"/>
  <c r="AK99" i="5"/>
  <c r="W99" i="5"/>
  <c r="AE94" i="5"/>
  <c r="V94" i="5"/>
  <c r="AQ86" i="5"/>
  <c r="X86" i="5"/>
  <c r="AK325" i="5"/>
  <c r="W325" i="5"/>
  <c r="AK96" i="5"/>
  <c r="W96" i="5"/>
  <c r="AK87" i="5"/>
  <c r="W87" i="5"/>
  <c r="AE271" i="5"/>
  <c r="V271" i="5"/>
  <c r="Q244" i="10"/>
  <c r="AU214" i="5" s="1"/>
  <c r="AW214" i="5" s="1"/>
  <c r="Q268" i="10"/>
  <c r="AU39" i="5" s="1"/>
  <c r="AW39" i="5" s="1"/>
  <c r="Q84" i="10"/>
  <c r="AU353" i="5" s="1"/>
  <c r="AW353" i="5" s="1"/>
  <c r="Q195" i="10"/>
  <c r="AU164" i="5" s="1"/>
  <c r="AW164" i="5" s="1"/>
  <c r="Q319" i="10"/>
  <c r="P93" i="10"/>
  <c r="AO362" i="5" s="1"/>
  <c r="AQ362" i="5" s="1"/>
  <c r="AK287" i="5"/>
  <c r="W287" i="5"/>
  <c r="AK289" i="5"/>
  <c r="W289" i="5"/>
  <c r="AF91" i="5"/>
  <c r="AY91" i="5"/>
  <c r="Q318" i="10"/>
  <c r="AE195" i="5"/>
  <c r="V195" i="5"/>
  <c r="AL86" i="5"/>
  <c r="AZ86" i="5"/>
  <c r="AF325" i="5"/>
  <c r="AY325" i="5"/>
  <c r="Q121" i="10"/>
  <c r="AU125" i="5" s="1"/>
  <c r="AF96" i="5"/>
  <c r="AY96" i="5"/>
  <c r="AF87" i="5"/>
  <c r="AY87" i="5"/>
  <c r="AE327" i="5"/>
  <c r="V327" i="5"/>
  <c r="W231" i="5"/>
  <c r="Q286" i="10"/>
  <c r="AU57" i="5" s="1"/>
  <c r="AW57" i="5" s="1"/>
  <c r="AF199" i="5"/>
  <c r="AY199" i="5"/>
  <c r="AF323" i="5"/>
  <c r="AY323" i="5"/>
  <c r="P130" i="10"/>
  <c r="AF136" i="5"/>
  <c r="AY136" i="5"/>
  <c r="P94" i="10"/>
  <c r="AO363" i="5" s="1"/>
  <c r="AQ363" i="5" s="1"/>
  <c r="AF154" i="5"/>
  <c r="AY154" i="5"/>
  <c r="Q340" i="10"/>
  <c r="AF197" i="5"/>
  <c r="AY197" i="5"/>
  <c r="AF227" i="5"/>
  <c r="AY227" i="5"/>
  <c r="AK265" i="5"/>
  <c r="W265" i="5"/>
  <c r="AE200" i="5"/>
  <c r="V200" i="5"/>
  <c r="P320" i="10"/>
  <c r="AO90" i="5" s="1"/>
  <c r="AF229" i="5"/>
  <c r="AY229" i="5"/>
  <c r="AF125" i="5"/>
  <c r="AY125" i="5"/>
  <c r="Q262" i="10"/>
  <c r="AU33" i="5" s="1"/>
  <c r="AW33" i="5" s="1"/>
  <c r="AF230" i="5"/>
  <c r="AY230" i="5"/>
  <c r="AK175" i="5"/>
  <c r="W175" i="5"/>
  <c r="W190" i="5"/>
  <c r="Q316" i="10"/>
  <c r="AU86" i="5" s="1"/>
  <c r="AW86" i="5" s="1"/>
  <c r="Q322" i="10"/>
  <c r="AF231" i="5"/>
  <c r="AY231" i="5"/>
  <c r="AK264" i="5"/>
  <c r="W264" i="5"/>
  <c r="AK270" i="5"/>
  <c r="W270" i="5"/>
  <c r="AK262" i="5"/>
  <c r="W262" i="5"/>
  <c r="AK321" i="5"/>
  <c r="W321" i="5"/>
  <c r="AK127" i="5"/>
  <c r="W127" i="5"/>
  <c r="AK126" i="5"/>
  <c r="W126" i="5"/>
  <c r="AE187" i="5"/>
  <c r="V187" i="5"/>
  <c r="AF265" i="5"/>
  <c r="AY265" i="5"/>
  <c r="P269" i="10"/>
  <c r="AO40" i="5" s="1"/>
  <c r="AQ40" i="5" s="1"/>
  <c r="P225" i="10"/>
  <c r="Q187" i="10"/>
  <c r="AU156" i="5" s="1"/>
  <c r="AW156" i="5" s="1"/>
  <c r="W194" i="5"/>
  <c r="AF330" i="5"/>
  <c r="AY330" i="5"/>
  <c r="Q188" i="10"/>
  <c r="AU157" i="5" s="1"/>
  <c r="AW157" i="5" s="1"/>
  <c r="P226" i="10"/>
  <c r="AO196" i="5" s="1"/>
  <c r="AE198" i="5"/>
  <c r="V198" i="5"/>
  <c r="AF175" i="5"/>
  <c r="AY175" i="5"/>
  <c r="AF85" i="5"/>
  <c r="AY85" i="5"/>
  <c r="Q91" i="10"/>
  <c r="AU360" i="5" s="1"/>
  <c r="AW360" i="5" s="1"/>
  <c r="Q245" i="10"/>
  <c r="AU215" i="5" s="1"/>
  <c r="AW215" i="5" s="1"/>
  <c r="AK343" i="5"/>
  <c r="W343" i="5"/>
  <c r="AK263" i="5"/>
  <c r="W263" i="5"/>
  <c r="W234" i="5"/>
  <c r="AK91" i="5"/>
  <c r="W91" i="5"/>
  <c r="Q193" i="10"/>
  <c r="AF126" i="5"/>
  <c r="AY126" i="5"/>
  <c r="Q95" i="10"/>
  <c r="AU364" i="5" s="1"/>
  <c r="AW364" i="5" s="1"/>
  <c r="P90" i="10"/>
  <c r="Y86" i="5"/>
  <c r="Q321" i="10"/>
  <c r="AF122" i="5"/>
  <c r="AY122" i="5"/>
  <c r="Q92" i="10"/>
  <c r="AU361" i="5" s="1"/>
  <c r="AW361" i="5" s="1"/>
  <c r="Q83" i="10"/>
  <c r="P267" i="10"/>
  <c r="AO38" i="5" s="1"/>
  <c r="AQ38" i="5" s="1"/>
  <c r="AK288" i="5"/>
  <c r="W288" i="5"/>
  <c r="W201" i="5"/>
  <c r="AF95" i="5"/>
  <c r="AY95" i="5"/>
  <c r="AF343" i="5"/>
  <c r="AY343" i="5"/>
  <c r="AF263" i="5"/>
  <c r="AY263" i="5"/>
  <c r="AK174" i="5"/>
  <c r="W174" i="5"/>
  <c r="AK274" i="5"/>
  <c r="W274" i="5"/>
  <c r="Q283" i="10"/>
  <c r="AU54" i="5" s="1"/>
  <c r="AW54" i="5" s="1"/>
  <c r="Q285" i="10"/>
  <c r="AU56" i="5" s="1"/>
  <c r="AW56" i="5" s="1"/>
  <c r="AF196" i="5"/>
  <c r="AY196" i="5"/>
  <c r="AK189" i="5"/>
  <c r="W189" i="5"/>
  <c r="AF124" i="5"/>
  <c r="AY124" i="5"/>
  <c r="AF173" i="5"/>
  <c r="AY173" i="5"/>
  <c r="P191" i="10"/>
  <c r="AO160" i="5" s="1"/>
  <c r="AQ160" i="5" s="1"/>
  <c r="O229" i="10"/>
  <c r="AI199" i="5" s="1"/>
  <c r="AK199" i="5" s="1"/>
  <c r="AQ123" i="5"/>
  <c r="X123" i="5"/>
  <c r="P323" i="10"/>
  <c r="AO93" i="5" s="1"/>
  <c r="AQ93" i="5" s="1"/>
  <c r="AF228" i="5"/>
  <c r="AY228" i="5"/>
  <c r="AF288" i="5"/>
  <c r="AY288" i="5"/>
  <c r="AF239" i="5"/>
  <c r="AY239" i="5"/>
  <c r="AQ130" i="5"/>
  <c r="X130" i="5"/>
  <c r="AK269" i="5"/>
  <c r="W269" i="5"/>
  <c r="AK328" i="5"/>
  <c r="W328" i="5"/>
  <c r="AK267" i="5"/>
  <c r="W267" i="5"/>
  <c r="AE188" i="5"/>
  <c r="V188" i="5"/>
  <c r="Q261" i="10"/>
  <c r="AU32" i="5" s="1"/>
  <c r="AW32" i="5" s="1"/>
  <c r="O234" i="10"/>
  <c r="AI204" i="5" s="1"/>
  <c r="AK204" i="5" s="1"/>
  <c r="AL204" i="5" s="1"/>
  <c r="P196" i="10"/>
  <c r="AO165" i="5" s="1"/>
  <c r="AQ165" i="5" s="1"/>
  <c r="AK302" i="5"/>
  <c r="W302" i="5"/>
  <c r="AK330" i="5"/>
  <c r="W330" i="5"/>
  <c r="AK92" i="5"/>
  <c r="W92" i="5"/>
  <c r="Q171" i="10"/>
  <c r="AK228" i="5"/>
  <c r="W228" i="5"/>
  <c r="AK85" i="5"/>
  <c r="W85" i="5"/>
  <c r="AL130" i="5"/>
  <c r="AZ130" i="5"/>
  <c r="Q260" i="10"/>
  <c r="AU31" i="5" s="1"/>
  <c r="AW31" i="5" s="1"/>
  <c r="Q266" i="10"/>
  <c r="Q258" i="10"/>
  <c r="Q317" i="10"/>
  <c r="Q123" i="10"/>
  <c r="AF328" i="5"/>
  <c r="AY328" i="5"/>
  <c r="AF267" i="5"/>
  <c r="AY267" i="5"/>
  <c r="Q122" i="10"/>
  <c r="AU126" i="5" s="1"/>
  <c r="O221" i="10"/>
  <c r="P183" i="10"/>
  <c r="AE268" i="5"/>
  <c r="V268" i="5"/>
  <c r="W229" i="5"/>
  <c r="Q190" i="10"/>
  <c r="AU159" i="5" s="1"/>
  <c r="AW159" i="5" s="1"/>
  <c r="W230" i="5"/>
  <c r="V236" i="5"/>
  <c r="AK319" i="5"/>
  <c r="W319" i="5"/>
  <c r="X249" i="5"/>
  <c r="Q339" i="10"/>
  <c r="Q259" i="10"/>
  <c r="AF264" i="5"/>
  <c r="AY264" i="5"/>
  <c r="AF270" i="5"/>
  <c r="AY270" i="5"/>
  <c r="AF262" i="5"/>
  <c r="AY262" i="5"/>
  <c r="AF321" i="5"/>
  <c r="AY321" i="5"/>
  <c r="Q192" i="10"/>
  <c r="AU161" i="5" s="1"/>
  <c r="AW161" i="5" s="1"/>
  <c r="P230" i="10"/>
  <c r="Q87" i="10"/>
  <c r="AK124" i="5"/>
  <c r="W124" i="5"/>
  <c r="AK173" i="5"/>
  <c r="W173" i="5"/>
  <c r="AE329" i="5"/>
  <c r="V329" i="5"/>
  <c r="AK90" i="5"/>
  <c r="W90" i="5"/>
  <c r="AK89" i="5"/>
  <c r="W89" i="5"/>
  <c r="X210" i="5"/>
  <c r="AF319" i="5"/>
  <c r="AY319" i="5"/>
  <c r="Q284" i="10"/>
  <c r="AU55" i="5" s="1"/>
  <c r="AW55" i="5" s="1"/>
  <c r="W239" i="5"/>
  <c r="AK318" i="5"/>
  <c r="W318" i="5"/>
  <c r="W199" i="5"/>
  <c r="Q170" i="10"/>
  <c r="Q270" i="10"/>
  <c r="AU41" i="5" s="1"/>
  <c r="AW41" i="5" s="1"/>
  <c r="AK136" i="5"/>
  <c r="W136" i="5"/>
  <c r="AE135" i="5"/>
  <c r="V135" i="5"/>
  <c r="AK154" i="5"/>
  <c r="W154" i="5"/>
  <c r="AF235" i="5"/>
  <c r="AY235" i="5"/>
  <c r="Q185" i="10"/>
  <c r="AU189" i="5" s="1"/>
  <c r="P223" i="10"/>
  <c r="AO227" i="5" s="1"/>
  <c r="AE131" i="5"/>
  <c r="V131" i="5"/>
  <c r="V233" i="5"/>
  <c r="AF90" i="5"/>
  <c r="AY90" i="5"/>
  <c r="Y123" i="5"/>
  <c r="AF194" i="5"/>
  <c r="AY194" i="5"/>
  <c r="AF89" i="5"/>
  <c r="AY89" i="5"/>
  <c r="AK346" i="5"/>
  <c r="W346" i="5"/>
  <c r="W193" i="5"/>
  <c r="AF318" i="5"/>
  <c r="AY318" i="5"/>
  <c r="Y130" i="5"/>
  <c r="Q265" i="10"/>
  <c r="AU36" i="5" s="1"/>
  <c r="AW36" i="5" s="1"/>
  <c r="AF174" i="5"/>
  <c r="AY174" i="5"/>
  <c r="AF274" i="5"/>
  <c r="AY274" i="5"/>
  <c r="AF287" i="5"/>
  <c r="AY287" i="5"/>
  <c r="AF289" i="5"/>
  <c r="AY289" i="5"/>
  <c r="Q324" i="10"/>
  <c r="Q263" i="10"/>
  <c r="AU34" i="5" s="1"/>
  <c r="AW34" i="5" s="1"/>
  <c r="AF322" i="5"/>
  <c r="AY322" i="5"/>
  <c r="O222" i="10"/>
  <c r="P184" i="10"/>
  <c r="AK137" i="5"/>
  <c r="W137" i="5"/>
  <c r="V238" i="5"/>
  <c r="Q298" i="10"/>
  <c r="AU68" i="5" s="1"/>
  <c r="AW68" i="5" s="1"/>
  <c r="AL123" i="5"/>
  <c r="AZ123" i="5"/>
  <c r="Q326" i="10"/>
  <c r="Q88" i="10"/>
  <c r="AF346" i="5"/>
  <c r="AY346" i="5"/>
  <c r="Q186" i="10"/>
  <c r="P224" i="10"/>
  <c r="AO228" i="5" s="1"/>
  <c r="Q81" i="10"/>
  <c r="AF201" i="5"/>
  <c r="AY201" i="5"/>
  <c r="AK128" i="5"/>
  <c r="W128" i="5"/>
  <c r="AK132" i="5"/>
  <c r="W132" i="5"/>
  <c r="X93" i="5"/>
  <c r="AK176" i="5"/>
  <c r="W176" i="5"/>
  <c r="AK133" i="5"/>
  <c r="W133" i="5"/>
  <c r="V225" i="5"/>
  <c r="AF137" i="5"/>
  <c r="AY137" i="5"/>
  <c r="P264" i="10"/>
  <c r="AO35" i="5" s="1"/>
  <c r="AQ35" i="5" s="1"/>
  <c r="AF302" i="5"/>
  <c r="AY302" i="5"/>
  <c r="AK122" i="5"/>
  <c r="W122" i="5"/>
  <c r="W232" i="5"/>
  <c r="AF266" i="5"/>
  <c r="AY266" i="5"/>
  <c r="AF92" i="5"/>
  <c r="AY92" i="5"/>
  <c r="AK100" i="5"/>
  <c r="W100" i="5"/>
  <c r="O232" i="10"/>
  <c r="AI202" i="5" s="1"/>
  <c r="AK202" i="5" s="1"/>
  <c r="AL202" i="5" s="1"/>
  <c r="P194" i="10"/>
  <c r="AO163" i="5" s="1"/>
  <c r="AQ163" i="5" s="1"/>
  <c r="Q315" i="10"/>
  <c r="AF320" i="5"/>
  <c r="AY320" i="5"/>
  <c r="AF326" i="5"/>
  <c r="AY326" i="5"/>
  <c r="AF193" i="5"/>
  <c r="AY193" i="5"/>
  <c r="AK129" i="5"/>
  <c r="W129" i="5"/>
  <c r="AK345" i="5"/>
  <c r="W345" i="5"/>
  <c r="AF127" i="5"/>
  <c r="AY127" i="5"/>
  <c r="AK197" i="5"/>
  <c r="W197" i="5"/>
  <c r="AF133" i="5"/>
  <c r="AY133" i="5"/>
  <c r="Q120" i="10"/>
  <c r="Q169" i="10"/>
  <c r="P325" i="10"/>
  <c r="AO95" i="5" s="1"/>
  <c r="Q86" i="10"/>
  <c r="AF232" i="5"/>
  <c r="AY232" i="5"/>
  <c r="Q85" i="10"/>
  <c r="AF100" i="5"/>
  <c r="AY100" i="5"/>
  <c r="X248" i="5"/>
  <c r="AK272" i="5"/>
  <c r="W272" i="5"/>
  <c r="AK88" i="5"/>
  <c r="W88" i="5"/>
  <c r="Q197" i="10"/>
  <c r="AU166" i="5" s="1"/>
  <c r="AW166" i="5" s="1"/>
  <c r="P235" i="10"/>
  <c r="AO205" i="5" s="1"/>
  <c r="AQ205" i="5" s="1"/>
  <c r="Q314" i="10"/>
  <c r="AF129" i="5"/>
  <c r="AY129" i="5"/>
  <c r="AF345" i="5"/>
  <c r="AY345" i="5"/>
  <c r="W237" i="5"/>
  <c r="AK323" i="5"/>
  <c r="W323" i="5"/>
  <c r="AE97" i="5"/>
  <c r="V97" i="5"/>
  <c r="Q132" i="10"/>
  <c r="P131" i="10"/>
  <c r="AO328" i="5" s="1"/>
  <c r="Q150" i="10"/>
  <c r="AU123" i="5" s="1"/>
  <c r="AW123" i="5" s="1"/>
  <c r="AK322" i="5"/>
  <c r="W322" i="5"/>
  <c r="AK227" i="5"/>
  <c r="W227" i="5"/>
  <c r="AF99" i="5"/>
  <c r="AY99" i="5"/>
  <c r="P127" i="10"/>
  <c r="AK125" i="5"/>
  <c r="W125" i="5"/>
  <c r="Q342" i="10"/>
  <c r="AF272" i="5"/>
  <c r="AY272" i="5"/>
  <c r="AF88" i="5"/>
  <c r="AY88" i="5"/>
  <c r="P227" i="10"/>
  <c r="AO197" i="5" s="1"/>
  <c r="Q189" i="10"/>
  <c r="AU158" i="5" s="1"/>
  <c r="AW158" i="5" s="1"/>
  <c r="AK290" i="5"/>
  <c r="W290" i="5"/>
  <c r="AE134" i="5"/>
  <c r="V134" i="5"/>
  <c r="AE98" i="5"/>
  <c r="V98" i="5"/>
  <c r="AK344" i="5"/>
  <c r="W344" i="5"/>
  <c r="V226" i="5"/>
  <c r="Q133" i="10"/>
  <c r="AE324" i="5"/>
  <c r="V324" i="5"/>
  <c r="AK266" i="5"/>
  <c r="W266" i="5"/>
  <c r="AL210" i="5"/>
  <c r="AK320" i="5"/>
  <c r="W320" i="5"/>
  <c r="AK326" i="5"/>
  <c r="W326" i="5"/>
  <c r="AF290" i="5"/>
  <c r="AY290" i="5"/>
  <c r="AF269" i="5"/>
  <c r="AY269" i="5"/>
  <c r="Q124" i="10"/>
  <c r="Q128" i="10"/>
  <c r="Y93" i="5"/>
  <c r="Q172" i="10"/>
  <c r="AU176" i="5" s="1"/>
  <c r="AF234" i="5"/>
  <c r="AY234" i="5"/>
  <c r="AF344" i="5"/>
  <c r="AY344" i="5"/>
  <c r="Q129" i="10"/>
  <c r="AU133" i="5" s="1"/>
  <c r="AF189" i="5"/>
  <c r="AY189" i="5"/>
  <c r="AE273" i="5"/>
  <c r="V273" i="5"/>
  <c r="W191" i="5"/>
  <c r="Q118" i="10"/>
  <c r="W192" i="5"/>
  <c r="Q96" i="10"/>
  <c r="AU365" i="5" s="1"/>
  <c r="AW365" i="5" s="1"/>
  <c r="X246" i="5"/>
  <c r="AE337" i="5"/>
  <c r="AY337" i="5" s="1"/>
  <c r="V281" i="5"/>
  <c r="W144" i="5"/>
  <c r="AF107" i="5"/>
  <c r="W107" i="5"/>
  <c r="AF208" i="5"/>
  <c r="AF144" i="5"/>
  <c r="W281" i="5"/>
  <c r="W337" i="5"/>
  <c r="Q333" i="10"/>
  <c r="AK208" i="5"/>
  <c r="AZ208" i="5" s="1"/>
  <c r="W208" i="5"/>
  <c r="Q204" i="10"/>
  <c r="Q241" i="10" s="1"/>
  <c r="R14" i="6"/>
  <c r="Z11" i="5"/>
  <c r="Z10" i="5"/>
  <c r="AZ8" i="5"/>
  <c r="W8" i="5"/>
  <c r="D6" i="19" l="1"/>
  <c r="AL246" i="5"/>
  <c r="BA141" i="5"/>
  <c r="AY191" i="5"/>
  <c r="AI232" i="5"/>
  <c r="AK232" i="5" s="1"/>
  <c r="AZ232" i="5" s="1"/>
  <c r="AX215" i="5"/>
  <c r="BB215" i="5"/>
  <c r="BC215" i="5" s="1"/>
  <c r="AX214" i="5"/>
  <c r="BB214" i="5"/>
  <c r="BC214" i="5" s="1"/>
  <c r="AI190" i="5"/>
  <c r="AK190" i="5" s="1"/>
  <c r="AL190" i="5" s="1"/>
  <c r="AI224" i="5"/>
  <c r="AK224" i="5" s="1"/>
  <c r="P228" i="10"/>
  <c r="AO232" i="5" s="1"/>
  <c r="AQ232" i="5" s="1"/>
  <c r="AY192" i="5"/>
  <c r="AY190" i="5"/>
  <c r="AR219" i="5"/>
  <c r="AI201" i="5"/>
  <c r="AK201" i="5" s="1"/>
  <c r="AZ201" i="5" s="1"/>
  <c r="D25" i="6"/>
  <c r="AO193" i="5"/>
  <c r="AQ193" i="5" s="1"/>
  <c r="P233" i="10"/>
  <c r="AO203" i="5" s="1"/>
  <c r="AQ203" i="5" s="1"/>
  <c r="AR203" i="5" s="1"/>
  <c r="AZ120" i="5"/>
  <c r="AZ202" i="5"/>
  <c r="AU319" i="5"/>
  <c r="AW319" i="5" s="1"/>
  <c r="BB365" i="5"/>
  <c r="BC365" i="5" s="1"/>
  <c r="AX365" i="5"/>
  <c r="AX68" i="5"/>
  <c r="BB68" i="5"/>
  <c r="BC68" i="5" s="1"/>
  <c r="AX34" i="5"/>
  <c r="BB34" i="5"/>
  <c r="BC34" i="5" s="1"/>
  <c r="AU263" i="5"/>
  <c r="AW263" i="5" s="1"/>
  <c r="AU30" i="5"/>
  <c r="AW30" i="5" s="1"/>
  <c r="AU270" i="5"/>
  <c r="AW270" i="5" s="1"/>
  <c r="AU37" i="5"/>
  <c r="AW37" i="5" s="1"/>
  <c r="AX54" i="5"/>
  <c r="BB54" i="5"/>
  <c r="BC54" i="5" s="1"/>
  <c r="AZ204" i="5"/>
  <c r="AF224" i="5"/>
  <c r="AY224" i="5"/>
  <c r="BB351" i="5"/>
  <c r="BC351" i="5" s="1"/>
  <c r="AX351" i="5"/>
  <c r="AR30" i="5"/>
  <c r="BA30" i="5"/>
  <c r="AX316" i="5"/>
  <c r="BB316" i="5"/>
  <c r="BC316" i="5" s="1"/>
  <c r="AZ359" i="5"/>
  <c r="AL359" i="5"/>
  <c r="AX158" i="5"/>
  <c r="BB158" i="5"/>
  <c r="BC158" i="5" s="1"/>
  <c r="AU318" i="5"/>
  <c r="AW318" i="5" s="1"/>
  <c r="AU84" i="5"/>
  <c r="AW84" i="5" s="1"/>
  <c r="AR163" i="5"/>
  <c r="BA163" i="5"/>
  <c r="AI226" i="5"/>
  <c r="AK226" i="5" s="1"/>
  <c r="AI192" i="5"/>
  <c r="AK192" i="5" s="1"/>
  <c r="AL192" i="5" s="1"/>
  <c r="AX159" i="5"/>
  <c r="BB159" i="5"/>
  <c r="BC159" i="5" s="1"/>
  <c r="AX31" i="5"/>
  <c r="BB31" i="5"/>
  <c r="BC31" i="5" s="1"/>
  <c r="AX32" i="5"/>
  <c r="BB32" i="5"/>
  <c r="BC32" i="5" s="1"/>
  <c r="AO94" i="5"/>
  <c r="AO359" i="5"/>
  <c r="AQ359" i="5" s="1"/>
  <c r="P231" i="10"/>
  <c r="AX157" i="5"/>
  <c r="BB157" i="5"/>
  <c r="BC157" i="5" s="1"/>
  <c r="AX164" i="5"/>
  <c r="BB164" i="5"/>
  <c r="AU141" i="5"/>
  <c r="AW141" i="5" s="1"/>
  <c r="AX141" i="5" s="1"/>
  <c r="AX222" i="5"/>
  <c r="BB222" i="5"/>
  <c r="BC222" i="5" s="1"/>
  <c r="AL152" i="5"/>
  <c r="AZ152" i="5"/>
  <c r="AZ372" i="5"/>
  <c r="AL372" i="5"/>
  <c r="AO188" i="5"/>
  <c r="AO153" i="5"/>
  <c r="AQ153" i="5" s="1"/>
  <c r="AO187" i="5"/>
  <c r="P220" i="10"/>
  <c r="AO152" i="5"/>
  <c r="AQ152" i="5" s="1"/>
  <c r="AR160" i="5"/>
  <c r="BA160" i="5"/>
  <c r="AU87" i="5"/>
  <c r="AW87" i="5" s="1"/>
  <c r="AU352" i="5"/>
  <c r="AW352" i="5" s="1"/>
  <c r="BB364" i="5"/>
  <c r="BC364" i="5" s="1"/>
  <c r="AX364" i="5"/>
  <c r="AU162" i="5"/>
  <c r="AW162" i="5" s="1"/>
  <c r="BB156" i="5"/>
  <c r="BC156" i="5" s="1"/>
  <c r="AX156" i="5"/>
  <c r="BA372" i="5"/>
  <c r="AR372" i="5"/>
  <c r="AO194" i="5"/>
  <c r="AQ194" i="5" s="1"/>
  <c r="AR260" i="5"/>
  <c r="BA260" i="5"/>
  <c r="AO337" i="5"/>
  <c r="AQ337" i="5" s="1"/>
  <c r="BA337" i="5" s="1"/>
  <c r="AL153" i="5"/>
  <c r="AZ153" i="5"/>
  <c r="AR164" i="5"/>
  <c r="BA164" i="5"/>
  <c r="AR29" i="5"/>
  <c r="BA29" i="5"/>
  <c r="AR350" i="5"/>
  <c r="BA350" i="5"/>
  <c r="AR352" i="5"/>
  <c r="BA352" i="5"/>
  <c r="AR162" i="5"/>
  <c r="BA162" i="5"/>
  <c r="AR84" i="5"/>
  <c r="BA84" i="5"/>
  <c r="AR40" i="5"/>
  <c r="BA40" i="5"/>
  <c r="BA363" i="5"/>
  <c r="AR363" i="5"/>
  <c r="AX57" i="5"/>
  <c r="BB57" i="5"/>
  <c r="BC57" i="5" s="1"/>
  <c r="AX39" i="5"/>
  <c r="BB39" i="5"/>
  <c r="BC39" i="5" s="1"/>
  <c r="AR35" i="5"/>
  <c r="BA35" i="5"/>
  <c r="AX36" i="5"/>
  <c r="BB36" i="5"/>
  <c r="BC36" i="5" s="1"/>
  <c r="AX55" i="5"/>
  <c r="BB55" i="5"/>
  <c r="BC55" i="5" s="1"/>
  <c r="AU122" i="5"/>
  <c r="AW122" i="5" s="1"/>
  <c r="AU315" i="5"/>
  <c r="AW315" i="5" s="1"/>
  <c r="AX166" i="5"/>
  <c r="BB166" i="5"/>
  <c r="BC166" i="5" s="1"/>
  <c r="AU124" i="5"/>
  <c r="AW124" i="5" s="1"/>
  <c r="AU317" i="5"/>
  <c r="AW317" i="5" s="1"/>
  <c r="AU85" i="5"/>
  <c r="AW85" i="5" s="1"/>
  <c r="AU350" i="5"/>
  <c r="AW350" i="5" s="1"/>
  <c r="AX41" i="5"/>
  <c r="BB41" i="5"/>
  <c r="BC41" i="5" s="1"/>
  <c r="AX161" i="5"/>
  <c r="BB161" i="5"/>
  <c r="BC161" i="5" s="1"/>
  <c r="AI225" i="5"/>
  <c r="AK225" i="5" s="1"/>
  <c r="AI191" i="5"/>
  <c r="AK191" i="5" s="1"/>
  <c r="AL191" i="5" s="1"/>
  <c r="AU262" i="5"/>
  <c r="AW262" i="5" s="1"/>
  <c r="AU29" i="5"/>
  <c r="AW29" i="5" s="1"/>
  <c r="AX56" i="5"/>
  <c r="BB56" i="5"/>
  <c r="BC56" i="5" s="1"/>
  <c r="AR38" i="5"/>
  <c r="BA38" i="5"/>
  <c r="BB361" i="5"/>
  <c r="BC361" i="5" s="1"/>
  <c r="AX361" i="5"/>
  <c r="BB360" i="5"/>
  <c r="BC360" i="5" s="1"/>
  <c r="AX360" i="5"/>
  <c r="AU326" i="5"/>
  <c r="AW326" i="5" s="1"/>
  <c r="AX33" i="5"/>
  <c r="BB33" i="5"/>
  <c r="BC33" i="5" s="1"/>
  <c r="AR362" i="5"/>
  <c r="BA362" i="5"/>
  <c r="AX353" i="5"/>
  <c r="BB353" i="5"/>
  <c r="BC353" i="5" s="1"/>
  <c r="Q277" i="10"/>
  <c r="AU48" i="5" s="1"/>
  <c r="AW48" i="5" s="1"/>
  <c r="AO48" i="5"/>
  <c r="AQ48" i="5" s="1"/>
  <c r="AR259" i="5"/>
  <c r="BA259" i="5"/>
  <c r="AX221" i="5"/>
  <c r="BB221" i="5"/>
  <c r="BC221" i="5" s="1"/>
  <c r="AR315" i="5"/>
  <c r="BA315" i="5"/>
  <c r="AR317" i="5"/>
  <c r="BA317" i="5"/>
  <c r="AR37" i="5"/>
  <c r="BA37" i="5"/>
  <c r="AL211" i="5"/>
  <c r="AL248" i="5"/>
  <c r="AY237" i="5"/>
  <c r="AI237" i="5"/>
  <c r="AK237" i="5" s="1"/>
  <c r="AZ237" i="5" s="1"/>
  <c r="AU144" i="5"/>
  <c r="AW144" i="5" s="1"/>
  <c r="BB144" i="5" s="1"/>
  <c r="AU155" i="5"/>
  <c r="AW155" i="5" s="1"/>
  <c r="AO231" i="5"/>
  <c r="AQ231" i="5" s="1"/>
  <c r="AO242" i="5"/>
  <c r="AQ242" i="5" s="1"/>
  <c r="AO135" i="5"/>
  <c r="AO146" i="5"/>
  <c r="AQ146" i="5" s="1"/>
  <c r="AU103" i="5"/>
  <c r="AW103" i="5" s="1"/>
  <c r="AU269" i="5"/>
  <c r="AW269" i="5" s="1"/>
  <c r="AU280" i="5"/>
  <c r="AW280" i="5" s="1"/>
  <c r="AU207" i="5"/>
  <c r="AW207" i="5" s="1"/>
  <c r="AU175" i="5"/>
  <c r="AW175" i="5" s="1"/>
  <c r="AU186" i="5"/>
  <c r="AW186" i="5" s="1"/>
  <c r="AI238" i="5"/>
  <c r="AK238" i="5" s="1"/>
  <c r="AI249" i="5"/>
  <c r="AK249" i="5" s="1"/>
  <c r="AO271" i="5"/>
  <c r="AO282" i="5"/>
  <c r="AQ282" i="5" s="1"/>
  <c r="AU345" i="5"/>
  <c r="AW345" i="5" s="1"/>
  <c r="AU356" i="5"/>
  <c r="AW356" i="5" s="1"/>
  <c r="AL292" i="5"/>
  <c r="AZ292" i="5"/>
  <c r="AR283" i="5"/>
  <c r="BA283" i="5"/>
  <c r="AL340" i="5"/>
  <c r="AZ340" i="5"/>
  <c r="AR108" i="5"/>
  <c r="BA108" i="5"/>
  <c r="AL282" i="5"/>
  <c r="AZ282" i="5"/>
  <c r="AR336" i="5"/>
  <c r="BA336" i="5"/>
  <c r="AU208" i="5"/>
  <c r="AW208" i="5" s="1"/>
  <c r="BB208" i="5" s="1"/>
  <c r="AU219" i="5"/>
  <c r="AW219" i="5" s="1"/>
  <c r="AU128" i="5"/>
  <c r="AW128" i="5" s="1"/>
  <c r="AU139" i="5"/>
  <c r="AW139" i="5" s="1"/>
  <c r="AO239" i="5"/>
  <c r="AQ239" i="5" s="1"/>
  <c r="AO250" i="5"/>
  <c r="AQ250" i="5" s="1"/>
  <c r="AO329" i="5"/>
  <c r="AO340" i="5"/>
  <c r="AQ340" i="5" s="1"/>
  <c r="AU92" i="5"/>
  <c r="AW92" i="5" s="1"/>
  <c r="AU105" i="5"/>
  <c r="AW105" i="5" s="1"/>
  <c r="AU302" i="5"/>
  <c r="AW302" i="5" s="1"/>
  <c r="AU313" i="5"/>
  <c r="AW313" i="5" s="1"/>
  <c r="AU127" i="5"/>
  <c r="AW127" i="5" s="1"/>
  <c r="AU138" i="5"/>
  <c r="AW138" i="5" s="1"/>
  <c r="AU264" i="5"/>
  <c r="AW264" i="5" s="1"/>
  <c r="AU275" i="5"/>
  <c r="AW275" i="5" s="1"/>
  <c r="AU265" i="5"/>
  <c r="AW265" i="5" s="1"/>
  <c r="AU276" i="5"/>
  <c r="AW276" i="5" s="1"/>
  <c r="AI233" i="5"/>
  <c r="AK233" i="5" s="1"/>
  <c r="AI244" i="5"/>
  <c r="AK244" i="5" s="1"/>
  <c r="AO229" i="5"/>
  <c r="AQ229" i="5" s="1"/>
  <c r="AO240" i="5"/>
  <c r="AQ240" i="5" s="1"/>
  <c r="AU266" i="5"/>
  <c r="AW266" i="5" s="1"/>
  <c r="AU277" i="5"/>
  <c r="AW277" i="5" s="1"/>
  <c r="AU88" i="5"/>
  <c r="AW88" i="5" s="1"/>
  <c r="AU101" i="5"/>
  <c r="AW101" i="5" s="1"/>
  <c r="AO107" i="5"/>
  <c r="AQ107" i="5" s="1"/>
  <c r="BA107" i="5" s="1"/>
  <c r="AO120" i="5"/>
  <c r="AQ120" i="5" s="1"/>
  <c r="AR186" i="5"/>
  <c r="BA186" i="5"/>
  <c r="BA357" i="5"/>
  <c r="AR357" i="5"/>
  <c r="AR300" i="5"/>
  <c r="BA300" i="5"/>
  <c r="AR275" i="5"/>
  <c r="BA275" i="5"/>
  <c r="AR301" i="5"/>
  <c r="BA301" i="5"/>
  <c r="AR104" i="5"/>
  <c r="BA104" i="5"/>
  <c r="AR113" i="5"/>
  <c r="BA113" i="5"/>
  <c r="AR105" i="5"/>
  <c r="BA105" i="5"/>
  <c r="BA355" i="5"/>
  <c r="AR355" i="5"/>
  <c r="AL242" i="5"/>
  <c r="AZ242" i="5"/>
  <c r="AL146" i="5"/>
  <c r="AZ146" i="5"/>
  <c r="AL279" i="5"/>
  <c r="AZ279" i="5"/>
  <c r="AR341" i="5"/>
  <c r="BA341" i="5"/>
  <c r="AL111" i="5"/>
  <c r="AZ111" i="5"/>
  <c r="AR334" i="5"/>
  <c r="BA334" i="5"/>
  <c r="AR112" i="5"/>
  <c r="BA112" i="5"/>
  <c r="AL348" i="5"/>
  <c r="AZ348" i="5"/>
  <c r="AL241" i="5"/>
  <c r="AZ241" i="5"/>
  <c r="AR298" i="5"/>
  <c r="BA298" i="5"/>
  <c r="Q103" i="10"/>
  <c r="AU372" i="5" s="1"/>
  <c r="AW372" i="5" s="1"/>
  <c r="AU292" i="5"/>
  <c r="AW292" i="5" s="1"/>
  <c r="AU100" i="5"/>
  <c r="AW100" i="5" s="1"/>
  <c r="AU113" i="5"/>
  <c r="AW113" i="5" s="1"/>
  <c r="AU173" i="5"/>
  <c r="AW173" i="5" s="1"/>
  <c r="AU184" i="5"/>
  <c r="AW184" i="5" s="1"/>
  <c r="AI236" i="5"/>
  <c r="AK236" i="5" s="1"/>
  <c r="AI247" i="5"/>
  <c r="AK247" i="5" s="1"/>
  <c r="AU330" i="5"/>
  <c r="AW330" i="5" s="1"/>
  <c r="AU341" i="5"/>
  <c r="AW341" i="5" s="1"/>
  <c r="AU267" i="5"/>
  <c r="AW267" i="5" s="1"/>
  <c r="AU278" i="5"/>
  <c r="AW278" i="5" s="1"/>
  <c r="BA210" i="5"/>
  <c r="AU91" i="5"/>
  <c r="AW91" i="5" s="1"/>
  <c r="AU104" i="5"/>
  <c r="AW104" i="5" s="1"/>
  <c r="AU343" i="5"/>
  <c r="AW343" i="5" s="1"/>
  <c r="AU354" i="5"/>
  <c r="AW354" i="5" s="1"/>
  <c r="AU321" i="5"/>
  <c r="AW321" i="5" s="1"/>
  <c r="AU332" i="5"/>
  <c r="AW332" i="5" s="1"/>
  <c r="AO327" i="5"/>
  <c r="AO338" i="5"/>
  <c r="AQ338" i="5" s="1"/>
  <c r="AO195" i="5"/>
  <c r="AO206" i="5"/>
  <c r="AQ206" i="5" s="1"/>
  <c r="AO230" i="5"/>
  <c r="AQ230" i="5" s="1"/>
  <c r="AO241" i="5"/>
  <c r="AQ241" i="5" s="1"/>
  <c r="AO273" i="5"/>
  <c r="AO284" i="5"/>
  <c r="AQ284" i="5" s="1"/>
  <c r="AU320" i="5"/>
  <c r="AW320" i="5" s="1"/>
  <c r="AU331" i="5"/>
  <c r="AW331" i="5" s="1"/>
  <c r="AO324" i="5"/>
  <c r="AO335" i="5"/>
  <c r="AQ335" i="5" s="1"/>
  <c r="AO98" i="5"/>
  <c r="AO111" i="5"/>
  <c r="AQ111" i="5" s="1"/>
  <c r="AU290" i="5"/>
  <c r="AW290" i="5" s="1"/>
  <c r="AU301" i="5"/>
  <c r="AW301" i="5" s="1"/>
  <c r="AU322" i="5"/>
  <c r="AW322" i="5" s="1"/>
  <c r="AU333" i="5"/>
  <c r="AW333" i="5" s="1"/>
  <c r="AU323" i="5"/>
  <c r="AW323" i="5" s="1"/>
  <c r="AU334" i="5"/>
  <c r="AW334" i="5" s="1"/>
  <c r="AU272" i="5"/>
  <c r="AW272" i="5" s="1"/>
  <c r="AU283" i="5"/>
  <c r="AW283" i="5" s="1"/>
  <c r="AO281" i="5"/>
  <c r="AQ281" i="5" s="1"/>
  <c r="BA281" i="5" s="1"/>
  <c r="AO292" i="5"/>
  <c r="AQ292" i="5" s="1"/>
  <c r="AR205" i="5"/>
  <c r="BA205" i="5"/>
  <c r="AR143" i="5"/>
  <c r="BA143" i="5"/>
  <c r="AR212" i="5"/>
  <c r="BA212" i="5"/>
  <c r="AL209" i="5"/>
  <c r="AZ209" i="5"/>
  <c r="AR348" i="5"/>
  <c r="BA348" i="5"/>
  <c r="AL250" i="5"/>
  <c r="AZ250" i="5"/>
  <c r="AR102" i="5"/>
  <c r="BA102" i="5"/>
  <c r="BA356" i="5"/>
  <c r="AR356" i="5"/>
  <c r="AF247" i="5"/>
  <c r="AY247" i="5"/>
  <c r="AX106" i="5"/>
  <c r="BB106" i="5"/>
  <c r="BC106" i="5" s="1"/>
  <c r="AR277" i="5"/>
  <c r="BA277" i="5"/>
  <c r="AR148" i="5"/>
  <c r="BA148" i="5"/>
  <c r="AR280" i="5"/>
  <c r="BA280" i="5"/>
  <c r="AR101" i="5"/>
  <c r="BA101" i="5"/>
  <c r="AR103" i="5"/>
  <c r="BA103" i="5"/>
  <c r="AR207" i="5"/>
  <c r="BA207" i="5"/>
  <c r="AU132" i="5"/>
  <c r="AW132" i="5" s="1"/>
  <c r="AU143" i="5"/>
  <c r="AW143" i="5" s="1"/>
  <c r="AO131" i="5"/>
  <c r="AO142" i="5"/>
  <c r="AQ142" i="5" s="1"/>
  <c r="AU174" i="5"/>
  <c r="AW174" i="5" s="1"/>
  <c r="AU185" i="5"/>
  <c r="AW185" i="5" s="1"/>
  <c r="AU287" i="5"/>
  <c r="AW287" i="5" s="1"/>
  <c r="AU298" i="5"/>
  <c r="AW298" i="5" s="1"/>
  <c r="AU96" i="5"/>
  <c r="AW96" i="5" s="1"/>
  <c r="AU109" i="5"/>
  <c r="AW109" i="5" s="1"/>
  <c r="AU260" i="5"/>
  <c r="AW260" i="5" s="1"/>
  <c r="AL284" i="5"/>
  <c r="AZ284" i="5"/>
  <c r="AR139" i="5"/>
  <c r="BA139" i="5"/>
  <c r="AR313" i="5"/>
  <c r="BA313" i="5"/>
  <c r="AR339" i="5"/>
  <c r="BA339" i="5"/>
  <c r="AR109" i="5"/>
  <c r="BA109" i="5"/>
  <c r="AR184" i="5"/>
  <c r="BA184" i="5"/>
  <c r="BA354" i="5"/>
  <c r="AR354" i="5"/>
  <c r="AR140" i="5"/>
  <c r="BA140" i="5"/>
  <c r="AU337" i="5"/>
  <c r="AW337" i="5" s="1"/>
  <c r="BB337" i="5" s="1"/>
  <c r="AU348" i="5"/>
  <c r="AW348" i="5" s="1"/>
  <c r="AU346" i="5"/>
  <c r="AW346" i="5" s="1"/>
  <c r="AU357" i="5"/>
  <c r="AW357" i="5" s="1"/>
  <c r="AU136" i="5"/>
  <c r="AW136" i="5" s="1"/>
  <c r="AU147" i="5"/>
  <c r="AW147" i="5" s="1"/>
  <c r="AO198" i="5"/>
  <c r="AO209" i="5"/>
  <c r="AQ209" i="5" s="1"/>
  <c r="AU108" i="5"/>
  <c r="AW108" i="5" s="1"/>
  <c r="AO134" i="5"/>
  <c r="AO145" i="5"/>
  <c r="AQ145" i="5" s="1"/>
  <c r="AO97" i="5"/>
  <c r="AO110" i="5"/>
  <c r="AQ110" i="5" s="1"/>
  <c r="AU129" i="5"/>
  <c r="AW129" i="5" s="1"/>
  <c r="AU140" i="5"/>
  <c r="AW140" i="5" s="1"/>
  <c r="AO144" i="5"/>
  <c r="AQ144" i="5" s="1"/>
  <c r="BA144" i="5" s="1"/>
  <c r="AO155" i="5"/>
  <c r="AQ155" i="5" s="1"/>
  <c r="AR278" i="5"/>
  <c r="BA278" i="5"/>
  <c r="AL142" i="5"/>
  <c r="AZ142" i="5"/>
  <c r="AU137" i="5"/>
  <c r="AW137" i="5" s="1"/>
  <c r="AU148" i="5"/>
  <c r="AW148" i="5" s="1"/>
  <c r="AU154" i="5"/>
  <c r="AW154" i="5" s="1"/>
  <c r="AU89" i="5"/>
  <c r="AW89" i="5" s="1"/>
  <c r="AU102" i="5"/>
  <c r="AW102" i="5" s="1"/>
  <c r="AO268" i="5"/>
  <c r="AO279" i="5"/>
  <c r="AQ279" i="5" s="1"/>
  <c r="AU339" i="5"/>
  <c r="AW339" i="5" s="1"/>
  <c r="AU274" i="5"/>
  <c r="AW274" i="5" s="1"/>
  <c r="AU285" i="5"/>
  <c r="AW285" i="5" s="1"/>
  <c r="AU288" i="5"/>
  <c r="AW288" i="5" s="1"/>
  <c r="AU299" i="5"/>
  <c r="AW299" i="5" s="1"/>
  <c r="AO234" i="5"/>
  <c r="AQ234" i="5" s="1"/>
  <c r="AO245" i="5"/>
  <c r="AQ245" i="5" s="1"/>
  <c r="AO243" i="5"/>
  <c r="AQ243" i="5" s="1"/>
  <c r="AO200" i="5"/>
  <c r="AO211" i="5"/>
  <c r="AQ211" i="5" s="1"/>
  <c r="BA211" i="5" s="1"/>
  <c r="AU289" i="5"/>
  <c r="AW289" i="5" s="1"/>
  <c r="AU300" i="5"/>
  <c r="AW300" i="5" s="1"/>
  <c r="AU325" i="5"/>
  <c r="AW325" i="5" s="1"/>
  <c r="AU336" i="5"/>
  <c r="AW336" i="5" s="1"/>
  <c r="AU99" i="5"/>
  <c r="AW99" i="5" s="1"/>
  <c r="AU112" i="5"/>
  <c r="AW112" i="5" s="1"/>
  <c r="AU344" i="5"/>
  <c r="AW344" i="5" s="1"/>
  <c r="AU355" i="5"/>
  <c r="AW355" i="5" s="1"/>
  <c r="AU259" i="5"/>
  <c r="AW259" i="5" s="1"/>
  <c r="AO246" i="5"/>
  <c r="AQ246" i="5" s="1"/>
  <c r="AR246" i="5" s="1"/>
  <c r="AO257" i="5"/>
  <c r="AQ257" i="5" s="1"/>
  <c r="AY249" i="5"/>
  <c r="AF249" i="5"/>
  <c r="AR333" i="5"/>
  <c r="BA333" i="5"/>
  <c r="AR185" i="5"/>
  <c r="BA185" i="5"/>
  <c r="AO248" i="5"/>
  <c r="AQ248" i="5" s="1"/>
  <c r="BA248" i="5" s="1"/>
  <c r="AR138" i="5"/>
  <c r="BA138" i="5"/>
  <c r="AR276" i="5"/>
  <c r="BA276" i="5"/>
  <c r="AL338" i="5"/>
  <c r="AZ338" i="5"/>
  <c r="AR165" i="5"/>
  <c r="BA165" i="5"/>
  <c r="AR332" i="5"/>
  <c r="BA332" i="5"/>
  <c r="AL145" i="5"/>
  <c r="AZ145" i="5"/>
  <c r="AF244" i="5"/>
  <c r="AY244" i="5"/>
  <c r="AL110" i="5"/>
  <c r="AZ110" i="5"/>
  <c r="AL243" i="5"/>
  <c r="AZ243" i="5"/>
  <c r="AR331" i="5"/>
  <c r="BA331" i="5"/>
  <c r="AL335" i="5"/>
  <c r="AZ335" i="5"/>
  <c r="AR147" i="5"/>
  <c r="BA147" i="5"/>
  <c r="AR299" i="5"/>
  <c r="BA299" i="5"/>
  <c r="AL245" i="5"/>
  <c r="AZ245" i="5"/>
  <c r="AL257" i="5"/>
  <c r="AZ257" i="5"/>
  <c r="AL240" i="5"/>
  <c r="AZ240" i="5"/>
  <c r="AL206" i="5"/>
  <c r="AZ206" i="5"/>
  <c r="AR285" i="5"/>
  <c r="BA285" i="5"/>
  <c r="AU210" i="5"/>
  <c r="AW210" i="5" s="1"/>
  <c r="Z93" i="5"/>
  <c r="Z86" i="5"/>
  <c r="Y122" i="5"/>
  <c r="Y132" i="5"/>
  <c r="Y100" i="5"/>
  <c r="AW133" i="5"/>
  <c r="Y133" i="5"/>
  <c r="Y128" i="5"/>
  <c r="AF134" i="5"/>
  <c r="AY134" i="5"/>
  <c r="AL290" i="5"/>
  <c r="AZ290" i="5"/>
  <c r="X231" i="5"/>
  <c r="AK131" i="5"/>
  <c r="W131" i="5"/>
  <c r="Q131" i="10"/>
  <c r="AU328" i="5" s="1"/>
  <c r="AW328" i="5" s="1"/>
  <c r="AF97" i="5"/>
  <c r="AY97" i="5"/>
  <c r="X239" i="5"/>
  <c r="AQ90" i="5"/>
  <c r="X90" i="5"/>
  <c r="AQ173" i="5"/>
  <c r="X173" i="5"/>
  <c r="AL345" i="5"/>
  <c r="AZ345" i="5"/>
  <c r="P232" i="10"/>
  <c r="AO202" i="5" s="1"/>
  <c r="AQ202" i="5" s="1"/>
  <c r="AR202" i="5" s="1"/>
  <c r="Q194" i="10"/>
  <c r="AU163" i="5" s="1"/>
  <c r="AW163" i="5" s="1"/>
  <c r="AL100" i="5"/>
  <c r="AZ100" i="5"/>
  <c r="AL122" i="5"/>
  <c r="AZ122" i="5"/>
  <c r="Q264" i="10"/>
  <c r="AU35" i="5" s="1"/>
  <c r="AW35" i="5" s="1"/>
  <c r="AF225" i="5"/>
  <c r="AY225" i="5"/>
  <c r="X190" i="5"/>
  <c r="Y330" i="5"/>
  <c r="Y302" i="5"/>
  <c r="AL137" i="5"/>
  <c r="AZ137" i="5"/>
  <c r="AQ328" i="5"/>
  <c r="X328" i="5"/>
  <c r="AQ227" i="5"/>
  <c r="X227" i="5"/>
  <c r="AQ174" i="5"/>
  <c r="X174" i="5"/>
  <c r="Y91" i="5"/>
  <c r="Y343" i="5"/>
  <c r="X194" i="5"/>
  <c r="AL229" i="5"/>
  <c r="AZ229" i="5"/>
  <c r="AF268" i="5"/>
  <c r="AY268" i="5"/>
  <c r="W225" i="5"/>
  <c r="Y127" i="5"/>
  <c r="Y262" i="5"/>
  <c r="Y264" i="5"/>
  <c r="AL228" i="5"/>
  <c r="AZ228" i="5"/>
  <c r="W238" i="5"/>
  <c r="AF188" i="5"/>
  <c r="AY188" i="5"/>
  <c r="AL269" i="5"/>
  <c r="AZ269" i="5"/>
  <c r="Y287" i="5"/>
  <c r="AL174" i="5"/>
  <c r="AZ174" i="5"/>
  <c r="Y96" i="5"/>
  <c r="Y325" i="5"/>
  <c r="Q90" i="10"/>
  <c r="Y211" i="5"/>
  <c r="X192" i="5"/>
  <c r="X191" i="5"/>
  <c r="AK273" i="5"/>
  <c r="W273" i="5"/>
  <c r="Y326" i="5"/>
  <c r="Q320" i="10"/>
  <c r="AU90" i="5" s="1"/>
  <c r="AW90" i="5" s="1"/>
  <c r="AL265" i="5"/>
  <c r="AZ265" i="5"/>
  <c r="Y290" i="5"/>
  <c r="AQ125" i="5"/>
  <c r="X125" i="5"/>
  <c r="AL289" i="5"/>
  <c r="AZ289" i="5"/>
  <c r="Q93" i="10"/>
  <c r="AU362" i="5" s="1"/>
  <c r="AW362" i="5" s="1"/>
  <c r="Y272" i="5"/>
  <c r="AF271" i="5"/>
  <c r="AY271" i="5"/>
  <c r="AL325" i="5"/>
  <c r="AZ325" i="5"/>
  <c r="AF94" i="5"/>
  <c r="AY94" i="5"/>
  <c r="AQ129" i="5"/>
  <c r="X129" i="5"/>
  <c r="AQ122" i="5"/>
  <c r="X122" i="5"/>
  <c r="AQ176" i="5"/>
  <c r="X176" i="5"/>
  <c r="AQ132" i="5"/>
  <c r="X132" i="5"/>
  <c r="AL320" i="5"/>
  <c r="AZ320" i="5"/>
  <c r="AL266" i="5"/>
  <c r="AZ266" i="5"/>
  <c r="AF324" i="5"/>
  <c r="AY324" i="5"/>
  <c r="AF226" i="5"/>
  <c r="AY226" i="5"/>
  <c r="AL344" i="5"/>
  <c r="AZ344" i="5"/>
  <c r="AF98" i="5"/>
  <c r="AY98" i="5"/>
  <c r="AQ346" i="5"/>
  <c r="X346" i="5"/>
  <c r="Q127" i="10"/>
  <c r="AL227" i="5"/>
  <c r="AZ227" i="5"/>
  <c r="AQ154" i="5"/>
  <c r="X154" i="5"/>
  <c r="AQ136" i="5"/>
  <c r="X136" i="5"/>
  <c r="AQ318" i="5"/>
  <c r="X318" i="5"/>
  <c r="Q235" i="10"/>
  <c r="AU205" i="5" s="1"/>
  <c r="AW205" i="5" s="1"/>
  <c r="AL272" i="5"/>
  <c r="AZ272" i="5"/>
  <c r="Y90" i="5"/>
  <c r="Y173" i="5"/>
  <c r="AQ319" i="5"/>
  <c r="X319" i="5"/>
  <c r="W236" i="5"/>
  <c r="AR93" i="5"/>
  <c r="BA93" i="5"/>
  <c r="AL128" i="5"/>
  <c r="AZ128" i="5"/>
  <c r="AQ228" i="5"/>
  <c r="X228" i="5"/>
  <c r="AQ92" i="5"/>
  <c r="X92" i="5"/>
  <c r="AK188" i="5"/>
  <c r="W188" i="5"/>
  <c r="Y328" i="5"/>
  <c r="AX130" i="5"/>
  <c r="BB130" i="5"/>
  <c r="AL193" i="5"/>
  <c r="AZ193" i="5"/>
  <c r="AL346" i="5"/>
  <c r="AZ346" i="5"/>
  <c r="AF131" i="5"/>
  <c r="AY131" i="5"/>
  <c r="Q223" i="10"/>
  <c r="AU227" i="5" s="1"/>
  <c r="AL154" i="5"/>
  <c r="AZ154" i="5"/>
  <c r="AL136" i="5"/>
  <c r="AZ136" i="5"/>
  <c r="Y174" i="5"/>
  <c r="AL239" i="5"/>
  <c r="AZ239" i="5"/>
  <c r="AF329" i="5"/>
  <c r="AY329" i="5"/>
  <c r="AL124" i="5"/>
  <c r="AZ124" i="5"/>
  <c r="AQ196" i="5"/>
  <c r="X196" i="5"/>
  <c r="AQ263" i="5"/>
  <c r="X263" i="5"/>
  <c r="AF236" i="5"/>
  <c r="AY236" i="5"/>
  <c r="AL230" i="5"/>
  <c r="AZ230" i="5"/>
  <c r="X232" i="5"/>
  <c r="AQ126" i="5"/>
  <c r="X126" i="5"/>
  <c r="AQ321" i="5"/>
  <c r="X321" i="5"/>
  <c r="AQ270" i="5"/>
  <c r="X270" i="5"/>
  <c r="AQ175" i="5"/>
  <c r="X175" i="5"/>
  <c r="AL92" i="5"/>
  <c r="AZ92" i="5"/>
  <c r="AL302" i="5"/>
  <c r="AZ302" i="5"/>
  <c r="AQ265" i="5"/>
  <c r="X265" i="5"/>
  <c r="AL328" i="5"/>
  <c r="AZ328" i="5"/>
  <c r="Z130" i="5"/>
  <c r="AK195" i="5"/>
  <c r="W195" i="5"/>
  <c r="AL189" i="5"/>
  <c r="AZ189" i="5"/>
  <c r="AQ289" i="5"/>
  <c r="X289" i="5"/>
  <c r="AK271" i="5"/>
  <c r="W271" i="5"/>
  <c r="AQ87" i="5"/>
  <c r="X87" i="5"/>
  <c r="AQ99" i="5"/>
  <c r="X99" i="5"/>
  <c r="AQ197" i="5"/>
  <c r="X197" i="5"/>
  <c r="AL91" i="5"/>
  <c r="AZ91" i="5"/>
  <c r="AL263" i="5"/>
  <c r="AZ263" i="5"/>
  <c r="Y249" i="5"/>
  <c r="X230" i="5"/>
  <c r="Q225" i="10"/>
  <c r="Q269" i="10"/>
  <c r="AU40" i="5" s="1"/>
  <c r="AW40" i="5" s="1"/>
  <c r="AF187" i="5"/>
  <c r="AY187" i="5"/>
  <c r="AL321" i="5"/>
  <c r="AZ321" i="5"/>
  <c r="AL270" i="5"/>
  <c r="AZ270" i="5"/>
  <c r="AQ320" i="5"/>
  <c r="X320" i="5"/>
  <c r="AQ266" i="5"/>
  <c r="X266" i="5"/>
  <c r="AQ344" i="5"/>
  <c r="X344" i="5"/>
  <c r="AK98" i="5"/>
  <c r="W98" i="5"/>
  <c r="AK134" i="5"/>
  <c r="W134" i="5"/>
  <c r="AW125" i="5"/>
  <c r="Y125" i="5"/>
  <c r="AQ323" i="5"/>
  <c r="X323" i="5"/>
  <c r="X237" i="5"/>
  <c r="AQ88" i="5"/>
  <c r="X88" i="5"/>
  <c r="Y210" i="5"/>
  <c r="AL96" i="5"/>
  <c r="AZ96" i="5"/>
  <c r="AL235" i="5"/>
  <c r="AZ235" i="5"/>
  <c r="Y129" i="5"/>
  <c r="AL95" i="5"/>
  <c r="AZ95" i="5"/>
  <c r="AW176" i="5"/>
  <c r="Y176" i="5"/>
  <c r="AQ137" i="5"/>
  <c r="X137" i="5"/>
  <c r="X193" i="5"/>
  <c r="Y346" i="5"/>
  <c r="AL125" i="5"/>
  <c r="AZ125" i="5"/>
  <c r="Y154" i="5"/>
  <c r="Y136" i="5"/>
  <c r="AL323" i="5"/>
  <c r="AZ323" i="5"/>
  <c r="Y318" i="5"/>
  <c r="AQ89" i="5"/>
  <c r="X89" i="5"/>
  <c r="AK329" i="5"/>
  <c r="W329" i="5"/>
  <c r="AQ124" i="5"/>
  <c r="X124" i="5"/>
  <c r="AL129" i="5"/>
  <c r="AZ129" i="5"/>
  <c r="Y319" i="5"/>
  <c r="AQ85" i="5"/>
  <c r="X85" i="5"/>
  <c r="Q224" i="10"/>
  <c r="AU228" i="5" s="1"/>
  <c r="Y92" i="5"/>
  <c r="AF238" i="5"/>
  <c r="AY238" i="5"/>
  <c r="Q184" i="10"/>
  <c r="P222" i="10"/>
  <c r="AQ267" i="5"/>
  <c r="X267" i="5"/>
  <c r="AQ269" i="5"/>
  <c r="X269" i="5"/>
  <c r="AQ274" i="5"/>
  <c r="X274" i="5"/>
  <c r="AQ288" i="5"/>
  <c r="X288" i="5"/>
  <c r="X234" i="5"/>
  <c r="Y263" i="5"/>
  <c r="AK187" i="5"/>
  <c r="W187" i="5"/>
  <c r="AW126" i="5"/>
  <c r="Y126" i="5"/>
  <c r="Y321" i="5"/>
  <c r="Y270" i="5"/>
  <c r="AL85" i="5"/>
  <c r="AZ85" i="5"/>
  <c r="Y175" i="5"/>
  <c r="AK200" i="5"/>
  <c r="W200" i="5"/>
  <c r="Y265" i="5"/>
  <c r="AR130" i="5"/>
  <c r="BA130" i="5"/>
  <c r="AK327" i="5"/>
  <c r="W327" i="5"/>
  <c r="Z123" i="5"/>
  <c r="W233" i="5"/>
  <c r="Y289" i="5"/>
  <c r="AL274" i="5"/>
  <c r="AZ274" i="5"/>
  <c r="Q267" i="10"/>
  <c r="AU38" i="5" s="1"/>
  <c r="AW38" i="5" s="1"/>
  <c r="Y87" i="5"/>
  <c r="AX86" i="5"/>
  <c r="BB86" i="5"/>
  <c r="Y99" i="5"/>
  <c r="X235" i="5"/>
  <c r="AQ95" i="5"/>
  <c r="X95" i="5"/>
  <c r="Q226" i="10"/>
  <c r="AU196" i="5" s="1"/>
  <c r="X229" i="5"/>
  <c r="Y320" i="5"/>
  <c r="AL175" i="5"/>
  <c r="AZ175" i="5"/>
  <c r="Y266" i="5"/>
  <c r="AF200" i="5"/>
  <c r="AY200" i="5"/>
  <c r="Y344" i="5"/>
  <c r="Q94" i="10"/>
  <c r="AU363" i="5" s="1"/>
  <c r="AW363" i="5" s="1"/>
  <c r="Q130" i="10"/>
  <c r="AL231" i="5"/>
  <c r="AZ231" i="5"/>
  <c r="AQ322" i="5"/>
  <c r="X322" i="5"/>
  <c r="AL287" i="5"/>
  <c r="AZ287" i="5"/>
  <c r="Y323" i="5"/>
  <c r="Y88" i="5"/>
  <c r="Y248" i="5"/>
  <c r="AR86" i="5"/>
  <c r="BA86" i="5"/>
  <c r="AL99" i="5"/>
  <c r="AZ99" i="5"/>
  <c r="AQ345" i="5"/>
  <c r="X345" i="5"/>
  <c r="AQ100" i="5"/>
  <c r="X100" i="5"/>
  <c r="AF273" i="5"/>
  <c r="AY273" i="5"/>
  <c r="AQ133" i="5"/>
  <c r="X133" i="5"/>
  <c r="AQ128" i="5"/>
  <c r="X128" i="5"/>
  <c r="AL326" i="5"/>
  <c r="AZ326" i="5"/>
  <c r="Y137" i="5"/>
  <c r="Q227" i="10"/>
  <c r="AU197" i="5" s="1"/>
  <c r="AL322" i="5"/>
  <c r="AZ322" i="5"/>
  <c r="AK135" i="5"/>
  <c r="W135" i="5"/>
  <c r="X201" i="5"/>
  <c r="AL88" i="5"/>
  <c r="AZ88" i="5"/>
  <c r="Y89" i="5"/>
  <c r="Q325" i="10"/>
  <c r="AU95" i="5" s="1"/>
  <c r="AW95" i="5" s="1"/>
  <c r="Y124" i="5"/>
  <c r="AL197" i="5"/>
  <c r="AZ197" i="5"/>
  <c r="AK198" i="5"/>
  <c r="W198" i="5"/>
  <c r="AK268" i="5"/>
  <c r="W268" i="5"/>
  <c r="AL133" i="5"/>
  <c r="AZ133" i="5"/>
  <c r="AL176" i="5"/>
  <c r="AZ176" i="5"/>
  <c r="AL132" i="5"/>
  <c r="AZ132" i="5"/>
  <c r="Y85" i="5"/>
  <c r="AQ330" i="5"/>
  <c r="X330" i="5"/>
  <c r="AQ302" i="5"/>
  <c r="X302" i="5"/>
  <c r="W226" i="5"/>
  <c r="Y267" i="5"/>
  <c r="Y269" i="5"/>
  <c r="AX123" i="5"/>
  <c r="BB123" i="5"/>
  <c r="AF233" i="5"/>
  <c r="AY233" i="5"/>
  <c r="AQ189" i="5"/>
  <c r="X189" i="5"/>
  <c r="AF135" i="5"/>
  <c r="AY135" i="5"/>
  <c r="Y274" i="5"/>
  <c r="AL199" i="5"/>
  <c r="AZ199" i="5"/>
  <c r="AL318" i="5"/>
  <c r="AZ318" i="5"/>
  <c r="Y288" i="5"/>
  <c r="AR210" i="5"/>
  <c r="AL89" i="5"/>
  <c r="AZ89" i="5"/>
  <c r="AL90" i="5"/>
  <c r="AZ90" i="5"/>
  <c r="AL173" i="5"/>
  <c r="AZ173" i="5"/>
  <c r="AQ91" i="5"/>
  <c r="X91" i="5"/>
  <c r="Q230" i="10"/>
  <c r="AQ343" i="5"/>
  <c r="X343" i="5"/>
  <c r="AL319" i="5"/>
  <c r="AZ319" i="5"/>
  <c r="P221" i="10"/>
  <c r="Q183" i="10"/>
  <c r="AQ127" i="5"/>
  <c r="X127" i="5"/>
  <c r="AQ262" i="5"/>
  <c r="X262" i="5"/>
  <c r="AQ264" i="5"/>
  <c r="X264" i="5"/>
  <c r="AL330" i="5"/>
  <c r="AZ330" i="5"/>
  <c r="Q196" i="10"/>
  <c r="AU165" i="5" s="1"/>
  <c r="AW165" i="5" s="1"/>
  <c r="P234" i="10"/>
  <c r="AO204" i="5" s="1"/>
  <c r="AQ204" i="5" s="1"/>
  <c r="AR204" i="5" s="1"/>
  <c r="AL267" i="5"/>
  <c r="AZ267" i="5"/>
  <c r="Q323" i="10"/>
  <c r="AU93" i="5" s="1"/>
  <c r="AW93" i="5" s="1"/>
  <c r="AX93" i="5" s="1"/>
  <c r="AR123" i="5"/>
  <c r="BA123" i="5"/>
  <c r="P229" i="10"/>
  <c r="AO199" i="5" s="1"/>
  <c r="AQ199" i="5" s="1"/>
  <c r="Q191" i="10"/>
  <c r="AU160" i="5" s="1"/>
  <c r="AW160" i="5" s="1"/>
  <c r="AQ287" i="5"/>
  <c r="X287" i="5"/>
  <c r="AL288" i="5"/>
  <c r="AZ288" i="5"/>
  <c r="AQ96" i="5"/>
  <c r="X96" i="5"/>
  <c r="AQ325" i="5"/>
  <c r="X325" i="5"/>
  <c r="AK94" i="5"/>
  <c r="W94" i="5"/>
  <c r="Q231" i="10"/>
  <c r="AU235" i="5" s="1"/>
  <c r="AL234" i="5"/>
  <c r="AZ234" i="5"/>
  <c r="AL343" i="5"/>
  <c r="AZ343" i="5"/>
  <c r="Y95" i="5"/>
  <c r="AF198" i="5"/>
  <c r="AY198" i="5"/>
  <c r="AL194" i="5"/>
  <c r="AZ194" i="5"/>
  <c r="AL126" i="5"/>
  <c r="AZ126" i="5"/>
  <c r="AL127" i="5"/>
  <c r="AZ127" i="5"/>
  <c r="AL262" i="5"/>
  <c r="AZ262" i="5"/>
  <c r="AL264" i="5"/>
  <c r="AZ264" i="5"/>
  <c r="AQ326" i="5"/>
  <c r="X326" i="5"/>
  <c r="AK324" i="5"/>
  <c r="W324" i="5"/>
  <c r="AQ290" i="5"/>
  <c r="X290" i="5"/>
  <c r="AF327" i="5"/>
  <c r="AY327" i="5"/>
  <c r="AF195" i="5"/>
  <c r="AY195" i="5"/>
  <c r="Y322" i="5"/>
  <c r="AK97" i="5"/>
  <c r="W97" i="5"/>
  <c r="X199" i="5"/>
  <c r="AQ272" i="5"/>
  <c r="X272" i="5"/>
  <c r="AL87" i="5"/>
  <c r="AZ87" i="5"/>
  <c r="AL196" i="5"/>
  <c r="AZ196" i="5"/>
  <c r="Y345" i="5"/>
  <c r="Q242" i="10"/>
  <c r="AU212" i="5" s="1"/>
  <c r="AW212" i="5" s="1"/>
  <c r="AF337" i="5"/>
  <c r="AK107" i="5"/>
  <c r="AZ107" i="5" s="1"/>
  <c r="AF281" i="5"/>
  <c r="AK144" i="5"/>
  <c r="AZ144" i="5" s="1"/>
  <c r="AL281" i="5"/>
  <c r="Y144" i="5"/>
  <c r="Y107" i="5"/>
  <c r="AL208" i="5"/>
  <c r="Y281" i="5"/>
  <c r="AQ208" i="5"/>
  <c r="BA208" i="5" s="1"/>
  <c r="X208" i="5"/>
  <c r="X337" i="5"/>
  <c r="Y337" i="5"/>
  <c r="AL337" i="5"/>
  <c r="X144" i="5"/>
  <c r="X107" i="5"/>
  <c r="X281" i="5"/>
  <c r="V428" i="5"/>
  <c r="D14" i="6"/>
  <c r="AL8" i="5"/>
  <c r="E6" i="19" l="1"/>
  <c r="D7" i="19"/>
  <c r="AL232" i="5"/>
  <c r="AZ190" i="5"/>
  <c r="AL237" i="5"/>
  <c r="AL201" i="5"/>
  <c r="BC164" i="5"/>
  <c r="AZ192" i="5"/>
  <c r="BA203" i="5"/>
  <c r="BA246" i="5"/>
  <c r="AL224" i="5"/>
  <c r="AZ224" i="5"/>
  <c r="AU281" i="5"/>
  <c r="AW281" i="5" s="1"/>
  <c r="BB281" i="5" s="1"/>
  <c r="BC281" i="5" s="1"/>
  <c r="AR211" i="5"/>
  <c r="Z96" i="5"/>
  <c r="AO190" i="5"/>
  <c r="AQ190" i="5" s="1"/>
  <c r="AR190" i="5" s="1"/>
  <c r="AO224" i="5"/>
  <c r="AQ224" i="5" s="1"/>
  <c r="D23" i="6"/>
  <c r="AZ191" i="5"/>
  <c r="H14" i="6"/>
  <c r="H25" i="6"/>
  <c r="BB93" i="5"/>
  <c r="BC93" i="5" s="1"/>
  <c r="BA204" i="5"/>
  <c r="AU194" i="5"/>
  <c r="AW194" i="5" s="1"/>
  <c r="AO226" i="5"/>
  <c r="AQ226" i="5" s="1"/>
  <c r="AO192" i="5"/>
  <c r="AQ192" i="5" s="1"/>
  <c r="BA192" i="5" s="1"/>
  <c r="AR48" i="5"/>
  <c r="BA48" i="5"/>
  <c r="AX162" i="5"/>
  <c r="BB162" i="5"/>
  <c r="BC162" i="5" s="1"/>
  <c r="AX352" i="5"/>
  <c r="BB352" i="5"/>
  <c r="BC352" i="5" s="1"/>
  <c r="AR152" i="5"/>
  <c r="BA152" i="5"/>
  <c r="AX30" i="5"/>
  <c r="BB30" i="5"/>
  <c r="BC30" i="5" s="1"/>
  <c r="AO225" i="5"/>
  <c r="AQ225" i="5" s="1"/>
  <c r="AO191" i="5"/>
  <c r="AQ191" i="5" s="1"/>
  <c r="BA191" i="5" s="1"/>
  <c r="AX38" i="5"/>
  <c r="BB38" i="5"/>
  <c r="BC38" i="5" s="1"/>
  <c r="AU188" i="5"/>
  <c r="AU153" i="5"/>
  <c r="AW153" i="5" s="1"/>
  <c r="BB141" i="5"/>
  <c r="BC141" i="5" s="1"/>
  <c r="AU193" i="5"/>
  <c r="AW193" i="5" s="1"/>
  <c r="AU201" i="5"/>
  <c r="AW201" i="5" s="1"/>
  <c r="BA202" i="5"/>
  <c r="AX48" i="5"/>
  <c r="BB48" i="5"/>
  <c r="AX317" i="5"/>
  <c r="BB317" i="5"/>
  <c r="BC317" i="5" s="1"/>
  <c r="AX315" i="5"/>
  <c r="BB315" i="5"/>
  <c r="BC315" i="5" s="1"/>
  <c r="AO235" i="5"/>
  <c r="AQ235" i="5" s="1"/>
  <c r="AR235" i="5" s="1"/>
  <c r="AO201" i="5"/>
  <c r="AQ201" i="5" s="1"/>
  <c r="AR201" i="5" s="1"/>
  <c r="AX40" i="5"/>
  <c r="BB40" i="5"/>
  <c r="BC40" i="5" s="1"/>
  <c r="Q233" i="10"/>
  <c r="D22" i="6"/>
  <c r="AX260" i="5"/>
  <c r="BB260" i="5"/>
  <c r="BC260" i="5" s="1"/>
  <c r="BB372" i="5"/>
  <c r="BC372" i="5" s="1"/>
  <c r="AX372" i="5"/>
  <c r="AX29" i="5"/>
  <c r="BB29" i="5"/>
  <c r="BC29" i="5" s="1"/>
  <c r="AX350" i="5"/>
  <c r="BB350" i="5"/>
  <c r="BC350" i="5" s="1"/>
  <c r="BA359" i="5"/>
  <c r="AR359" i="5"/>
  <c r="AX84" i="5"/>
  <c r="BB84" i="5"/>
  <c r="BC84" i="5" s="1"/>
  <c r="AX37" i="5"/>
  <c r="BB37" i="5"/>
  <c r="BC37" i="5" s="1"/>
  <c r="AU187" i="5"/>
  <c r="AU152" i="5"/>
  <c r="AW152" i="5" s="1"/>
  <c r="Q220" i="10"/>
  <c r="AX163" i="5"/>
  <c r="BB163" i="5"/>
  <c r="BC163" i="5" s="1"/>
  <c r="BB363" i="5"/>
  <c r="BC363" i="5" s="1"/>
  <c r="AX363" i="5"/>
  <c r="Z325" i="5"/>
  <c r="H10" i="6"/>
  <c r="AX160" i="5"/>
  <c r="BB160" i="5"/>
  <c r="BC160" i="5" s="1"/>
  <c r="Q228" i="10"/>
  <c r="AU198" i="5" s="1"/>
  <c r="BB362" i="5"/>
  <c r="BC362" i="5" s="1"/>
  <c r="AX362" i="5"/>
  <c r="AU94" i="5"/>
  <c r="AW94" i="5" s="1"/>
  <c r="AU359" i="5"/>
  <c r="AW359" i="5" s="1"/>
  <c r="AX35" i="5"/>
  <c r="BB35" i="5"/>
  <c r="BC35" i="5" s="1"/>
  <c r="AX259" i="5"/>
  <c r="BB259" i="5"/>
  <c r="BC259" i="5" s="1"/>
  <c r="AR153" i="5"/>
  <c r="BA153" i="5"/>
  <c r="Z287" i="5"/>
  <c r="AR248" i="5"/>
  <c r="Z343" i="5"/>
  <c r="AO238" i="5"/>
  <c r="AQ238" i="5" s="1"/>
  <c r="AO249" i="5"/>
  <c r="AQ249" i="5" s="1"/>
  <c r="AU230" i="5"/>
  <c r="AW230" i="5" s="1"/>
  <c r="AU241" i="5"/>
  <c r="AW241" i="5" s="1"/>
  <c r="AU324" i="5"/>
  <c r="AW324" i="5" s="1"/>
  <c r="AU335" i="5"/>
  <c r="AW335" i="5" s="1"/>
  <c r="AX113" i="5"/>
  <c r="BB113" i="5"/>
  <c r="BC113" i="5" s="1"/>
  <c r="AU246" i="5"/>
  <c r="AW246" i="5" s="1"/>
  <c r="AU257" i="5"/>
  <c r="AW257" i="5" s="1"/>
  <c r="AU195" i="5"/>
  <c r="AU206" i="5"/>
  <c r="AW206" i="5" s="1"/>
  <c r="AU327" i="5"/>
  <c r="AW327" i="5" s="1"/>
  <c r="AU338" i="5"/>
  <c r="AW338" i="5" s="1"/>
  <c r="AU200" i="5"/>
  <c r="AU211" i="5"/>
  <c r="AW211" i="5" s="1"/>
  <c r="BB211" i="5" s="1"/>
  <c r="BC211" i="5" s="1"/>
  <c r="AU234" i="5"/>
  <c r="AW234" i="5" s="1"/>
  <c r="AU245" i="5"/>
  <c r="AW245" i="5" s="1"/>
  <c r="AU273" i="5"/>
  <c r="AW273" i="5" s="1"/>
  <c r="AU284" i="5"/>
  <c r="AW284" i="5" s="1"/>
  <c r="AU209" i="5"/>
  <c r="AW209" i="5" s="1"/>
  <c r="BB355" i="5"/>
  <c r="BC355" i="5" s="1"/>
  <c r="AX355" i="5"/>
  <c r="AX112" i="5"/>
  <c r="BB112" i="5"/>
  <c r="BC112" i="5" s="1"/>
  <c r="AX300" i="5"/>
  <c r="BB300" i="5"/>
  <c r="BC300" i="5" s="1"/>
  <c r="AR243" i="5"/>
  <c r="BA243" i="5"/>
  <c r="AX299" i="5"/>
  <c r="BB299" i="5"/>
  <c r="BC299" i="5" s="1"/>
  <c r="AX339" i="5"/>
  <c r="BB339" i="5"/>
  <c r="BC339" i="5" s="1"/>
  <c r="AX102" i="5"/>
  <c r="BB102" i="5"/>
  <c r="BC102" i="5" s="1"/>
  <c r="AX109" i="5"/>
  <c r="BB109" i="5"/>
  <c r="BC109" i="5" s="1"/>
  <c r="AX185" i="5"/>
  <c r="BB185" i="5"/>
  <c r="BC185" i="5" s="1"/>
  <c r="AX143" i="5"/>
  <c r="BB143" i="5"/>
  <c r="BC143" i="5" s="1"/>
  <c r="AX283" i="5"/>
  <c r="BB283" i="5"/>
  <c r="BC283" i="5" s="1"/>
  <c r="AX333" i="5"/>
  <c r="BB333" i="5"/>
  <c r="BC333" i="5" s="1"/>
  <c r="AR111" i="5"/>
  <c r="BA111" i="5"/>
  <c r="AX331" i="5"/>
  <c r="BB331" i="5"/>
  <c r="BC331" i="5" s="1"/>
  <c r="AR241" i="5"/>
  <c r="BA241" i="5"/>
  <c r="AR338" i="5"/>
  <c r="BA338" i="5"/>
  <c r="BB354" i="5"/>
  <c r="AX354" i="5"/>
  <c r="AU98" i="5"/>
  <c r="AW98" i="5" s="1"/>
  <c r="AU111" i="5"/>
  <c r="AW111" i="5" s="1"/>
  <c r="AU271" i="5"/>
  <c r="AW271" i="5" s="1"/>
  <c r="AU282" i="5"/>
  <c r="AW282" i="5" s="1"/>
  <c r="AU243" i="5"/>
  <c r="AW243" i="5" s="1"/>
  <c r="BB210" i="5"/>
  <c r="BC210" i="5" s="1"/>
  <c r="AU131" i="5"/>
  <c r="AW131" i="5" s="1"/>
  <c r="AU142" i="5"/>
  <c r="AW142" i="5" s="1"/>
  <c r="AU97" i="5"/>
  <c r="AW97" i="5" s="1"/>
  <c r="AU110" i="5"/>
  <c r="AW110" i="5" s="1"/>
  <c r="AU135" i="5"/>
  <c r="AW135" i="5" s="1"/>
  <c r="AU146" i="5"/>
  <c r="AW146" i="5" s="1"/>
  <c r="AX336" i="5"/>
  <c r="BB336" i="5"/>
  <c r="BC336" i="5" s="1"/>
  <c r="AR245" i="5"/>
  <c r="BA245" i="5"/>
  <c r="AX285" i="5"/>
  <c r="BB285" i="5"/>
  <c r="BC285" i="5" s="1"/>
  <c r="AR279" i="5"/>
  <c r="BA279" i="5"/>
  <c r="AX298" i="5"/>
  <c r="BB298" i="5"/>
  <c r="BC298" i="5" s="1"/>
  <c r="AR142" i="5"/>
  <c r="BA142" i="5"/>
  <c r="AX334" i="5"/>
  <c r="BB334" i="5"/>
  <c r="BC334" i="5" s="1"/>
  <c r="AX301" i="5"/>
  <c r="BB301" i="5"/>
  <c r="BC301" i="5" s="1"/>
  <c r="AR335" i="5"/>
  <c r="BA335" i="5"/>
  <c r="AR284" i="5"/>
  <c r="BA284" i="5"/>
  <c r="AR206" i="5"/>
  <c r="BA206" i="5"/>
  <c r="AX332" i="5"/>
  <c r="BB332" i="5"/>
  <c r="BC332" i="5" s="1"/>
  <c r="AX104" i="5"/>
  <c r="BB104" i="5"/>
  <c r="BC104" i="5" s="1"/>
  <c r="AU268" i="5"/>
  <c r="AW268" i="5" s="1"/>
  <c r="AU279" i="5"/>
  <c r="AW279" i="5" s="1"/>
  <c r="AR257" i="5"/>
  <c r="BA257" i="5"/>
  <c r="AX165" i="5"/>
  <c r="BB165" i="5"/>
  <c r="BC165" i="5" s="1"/>
  <c r="AX148" i="5"/>
  <c r="BB148" i="5"/>
  <c r="BC148" i="5" s="1"/>
  <c r="AX140" i="5"/>
  <c r="BB140" i="5"/>
  <c r="BC140" i="5" s="1"/>
  <c r="AR145" i="5"/>
  <c r="BA145" i="5"/>
  <c r="K14" i="6" s="1"/>
  <c r="L14" i="6" s="1"/>
  <c r="AR209" i="5"/>
  <c r="BA209" i="5"/>
  <c r="BB357" i="5"/>
  <c r="BC357" i="5" s="1"/>
  <c r="AX357" i="5"/>
  <c r="AX341" i="5"/>
  <c r="BB341" i="5"/>
  <c r="BC341" i="5" s="1"/>
  <c r="AX184" i="5"/>
  <c r="BB184" i="5"/>
  <c r="BC184" i="5" s="1"/>
  <c r="AU107" i="5"/>
  <c r="AW107" i="5" s="1"/>
  <c r="BB107" i="5" s="1"/>
  <c r="BC107" i="5" s="1"/>
  <c r="AU120" i="5"/>
  <c r="AW120" i="5" s="1"/>
  <c r="AR120" i="5"/>
  <c r="BA120" i="5"/>
  <c r="AX277" i="5"/>
  <c r="BB277" i="5"/>
  <c r="BC277" i="5" s="1"/>
  <c r="AL244" i="5"/>
  <c r="AZ244" i="5"/>
  <c r="AX275" i="5"/>
  <c r="BB275" i="5"/>
  <c r="BC275" i="5" s="1"/>
  <c r="AX313" i="5"/>
  <c r="BB313" i="5"/>
  <c r="BC313" i="5" s="1"/>
  <c r="AR340" i="5"/>
  <c r="BA340" i="5"/>
  <c r="AX139" i="5"/>
  <c r="BB139" i="5"/>
  <c r="BC139" i="5" s="1"/>
  <c r="BB356" i="5"/>
  <c r="BC356" i="5" s="1"/>
  <c r="AX356" i="5"/>
  <c r="AR282" i="5"/>
  <c r="BA282" i="5"/>
  <c r="AX186" i="5"/>
  <c r="BB186" i="5"/>
  <c r="BC186" i="5" s="1"/>
  <c r="AX207" i="5"/>
  <c r="BB207" i="5"/>
  <c r="BC207" i="5" s="1"/>
  <c r="AX103" i="5"/>
  <c r="BB103" i="5"/>
  <c r="BC103" i="5" s="1"/>
  <c r="AR242" i="5"/>
  <c r="BA242" i="5"/>
  <c r="AO233" i="5"/>
  <c r="AQ233" i="5" s="1"/>
  <c r="AO244" i="5"/>
  <c r="AQ244" i="5" s="1"/>
  <c r="AU329" i="5"/>
  <c r="AW329" i="5" s="1"/>
  <c r="AU340" i="5"/>
  <c r="AW340" i="5" s="1"/>
  <c r="AU231" i="5"/>
  <c r="AW231" i="5" s="1"/>
  <c r="AU242" i="5"/>
  <c r="AW242" i="5" s="1"/>
  <c r="AU134" i="5"/>
  <c r="AW134" i="5" s="1"/>
  <c r="AU145" i="5"/>
  <c r="AW145" i="5" s="1"/>
  <c r="AU229" i="5"/>
  <c r="AW229" i="5" s="1"/>
  <c r="AU240" i="5"/>
  <c r="AW240" i="5" s="1"/>
  <c r="AU239" i="5"/>
  <c r="AW239" i="5" s="1"/>
  <c r="AU250" i="5"/>
  <c r="AW250" i="5" s="1"/>
  <c r="AO236" i="5"/>
  <c r="AQ236" i="5" s="1"/>
  <c r="AO247" i="5"/>
  <c r="AQ247" i="5" s="1"/>
  <c r="AR155" i="5"/>
  <c r="BA155" i="5"/>
  <c r="AR110" i="5"/>
  <c r="BA110" i="5"/>
  <c r="AX108" i="5"/>
  <c r="BB108" i="5"/>
  <c r="BC108" i="5" s="1"/>
  <c r="AX147" i="5"/>
  <c r="BB147" i="5"/>
  <c r="BC147" i="5" s="1"/>
  <c r="AX348" i="5"/>
  <c r="BB348" i="5"/>
  <c r="BC348" i="5" s="1"/>
  <c r="AO237" i="5"/>
  <c r="AQ237" i="5" s="1"/>
  <c r="AR237" i="5" s="1"/>
  <c r="AR292" i="5"/>
  <c r="BA292" i="5"/>
  <c r="AX278" i="5"/>
  <c r="BB278" i="5"/>
  <c r="BC278" i="5" s="1"/>
  <c r="AL247" i="5"/>
  <c r="AZ247" i="5"/>
  <c r="AX212" i="5"/>
  <c r="BB212" i="5"/>
  <c r="BC212" i="5" s="1"/>
  <c r="AX292" i="5"/>
  <c r="BB292" i="5"/>
  <c r="AX101" i="5"/>
  <c r="BB101" i="5"/>
  <c r="BC101" i="5" s="1"/>
  <c r="AR240" i="5"/>
  <c r="BA240" i="5"/>
  <c r="AX276" i="5"/>
  <c r="BB276" i="5"/>
  <c r="BC276" i="5" s="1"/>
  <c r="AX138" i="5"/>
  <c r="BB138" i="5"/>
  <c r="BC138" i="5" s="1"/>
  <c r="AX105" i="5"/>
  <c r="BB105" i="5"/>
  <c r="BC105" i="5" s="1"/>
  <c r="AR250" i="5"/>
  <c r="BA250" i="5"/>
  <c r="AX219" i="5"/>
  <c r="BB219" i="5"/>
  <c r="AL249" i="5"/>
  <c r="AZ249" i="5"/>
  <c r="AX205" i="5"/>
  <c r="BB205" i="5"/>
  <c r="BC205" i="5" s="1"/>
  <c r="AX280" i="5"/>
  <c r="BB280" i="5"/>
  <c r="BC280" i="5" s="1"/>
  <c r="AR146" i="5"/>
  <c r="BA146" i="5"/>
  <c r="AX155" i="5"/>
  <c r="BB155" i="5"/>
  <c r="Z290" i="5"/>
  <c r="AF428" i="5"/>
  <c r="Z326" i="5"/>
  <c r="AY428" i="5"/>
  <c r="Z330" i="5"/>
  <c r="Z264" i="5"/>
  <c r="Z127" i="5"/>
  <c r="Z91" i="5"/>
  <c r="Z210" i="5"/>
  <c r="Z132" i="5"/>
  <c r="Z272" i="5"/>
  <c r="BC86" i="5"/>
  <c r="BC130" i="5"/>
  <c r="Z263" i="5"/>
  <c r="Z124" i="5"/>
  <c r="Z89" i="5"/>
  <c r="Z249" i="5"/>
  <c r="AL107" i="5"/>
  <c r="Z344" i="5"/>
  <c r="Z320" i="5"/>
  <c r="Z173" i="5"/>
  <c r="Z274" i="5"/>
  <c r="Z267" i="5"/>
  <c r="Z95" i="5"/>
  <c r="Z88" i="5"/>
  <c r="BC123" i="5"/>
  <c r="Z175" i="5"/>
  <c r="Z319" i="5"/>
  <c r="Z346" i="5"/>
  <c r="Z176" i="5"/>
  <c r="Z129" i="5"/>
  <c r="Z133" i="5"/>
  <c r="Z100" i="5"/>
  <c r="Z262" i="5"/>
  <c r="Z322" i="5"/>
  <c r="Z288" i="5"/>
  <c r="Z266" i="5"/>
  <c r="Z90" i="5"/>
  <c r="W428" i="5"/>
  <c r="Z128" i="5"/>
  <c r="Z85" i="5"/>
  <c r="Z137" i="5"/>
  <c r="Z265" i="5"/>
  <c r="Z126" i="5"/>
  <c r="Z318" i="5"/>
  <c r="Z122" i="5"/>
  <c r="AR199" i="5"/>
  <c r="BA199" i="5"/>
  <c r="AX322" i="5"/>
  <c r="BB322" i="5"/>
  <c r="AL324" i="5"/>
  <c r="AZ324" i="5"/>
  <c r="AR326" i="5"/>
  <c r="BA326" i="5"/>
  <c r="AW197" i="5"/>
  <c r="Y197" i="5"/>
  <c r="Z197" i="5" s="1"/>
  <c r="AL94" i="5"/>
  <c r="AZ94" i="5"/>
  <c r="AR96" i="5"/>
  <c r="BA96" i="5"/>
  <c r="AQ195" i="5"/>
  <c r="X195" i="5"/>
  <c r="Q234" i="10"/>
  <c r="AU204" i="5" s="1"/>
  <c r="AW204" i="5" s="1"/>
  <c r="BB204" i="5" s="1"/>
  <c r="AR264" i="5"/>
  <c r="BA264" i="5"/>
  <c r="AR127" i="5"/>
  <c r="BA127" i="5"/>
  <c r="X225" i="5"/>
  <c r="AR91" i="5"/>
  <c r="BA91" i="5"/>
  <c r="AX85" i="5"/>
  <c r="BB85" i="5"/>
  <c r="O11" i="6" s="1"/>
  <c r="AQ329" i="5"/>
  <c r="X329" i="5"/>
  <c r="AL135" i="5"/>
  <c r="AZ135" i="5"/>
  <c r="Y193" i="5"/>
  <c r="Z193" i="5" s="1"/>
  <c r="AX137" i="5"/>
  <c r="BB137" i="5"/>
  <c r="AR133" i="5"/>
  <c r="BA133" i="5"/>
  <c r="AR100" i="5"/>
  <c r="BA100" i="5"/>
  <c r="AQ134" i="5"/>
  <c r="X134" i="5"/>
  <c r="AR229" i="5"/>
  <c r="BA229" i="5"/>
  <c r="Y271" i="5"/>
  <c r="AL233" i="5"/>
  <c r="AZ233" i="5"/>
  <c r="AX265" i="5"/>
  <c r="BB265" i="5"/>
  <c r="AX175" i="5"/>
  <c r="BB175" i="5"/>
  <c r="AX270" i="5"/>
  <c r="BB270" i="5"/>
  <c r="AX126" i="5"/>
  <c r="BB126" i="5"/>
  <c r="Y232" i="5"/>
  <c r="Z232" i="5" s="1"/>
  <c r="AR269" i="5"/>
  <c r="BA269" i="5"/>
  <c r="AR267" i="5"/>
  <c r="BA267" i="5"/>
  <c r="Y190" i="5"/>
  <c r="Z190" i="5" s="1"/>
  <c r="AX319" i="5"/>
  <c r="BB319" i="5"/>
  <c r="AR124" i="5"/>
  <c r="BA124" i="5"/>
  <c r="AR193" i="5"/>
  <c r="BA193" i="5"/>
  <c r="AX176" i="5"/>
  <c r="BB176" i="5"/>
  <c r="Z323" i="5"/>
  <c r="AL98" i="5"/>
  <c r="AZ98" i="5"/>
  <c r="Y229" i="5"/>
  <c r="Z229" i="5" s="1"/>
  <c r="AR99" i="5"/>
  <c r="BA99" i="5"/>
  <c r="AR270" i="5"/>
  <c r="BA270" i="5"/>
  <c r="AW189" i="5"/>
  <c r="Y189" i="5"/>
  <c r="Z189" i="5" s="1"/>
  <c r="AR92" i="5"/>
  <c r="BA92" i="5"/>
  <c r="AR136" i="5"/>
  <c r="BA136" i="5"/>
  <c r="AR346" i="5"/>
  <c r="BA346" i="5"/>
  <c r="AR132" i="5"/>
  <c r="BA132" i="5"/>
  <c r="AR129" i="5"/>
  <c r="BA129" i="5"/>
  <c r="Y199" i="5"/>
  <c r="Z199" i="5" s="1"/>
  <c r="Z125" i="5"/>
  <c r="AX290" i="5"/>
  <c r="BB290" i="5"/>
  <c r="Y324" i="5"/>
  <c r="AX326" i="5"/>
  <c r="BB326" i="5"/>
  <c r="AX325" i="5"/>
  <c r="BB325" i="5"/>
  <c r="AX91" i="5"/>
  <c r="BB91" i="5"/>
  <c r="AR174" i="5"/>
  <c r="BA174" i="5"/>
  <c r="Z328" i="5"/>
  <c r="AX330" i="5"/>
  <c r="BB330" i="5"/>
  <c r="AQ198" i="5"/>
  <c r="X198" i="5"/>
  <c r="AX128" i="5"/>
  <c r="BB128" i="5"/>
  <c r="AX133" i="5"/>
  <c r="BB133" i="5"/>
  <c r="AX100" i="5"/>
  <c r="BB100" i="5"/>
  <c r="AW235" i="5"/>
  <c r="Y235" i="5"/>
  <c r="Z235" i="5" s="1"/>
  <c r="Q229" i="10"/>
  <c r="AU199" i="5" s="1"/>
  <c r="AW199" i="5" s="1"/>
  <c r="AQ327" i="5"/>
  <c r="X327" i="5"/>
  <c r="AW196" i="5"/>
  <c r="Y196" i="5"/>
  <c r="Z196" i="5" s="1"/>
  <c r="AX288" i="5"/>
  <c r="BB288" i="5"/>
  <c r="AX269" i="5"/>
  <c r="BB269" i="5"/>
  <c r="AL226" i="5"/>
  <c r="AZ226" i="5"/>
  <c r="AR330" i="5"/>
  <c r="BA330" i="5"/>
  <c r="AL198" i="5"/>
  <c r="AZ198" i="5"/>
  <c r="Y329" i="5"/>
  <c r="Y231" i="5"/>
  <c r="Z231" i="5" s="1"/>
  <c r="AR128" i="5"/>
  <c r="BA128" i="5"/>
  <c r="Z345" i="5"/>
  <c r="AX323" i="5"/>
  <c r="BB323" i="5"/>
  <c r="AR322" i="5"/>
  <c r="BA322" i="5"/>
  <c r="Y134" i="5"/>
  <c r="AX344" i="5"/>
  <c r="BB344" i="5"/>
  <c r="AX266" i="5"/>
  <c r="BB266" i="5"/>
  <c r="AX320" i="5"/>
  <c r="BB320" i="5"/>
  <c r="Y192" i="5"/>
  <c r="Z192" i="5" s="1"/>
  <c r="AX289" i="5"/>
  <c r="BB289" i="5"/>
  <c r="AR234" i="5"/>
  <c r="BA234" i="5"/>
  <c r="AR274" i="5"/>
  <c r="BA274" i="5"/>
  <c r="AQ188" i="5"/>
  <c r="X188" i="5"/>
  <c r="AW228" i="5"/>
  <c r="Y228" i="5"/>
  <c r="Z228" i="5" s="1"/>
  <c r="AR89" i="5"/>
  <c r="BA89" i="5"/>
  <c r="AX154" i="5"/>
  <c r="BB154" i="5"/>
  <c r="AX129" i="5"/>
  <c r="BB129" i="5"/>
  <c r="AR88" i="5"/>
  <c r="BA88" i="5"/>
  <c r="AR323" i="5"/>
  <c r="BA323" i="5"/>
  <c r="AR320" i="5"/>
  <c r="BA320" i="5"/>
  <c r="AQ273" i="5"/>
  <c r="X273" i="5"/>
  <c r="AL271" i="5"/>
  <c r="AZ271" i="5"/>
  <c r="Z289" i="5"/>
  <c r="AR175" i="5"/>
  <c r="BA175" i="5"/>
  <c r="Z321" i="5"/>
  <c r="AR126" i="5"/>
  <c r="BA126" i="5"/>
  <c r="AW227" i="5"/>
  <c r="Y227" i="5"/>
  <c r="Z227" i="5" s="1"/>
  <c r="AL188" i="5"/>
  <c r="AZ188" i="5"/>
  <c r="AR319" i="5"/>
  <c r="BA319" i="5"/>
  <c r="AX173" i="5"/>
  <c r="BB173" i="5"/>
  <c r="AR318" i="5"/>
  <c r="BA318" i="5"/>
  <c r="Z154" i="5"/>
  <c r="AQ131" i="5"/>
  <c r="X131" i="5"/>
  <c r="Y237" i="5"/>
  <c r="Z237" i="5" s="1"/>
  <c r="AR125" i="5"/>
  <c r="BA125" i="5"/>
  <c r="AQ94" i="5"/>
  <c r="X94" i="5"/>
  <c r="AX262" i="5"/>
  <c r="BB262" i="5"/>
  <c r="AL225" i="5"/>
  <c r="AZ225" i="5"/>
  <c r="AR328" i="5"/>
  <c r="BA328" i="5"/>
  <c r="Q232" i="10"/>
  <c r="AU202" i="5" s="1"/>
  <c r="AW202" i="5" s="1"/>
  <c r="AX202" i="5" s="1"/>
  <c r="AR90" i="5"/>
  <c r="BA90" i="5"/>
  <c r="AR239" i="5"/>
  <c r="BA239" i="5"/>
  <c r="AL131" i="5"/>
  <c r="AZ131" i="5"/>
  <c r="AX122" i="5"/>
  <c r="BB122" i="5"/>
  <c r="AX345" i="5"/>
  <c r="BB345" i="5"/>
  <c r="AR272" i="5"/>
  <c r="BA272" i="5"/>
  <c r="AL97" i="5"/>
  <c r="AZ97" i="5"/>
  <c r="AR290" i="5"/>
  <c r="BA290" i="5"/>
  <c r="AR325" i="5"/>
  <c r="BA325" i="5"/>
  <c r="AR287" i="5"/>
  <c r="BA287" i="5"/>
  <c r="X233" i="5"/>
  <c r="Y327" i="5"/>
  <c r="AQ200" i="5"/>
  <c r="X200" i="5"/>
  <c r="AR262" i="5"/>
  <c r="BA262" i="5"/>
  <c r="K25" i="6" s="1"/>
  <c r="AQ187" i="5"/>
  <c r="X187" i="5"/>
  <c r="AR343" i="5"/>
  <c r="BA343" i="5"/>
  <c r="Y234" i="5"/>
  <c r="Z234" i="5" s="1"/>
  <c r="Z302" i="5"/>
  <c r="AL268" i="5"/>
  <c r="AZ268" i="5"/>
  <c r="AR345" i="5"/>
  <c r="BA345" i="5"/>
  <c r="AQ98" i="5"/>
  <c r="X98" i="5"/>
  <c r="Y230" i="5"/>
  <c r="Z230" i="5" s="1"/>
  <c r="AR95" i="5"/>
  <c r="BA95" i="5"/>
  <c r="AX99" i="5"/>
  <c r="BB99" i="5"/>
  <c r="AX87" i="5"/>
  <c r="BB87" i="5"/>
  <c r="AL200" i="5"/>
  <c r="AZ200" i="5"/>
  <c r="AX321" i="5"/>
  <c r="BB321" i="5"/>
  <c r="AL187" i="5"/>
  <c r="AZ187" i="5"/>
  <c r="X226" i="5"/>
  <c r="AL329" i="5"/>
  <c r="AZ329" i="5"/>
  <c r="AX346" i="5"/>
  <c r="BB346" i="5"/>
  <c r="AR137" i="5"/>
  <c r="BA137" i="5"/>
  <c r="AL134" i="5"/>
  <c r="AZ134" i="5"/>
  <c r="AR344" i="5"/>
  <c r="BA344" i="5"/>
  <c r="Y273" i="5"/>
  <c r="AR230" i="5"/>
  <c r="BA230" i="5"/>
  <c r="AR197" i="5"/>
  <c r="BA197" i="5"/>
  <c r="Z87" i="5"/>
  <c r="AR289" i="5"/>
  <c r="BA289" i="5"/>
  <c r="AL195" i="5"/>
  <c r="AZ195" i="5"/>
  <c r="Z248" i="5"/>
  <c r="AR321" i="5"/>
  <c r="BA321" i="5"/>
  <c r="AR228" i="5"/>
  <c r="BA228" i="5"/>
  <c r="Y201" i="5"/>
  <c r="Z201" i="5" s="1"/>
  <c r="AR154" i="5"/>
  <c r="BA154" i="5"/>
  <c r="Y131" i="5"/>
  <c r="AR176" i="5"/>
  <c r="BA176" i="5"/>
  <c r="AR122" i="5"/>
  <c r="BA122" i="5"/>
  <c r="AQ97" i="5"/>
  <c r="X97" i="5"/>
  <c r="Y94" i="5"/>
  <c r="AX96" i="5"/>
  <c r="BB96" i="5"/>
  <c r="AX287" i="5"/>
  <c r="BB287" i="5"/>
  <c r="AX343" i="5"/>
  <c r="BB343" i="5"/>
  <c r="AR227" i="5"/>
  <c r="BA227" i="5"/>
  <c r="AX302" i="5"/>
  <c r="BB302" i="5"/>
  <c r="AQ268" i="5"/>
  <c r="X268" i="5"/>
  <c r="X236" i="5"/>
  <c r="AQ135" i="5"/>
  <c r="X135" i="5"/>
  <c r="AX95" i="5"/>
  <c r="BB95" i="5"/>
  <c r="X238" i="5"/>
  <c r="Q221" i="10"/>
  <c r="AX274" i="5"/>
  <c r="BB274" i="5"/>
  <c r="AR189" i="5"/>
  <c r="BA189" i="5"/>
  <c r="AX267" i="5"/>
  <c r="BB267" i="5"/>
  <c r="AR302" i="5"/>
  <c r="BA302" i="5"/>
  <c r="K20" i="6" s="1"/>
  <c r="AX124" i="5"/>
  <c r="BB124" i="5"/>
  <c r="AX89" i="5"/>
  <c r="BB89" i="5"/>
  <c r="AX88" i="5"/>
  <c r="BB88" i="5"/>
  <c r="Y98" i="5"/>
  <c r="AQ271" i="5"/>
  <c r="X271" i="5"/>
  <c r="AL327" i="5"/>
  <c r="AZ327" i="5"/>
  <c r="Y194" i="5"/>
  <c r="Z194" i="5" s="1"/>
  <c r="AX263" i="5"/>
  <c r="BB263" i="5"/>
  <c r="AR288" i="5"/>
  <c r="BA288" i="5"/>
  <c r="Z269" i="5"/>
  <c r="Q222" i="10"/>
  <c r="AX92" i="5"/>
  <c r="BB92" i="5"/>
  <c r="AR85" i="5"/>
  <c r="BA85" i="5"/>
  <c r="K11" i="6" s="1"/>
  <c r="AX318" i="5"/>
  <c r="BB318" i="5"/>
  <c r="AX136" i="5"/>
  <c r="BB136" i="5"/>
  <c r="AX210" i="5"/>
  <c r="AX125" i="5"/>
  <c r="BB125" i="5"/>
  <c r="AR266" i="5"/>
  <c r="BA266" i="5"/>
  <c r="Y191" i="5"/>
  <c r="Z191" i="5" s="1"/>
  <c r="Z99" i="5"/>
  <c r="AR87" i="5"/>
  <c r="BA87" i="5"/>
  <c r="AR265" i="5"/>
  <c r="BA265" i="5"/>
  <c r="Z270" i="5"/>
  <c r="AR232" i="5"/>
  <c r="BA232" i="5"/>
  <c r="AR263" i="5"/>
  <c r="BA263" i="5"/>
  <c r="AR196" i="5"/>
  <c r="BA196" i="5"/>
  <c r="AX174" i="5"/>
  <c r="BB174" i="5"/>
  <c r="AX328" i="5"/>
  <c r="BB328" i="5"/>
  <c r="Z92" i="5"/>
  <c r="AL236" i="5"/>
  <c r="AZ236" i="5"/>
  <c r="AX90" i="5"/>
  <c r="BB90" i="5"/>
  <c r="Y239" i="5"/>
  <c r="Z239" i="5" s="1"/>
  <c r="Z136" i="5"/>
  <c r="AX272" i="5"/>
  <c r="BB272" i="5"/>
  <c r="Y97" i="5"/>
  <c r="AQ324" i="5"/>
  <c r="X324" i="5"/>
  <c r="AL273" i="5"/>
  <c r="AZ273" i="5"/>
  <c r="Z211" i="5"/>
  <c r="AL238" i="5"/>
  <c r="AZ238" i="5"/>
  <c r="AX264" i="5"/>
  <c r="BB264" i="5"/>
  <c r="AX127" i="5"/>
  <c r="BB127" i="5"/>
  <c r="AR194" i="5"/>
  <c r="BA194" i="5"/>
  <c r="Z174" i="5"/>
  <c r="Y268" i="5"/>
  <c r="AR173" i="5"/>
  <c r="BA173" i="5"/>
  <c r="Y135" i="5"/>
  <c r="AR231" i="5"/>
  <c r="BA231" i="5"/>
  <c r="AX132" i="5"/>
  <c r="BB132" i="5"/>
  <c r="Y208" i="5"/>
  <c r="AX208" i="5" s="1"/>
  <c r="AL144" i="5"/>
  <c r="Y246" i="5"/>
  <c r="BC144" i="5"/>
  <c r="BC208" i="5"/>
  <c r="BC337" i="5"/>
  <c r="Z144" i="5"/>
  <c r="Z337" i="5"/>
  <c r="Z107" i="5"/>
  <c r="Z281" i="5"/>
  <c r="AR208" i="5"/>
  <c r="AR107" i="5"/>
  <c r="AX144" i="5"/>
  <c r="AR281" i="5"/>
  <c r="AR144" i="5"/>
  <c r="AX337" i="5"/>
  <c r="AR337" i="5"/>
  <c r="D8" i="6"/>
  <c r="H15" i="6"/>
  <c r="H9" i="6"/>
  <c r="D10" i="6"/>
  <c r="D24" i="6"/>
  <c r="D9" i="6"/>
  <c r="X8" i="5"/>
  <c r="AQ8" i="5"/>
  <c r="F6" i="19" l="1"/>
  <c r="AR191" i="5"/>
  <c r="E7" i="19"/>
  <c r="BC204" i="5"/>
  <c r="AX281" i="5"/>
  <c r="BA235" i="5"/>
  <c r="BA190" i="5"/>
  <c r="R10" i="6"/>
  <c r="AR224" i="5"/>
  <c r="BA224" i="5"/>
  <c r="AX107" i="5"/>
  <c r="AU190" i="5"/>
  <c r="AW190" i="5" s="1"/>
  <c r="AX190" i="5" s="1"/>
  <c r="AU224" i="5"/>
  <c r="AW224" i="5" s="1"/>
  <c r="AU232" i="5"/>
  <c r="AW232" i="5" s="1"/>
  <c r="BB232" i="5" s="1"/>
  <c r="BC232" i="5" s="1"/>
  <c r="R25" i="6"/>
  <c r="AR192" i="5"/>
  <c r="BA201" i="5"/>
  <c r="BC48" i="5"/>
  <c r="H23" i="6"/>
  <c r="BC320" i="5"/>
  <c r="K10" i="6"/>
  <c r="L10" i="6" s="1"/>
  <c r="L25" i="6"/>
  <c r="BC219" i="5"/>
  <c r="AX204" i="5"/>
  <c r="BB359" i="5"/>
  <c r="BC359" i="5" s="1"/>
  <c r="AX359" i="5"/>
  <c r="AU248" i="5"/>
  <c r="AW248" i="5" s="1"/>
  <c r="AU203" i="5"/>
  <c r="AW203" i="5" s="1"/>
  <c r="AX211" i="5"/>
  <c r="BB202" i="5"/>
  <c r="BC202" i="5" s="1"/>
  <c r="AX153" i="5"/>
  <c r="BB153" i="5"/>
  <c r="BC153" i="5" s="1"/>
  <c r="AU226" i="5"/>
  <c r="AW226" i="5" s="1"/>
  <c r="AU192" i="5"/>
  <c r="AW192" i="5" s="1"/>
  <c r="AX192" i="5" s="1"/>
  <c r="AU225" i="5"/>
  <c r="AW225" i="5" s="1"/>
  <c r="AU191" i="5"/>
  <c r="AW191" i="5" s="1"/>
  <c r="AX191" i="5" s="1"/>
  <c r="O10" i="6"/>
  <c r="P10" i="6" s="1"/>
  <c r="AX152" i="5"/>
  <c r="BB152" i="5"/>
  <c r="BC152" i="5" s="1"/>
  <c r="O25" i="6"/>
  <c r="P25" i="6" s="1"/>
  <c r="BC155" i="5"/>
  <c r="BC292" i="5"/>
  <c r="BC323" i="5"/>
  <c r="AU233" i="5"/>
  <c r="AU244" i="5"/>
  <c r="AW244" i="5" s="1"/>
  <c r="AU238" i="5"/>
  <c r="AW238" i="5" s="1"/>
  <c r="AU249" i="5"/>
  <c r="AW249" i="5" s="1"/>
  <c r="AX110" i="5"/>
  <c r="BB110" i="5"/>
  <c r="BC110" i="5" s="1"/>
  <c r="AX284" i="5"/>
  <c r="BB284" i="5"/>
  <c r="BC284" i="5" s="1"/>
  <c r="AX206" i="5"/>
  <c r="BB206" i="5"/>
  <c r="BC206" i="5" s="1"/>
  <c r="AR247" i="5"/>
  <c r="BA247" i="5"/>
  <c r="AX340" i="5"/>
  <c r="BB340" i="5"/>
  <c r="BC340" i="5" s="1"/>
  <c r="AX279" i="5"/>
  <c r="BB279" i="5"/>
  <c r="BC279" i="5" s="1"/>
  <c r="AX243" i="5"/>
  <c r="BB243" i="5"/>
  <c r="BC243" i="5" s="1"/>
  <c r="AX111" i="5"/>
  <c r="BB111" i="5"/>
  <c r="BC111" i="5" s="1"/>
  <c r="AX209" i="5"/>
  <c r="BB209" i="5"/>
  <c r="AX241" i="5"/>
  <c r="BB241" i="5"/>
  <c r="BC241" i="5" s="1"/>
  <c r="O20" i="6"/>
  <c r="P20" i="6" s="1"/>
  <c r="AX240" i="5"/>
  <c r="BB240" i="5"/>
  <c r="BC240" i="5" s="1"/>
  <c r="AX120" i="5"/>
  <c r="BB120" i="5"/>
  <c r="BC120" i="5" s="1"/>
  <c r="BC209" i="5"/>
  <c r="AX146" i="5"/>
  <c r="BB146" i="5"/>
  <c r="BC146" i="5" s="1"/>
  <c r="AX142" i="5"/>
  <c r="BB142" i="5"/>
  <c r="BC142" i="5" s="1"/>
  <c r="AX245" i="5"/>
  <c r="BB245" i="5"/>
  <c r="BC245" i="5" s="1"/>
  <c r="AX338" i="5"/>
  <c r="BB338" i="5"/>
  <c r="BC338" i="5" s="1"/>
  <c r="AX257" i="5"/>
  <c r="BB257" i="5"/>
  <c r="BC257" i="5" s="1"/>
  <c r="AX250" i="5"/>
  <c r="BB250" i="5"/>
  <c r="BC250" i="5" s="1"/>
  <c r="AX145" i="5"/>
  <c r="BB145" i="5"/>
  <c r="O14" i="6" s="1"/>
  <c r="P14" i="6" s="1"/>
  <c r="BA237" i="5"/>
  <c r="BC137" i="5"/>
  <c r="AU236" i="5"/>
  <c r="AW236" i="5" s="1"/>
  <c r="AU247" i="5"/>
  <c r="AW247" i="5" s="1"/>
  <c r="AU237" i="5"/>
  <c r="AW237" i="5" s="1"/>
  <c r="BB237" i="5" s="1"/>
  <c r="AX242" i="5"/>
  <c r="BB242" i="5"/>
  <c r="BC242" i="5" s="1"/>
  <c r="AR244" i="5"/>
  <c r="BA244" i="5"/>
  <c r="AX282" i="5"/>
  <c r="BB282" i="5"/>
  <c r="BC282" i="5" s="1"/>
  <c r="BC354" i="5"/>
  <c r="AX335" i="5"/>
  <c r="BB335" i="5"/>
  <c r="BC335" i="5" s="1"/>
  <c r="BA249" i="5"/>
  <c r="AR249" i="5"/>
  <c r="AZ428" i="5"/>
  <c r="AL428" i="5"/>
  <c r="BC322" i="5"/>
  <c r="BC325" i="5"/>
  <c r="BC263" i="5"/>
  <c r="BC289" i="5"/>
  <c r="BC128" i="5"/>
  <c r="BC330" i="5"/>
  <c r="BC85" i="5"/>
  <c r="BC266" i="5"/>
  <c r="BC265" i="5"/>
  <c r="Z271" i="5"/>
  <c r="BC319" i="5"/>
  <c r="BC173" i="5"/>
  <c r="BC344" i="5"/>
  <c r="Z94" i="5"/>
  <c r="Z98" i="5"/>
  <c r="BC122" i="5"/>
  <c r="BC288" i="5"/>
  <c r="Z131" i="5"/>
  <c r="BC88" i="5"/>
  <c r="BC174" i="5"/>
  <c r="BC132" i="5"/>
  <c r="BC99" i="5"/>
  <c r="BC133" i="5"/>
  <c r="BC264" i="5"/>
  <c r="BC326" i="5"/>
  <c r="BC87" i="5"/>
  <c r="BC90" i="5"/>
  <c r="BC328" i="5"/>
  <c r="BC175" i="5"/>
  <c r="Z97" i="5"/>
  <c r="BC176" i="5"/>
  <c r="BC321" i="5"/>
  <c r="BC343" i="5"/>
  <c r="BC262" i="5"/>
  <c r="BC287" i="5"/>
  <c r="BC290" i="5"/>
  <c r="BC126" i="5"/>
  <c r="Z273" i="5"/>
  <c r="BC89" i="5"/>
  <c r="BC100" i="5"/>
  <c r="Z329" i="5"/>
  <c r="BC91" i="5"/>
  <c r="BC127" i="5"/>
  <c r="AR324" i="5"/>
  <c r="BA324" i="5"/>
  <c r="Y226" i="5"/>
  <c r="Z226" i="5" s="1"/>
  <c r="Y225" i="5"/>
  <c r="Z135" i="5"/>
  <c r="Z268" i="5"/>
  <c r="K16" i="6"/>
  <c r="BC154" i="5"/>
  <c r="AX273" i="5"/>
  <c r="BB273" i="5"/>
  <c r="BC95" i="5"/>
  <c r="BC272" i="5"/>
  <c r="AW198" i="5"/>
  <c r="Y198" i="5"/>
  <c r="Z198" i="5" s="1"/>
  <c r="AX228" i="5"/>
  <c r="BB228" i="5"/>
  <c r="BC228" i="5" s="1"/>
  <c r="AX231" i="5"/>
  <c r="BB231" i="5"/>
  <c r="BC231" i="5" s="1"/>
  <c r="AR327" i="5"/>
  <c r="BA327" i="5"/>
  <c r="AX235" i="5"/>
  <c r="BB235" i="5"/>
  <c r="AR198" i="5"/>
  <c r="BA198" i="5"/>
  <c r="BC92" i="5"/>
  <c r="BC270" i="5"/>
  <c r="Z134" i="5"/>
  <c r="AR329" i="5"/>
  <c r="BA329" i="5"/>
  <c r="AR225" i="5"/>
  <c r="BA225" i="5"/>
  <c r="AR195" i="5"/>
  <c r="BA195" i="5"/>
  <c r="AX135" i="5"/>
  <c r="BB135" i="5"/>
  <c r="AX268" i="5"/>
  <c r="BB268" i="5"/>
  <c r="AR268" i="5"/>
  <c r="BA268" i="5"/>
  <c r="BC125" i="5"/>
  <c r="AW195" i="5"/>
  <c r="Y195" i="5"/>
  <c r="Z195" i="5" s="1"/>
  <c r="BC136" i="5"/>
  <c r="AX229" i="5"/>
  <c r="BB229" i="5"/>
  <c r="BC229" i="5" s="1"/>
  <c r="BC267" i="5"/>
  <c r="AR134" i="5"/>
  <c r="BA134" i="5"/>
  <c r="AW200" i="5"/>
  <c r="Y200" i="5"/>
  <c r="Z200" i="5" s="1"/>
  <c r="BC96" i="5"/>
  <c r="Z324" i="5"/>
  <c r="AR135" i="5"/>
  <c r="BA135" i="5"/>
  <c r="AX94" i="5"/>
  <c r="BB94" i="5"/>
  <c r="AR226" i="5"/>
  <c r="BA226" i="5"/>
  <c r="AX327" i="5"/>
  <c r="BB327" i="5"/>
  <c r="Y236" i="5"/>
  <c r="Z236" i="5" s="1"/>
  <c r="AX97" i="5"/>
  <c r="BB97" i="5"/>
  <c r="AR238" i="5"/>
  <c r="BA238" i="5"/>
  <c r="AR98" i="5"/>
  <c r="BA98" i="5"/>
  <c r="AR94" i="5"/>
  <c r="BA94" i="5"/>
  <c r="AR273" i="5"/>
  <c r="BA273" i="5"/>
  <c r="AR188" i="5"/>
  <c r="BA188" i="5"/>
  <c r="AX134" i="5"/>
  <c r="BB134" i="5"/>
  <c r="AX329" i="5"/>
  <c r="BB329" i="5"/>
  <c r="AX196" i="5"/>
  <c r="BB196" i="5"/>
  <c r="BC196" i="5" s="1"/>
  <c r="AW233" i="5"/>
  <c r="Y233" i="5"/>
  <c r="Z233" i="5" s="1"/>
  <c r="AX324" i="5"/>
  <c r="BB324" i="5"/>
  <c r="BC129" i="5"/>
  <c r="BC124" i="5"/>
  <c r="AX193" i="5"/>
  <c r="BB193" i="5"/>
  <c r="BC193" i="5" s="1"/>
  <c r="Y238" i="5"/>
  <c r="Z238" i="5" s="1"/>
  <c r="AX197" i="5"/>
  <c r="BB197" i="5"/>
  <c r="BC197" i="5" s="1"/>
  <c r="BC318" i="5"/>
  <c r="AX239" i="5"/>
  <c r="BB239" i="5"/>
  <c r="BC239" i="5" s="1"/>
  <c r="AW188" i="5"/>
  <c r="Y188" i="5"/>
  <c r="Z188" i="5" s="1"/>
  <c r="AX194" i="5"/>
  <c r="BB194" i="5"/>
  <c r="BC194" i="5" s="1"/>
  <c r="AR271" i="5"/>
  <c r="BA271" i="5"/>
  <c r="AX98" i="5"/>
  <c r="BB98" i="5"/>
  <c r="AW187" i="5"/>
  <c r="Y187" i="5"/>
  <c r="Z187" i="5" s="1"/>
  <c r="AR236" i="5"/>
  <c r="BA236" i="5"/>
  <c r="AR97" i="5"/>
  <c r="BA97" i="5"/>
  <c r="AX131" i="5"/>
  <c r="BB131" i="5"/>
  <c r="AX201" i="5"/>
  <c r="BB201" i="5"/>
  <c r="AX230" i="5"/>
  <c r="BB230" i="5"/>
  <c r="BC230" i="5" s="1"/>
  <c r="BC345" i="5"/>
  <c r="AX234" i="5"/>
  <c r="BB234" i="5"/>
  <c r="BC234" i="5" s="1"/>
  <c r="AR187" i="5"/>
  <c r="BA187" i="5"/>
  <c r="AR200" i="5"/>
  <c r="BA200" i="5"/>
  <c r="AR233" i="5"/>
  <c r="BA233" i="5"/>
  <c r="AR131" i="5"/>
  <c r="BA131" i="5"/>
  <c r="AX227" i="5"/>
  <c r="BB227" i="5"/>
  <c r="BC227" i="5" s="1"/>
  <c r="BC274" i="5"/>
  <c r="Z327" i="5"/>
  <c r="AX199" i="5"/>
  <c r="BB199" i="5"/>
  <c r="BC199" i="5" s="1"/>
  <c r="BC346" i="5"/>
  <c r="BC302" i="5"/>
  <c r="AX189" i="5"/>
  <c r="BB189" i="5"/>
  <c r="BC189" i="5" s="1"/>
  <c r="BC269" i="5"/>
  <c r="AX271" i="5"/>
  <c r="BB271" i="5"/>
  <c r="Z208" i="5"/>
  <c r="Z246" i="5"/>
  <c r="AX246" i="5"/>
  <c r="BB246" i="5"/>
  <c r="X428" i="5"/>
  <c r="R11" i="6"/>
  <c r="P11" i="6"/>
  <c r="L11" i="6"/>
  <c r="R20" i="6"/>
  <c r="H22" i="6"/>
  <c r="R22" i="6"/>
  <c r="H11" i="6"/>
  <c r="H20" i="6"/>
  <c r="L20" i="6"/>
  <c r="Y8" i="5"/>
  <c r="AW8" i="5"/>
  <c r="AR8" i="5"/>
  <c r="BA8" i="5"/>
  <c r="H8" i="6"/>
  <c r="G6" i="19" l="1"/>
  <c r="R15" i="6"/>
  <c r="BC237" i="5"/>
  <c r="F7" i="19"/>
  <c r="BB190" i="5"/>
  <c r="BC190" i="5" s="1"/>
  <c r="AX232" i="5"/>
  <c r="BC235" i="5"/>
  <c r="BC201" i="5"/>
  <c r="BB191" i="5"/>
  <c r="BC191" i="5" s="1"/>
  <c r="AX224" i="5"/>
  <c r="BB224" i="5"/>
  <c r="BC224" i="5" s="1"/>
  <c r="R23" i="6"/>
  <c r="BB192" i="5"/>
  <c r="BC192" i="5" s="1"/>
  <c r="K23" i="6"/>
  <c r="L23" i="6" s="1"/>
  <c r="K22" i="6"/>
  <c r="L22" i="6" s="1"/>
  <c r="S10" i="6"/>
  <c r="T10" i="6" s="1"/>
  <c r="O23" i="6"/>
  <c r="P23" i="6" s="1"/>
  <c r="AX203" i="5"/>
  <c r="BB203" i="5"/>
  <c r="BC203" i="5" s="1"/>
  <c r="BB248" i="5"/>
  <c r="BC248" i="5" s="1"/>
  <c r="AX248" i="5"/>
  <c r="K24" i="6"/>
  <c r="L24" i="6" s="1"/>
  <c r="H24" i="6"/>
  <c r="S25" i="6"/>
  <c r="T25" i="6" s="1"/>
  <c r="K9" i="6"/>
  <c r="L9" i="6" s="1"/>
  <c r="K15" i="6"/>
  <c r="L15" i="6" s="1"/>
  <c r="Z225" i="5"/>
  <c r="R24" i="6"/>
  <c r="O16" i="6"/>
  <c r="P16" i="6" s="1"/>
  <c r="BC97" i="5"/>
  <c r="AX237" i="5"/>
  <c r="BC145" i="5"/>
  <c r="S14" i="6"/>
  <c r="T14" i="6" s="1"/>
  <c r="AX244" i="5"/>
  <c r="BB244" i="5"/>
  <c r="BC244" i="5" s="1"/>
  <c r="AX247" i="5"/>
  <c r="BB247" i="5"/>
  <c r="BC247" i="5" s="1"/>
  <c r="BB249" i="5"/>
  <c r="BC249" i="5" s="1"/>
  <c r="AX249" i="5"/>
  <c r="R8" i="6"/>
  <c r="K8" i="6"/>
  <c r="L8" i="6" s="1"/>
  <c r="BA428" i="5"/>
  <c r="AR428" i="5"/>
  <c r="BC131" i="5"/>
  <c r="BC273" i="5"/>
  <c r="BC329" i="5"/>
  <c r="BC327" i="5"/>
  <c r="O17" i="6"/>
  <c r="BC271" i="5"/>
  <c r="BC268" i="5"/>
  <c r="K19" i="6"/>
  <c r="L19" i="6" s="1"/>
  <c r="O13" i="6"/>
  <c r="K13" i="6"/>
  <c r="O12" i="6"/>
  <c r="AX233" i="5"/>
  <c r="BB233" i="5"/>
  <c r="BC233" i="5" s="1"/>
  <c r="AX236" i="5"/>
  <c r="BB236" i="5"/>
  <c r="BC236" i="5" s="1"/>
  <c r="AX200" i="5"/>
  <c r="BB200" i="5"/>
  <c r="BC200" i="5" s="1"/>
  <c r="AX198" i="5"/>
  <c r="BB198" i="5"/>
  <c r="BC198" i="5" s="1"/>
  <c r="AX187" i="5"/>
  <c r="BB187" i="5"/>
  <c r="BC135" i="5"/>
  <c r="BC134" i="5"/>
  <c r="AX225" i="5"/>
  <c r="BB225" i="5"/>
  <c r="BC324" i="5"/>
  <c r="O21" i="6"/>
  <c r="BC94" i="5"/>
  <c r="BC98" i="5"/>
  <c r="AX188" i="5"/>
  <c r="BB188" i="5"/>
  <c r="BC188" i="5" s="1"/>
  <c r="AX238" i="5"/>
  <c r="BB238" i="5"/>
  <c r="BC238" i="5" s="1"/>
  <c r="AX195" i="5"/>
  <c r="BB195" i="5"/>
  <c r="BC195" i="5" s="1"/>
  <c r="K17" i="6"/>
  <c r="K12" i="6"/>
  <c r="K18" i="6"/>
  <c r="AX226" i="5"/>
  <c r="BB226" i="5"/>
  <c r="BC226" i="5" s="1"/>
  <c r="K21" i="6"/>
  <c r="BC246" i="5"/>
  <c r="Y428" i="5"/>
  <c r="L16" i="6"/>
  <c r="R16" i="6"/>
  <c r="H16" i="6"/>
  <c r="H19" i="6"/>
  <c r="Z8" i="5"/>
  <c r="AX8" i="5"/>
  <c r="BB8" i="5"/>
  <c r="H6" i="19" l="1"/>
  <c r="G7" i="19"/>
  <c r="Z428" i="5"/>
  <c r="O22" i="6"/>
  <c r="S23" i="6"/>
  <c r="T23" i="6" s="1"/>
  <c r="BC225" i="5"/>
  <c r="O24" i="6"/>
  <c r="P24" i="6" s="1"/>
  <c r="O9" i="6"/>
  <c r="S9" i="6" s="1"/>
  <c r="O15" i="6"/>
  <c r="P15" i="6" s="1"/>
  <c r="R9" i="6"/>
  <c r="AX428" i="5"/>
  <c r="O8" i="6"/>
  <c r="S8" i="6" s="1"/>
  <c r="BB428" i="5"/>
  <c r="R19" i="6"/>
  <c r="O19" i="6"/>
  <c r="O18" i="6"/>
  <c r="P18" i="6" s="1"/>
  <c r="BC187" i="5"/>
  <c r="D19" i="6"/>
  <c r="L17" i="6"/>
  <c r="R18" i="6"/>
  <c r="H21" i="6"/>
  <c r="N27" i="6"/>
  <c r="L18" i="6"/>
  <c r="R21" i="6"/>
  <c r="H18" i="6"/>
  <c r="L21" i="6"/>
  <c r="R17" i="6"/>
  <c r="J27" i="6"/>
  <c r="P21" i="6"/>
  <c r="P17" i="6"/>
  <c r="L13" i="6"/>
  <c r="H17" i="6"/>
  <c r="D21" i="6"/>
  <c r="F27" i="6"/>
  <c r="H13" i="6"/>
  <c r="P13" i="6"/>
  <c r="D20" i="6"/>
  <c r="S20" i="6"/>
  <c r="T20" i="6" s="1"/>
  <c r="R12" i="6"/>
  <c r="B27" i="6"/>
  <c r="R13" i="6"/>
  <c r="P12" i="6"/>
  <c r="BC8" i="5"/>
  <c r="H7" i="19" l="1"/>
  <c r="P9" i="6"/>
  <c r="BC428" i="5"/>
  <c r="T9" i="6"/>
  <c r="P22" i="6"/>
  <c r="S22" i="6"/>
  <c r="T22" i="6" s="1"/>
  <c r="S24" i="6"/>
  <c r="T24" i="6" s="1"/>
  <c r="S19" i="6"/>
  <c r="T19" i="6" s="1"/>
  <c r="D17" i="6"/>
  <c r="S13" i="6"/>
  <c r="T13" i="6" s="1"/>
  <c r="D18" i="6"/>
  <c r="P19" i="6"/>
  <c r="S21" i="6"/>
  <c r="T21" i="6" s="1"/>
  <c r="R27" i="6"/>
  <c r="S12" i="6"/>
  <c r="T12" i="6" s="1"/>
  <c r="D12" i="6"/>
  <c r="L12" i="6"/>
  <c r="L27" i="6" s="1"/>
  <c r="K27" i="6"/>
  <c r="H12" i="6"/>
  <c r="H27" i="6" s="1"/>
  <c r="G27" i="6"/>
  <c r="O27" i="6"/>
  <c r="P8" i="6"/>
  <c r="T8" i="6"/>
  <c r="S17" i="6" l="1"/>
  <c r="T17" i="6" s="1"/>
  <c r="D13" i="6"/>
  <c r="P27" i="6"/>
  <c r="S18" i="6"/>
  <c r="T18" i="6" s="1"/>
  <c r="S11" i="6"/>
  <c r="T11" i="6" s="1"/>
  <c r="D11" i="6"/>
  <c r="D16" i="6"/>
  <c r="S16" i="6"/>
  <c r="T16" i="6" s="1"/>
  <c r="C27" i="6"/>
  <c r="D15" i="6"/>
  <c r="S15" i="6"/>
  <c r="T15" i="6" s="1"/>
  <c r="T27" i="6" l="1"/>
  <c r="D27" i="6"/>
  <c r="S27" i="6"/>
  <c r="BE2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0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55FEA694-CA84-4B60-A2A8-58238D154F87}">
      <text>
        <r>
          <rPr>
            <sz val="9"/>
            <color indexed="81"/>
            <rFont val="Tahoma"/>
            <family val="2"/>
          </rPr>
          <t xml:space="preserve">Please specify the current date in this cell and in the filename when saving the document.
</t>
        </r>
      </text>
    </comment>
    <comment ref="A3" authorId="0" shapeId="0" xr:uid="{00000000-0006-0000-0000-000003000000}">
      <text>
        <r>
          <rPr>
            <sz val="9"/>
            <color indexed="81"/>
            <rFont val="Tahoma"/>
            <family val="2"/>
          </rPr>
          <t>Please specify the name of the Program Administrator.</t>
        </r>
      </text>
    </comment>
    <comment ref="B5" authorId="0" shapeId="0" xr:uid="{A68FC891-1C36-42AE-A872-F62D13351B16}">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0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0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000-000007000000}">
      <text>
        <r>
          <rPr>
            <sz val="9"/>
            <color indexed="81"/>
            <rFont val="Tahoma"/>
            <family val="2"/>
          </rPr>
          <t>Briefly describe the main cause of the significant savings goal adjustments.</t>
        </r>
      </text>
    </comment>
    <comment ref="F5" authorId="0" shapeId="0" xr:uid="{D71C7774-C36F-4F8F-ABDC-98054701B68B}">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0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0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000-00000B000000}">
      <text>
        <r>
          <rPr>
            <sz val="9"/>
            <color indexed="81"/>
            <rFont val="Tahoma"/>
            <family val="2"/>
          </rPr>
          <t xml:space="preserve">Briefly describe the main cause of the significant savings goal adjustments.
</t>
        </r>
      </text>
    </comment>
    <comment ref="J5" authorId="0" shapeId="0" xr:uid="{19921722-6550-422F-A5F2-EF6F54FBF025}">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0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0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000-00000F000000}">
      <text>
        <r>
          <rPr>
            <sz val="9"/>
            <color indexed="81"/>
            <rFont val="Tahoma"/>
            <family val="2"/>
          </rPr>
          <t>Briefly describe the main cause of the significant savings goal adjustments.</t>
        </r>
      </text>
    </comment>
    <comment ref="N5" authorId="0" shapeId="0" xr:uid="{113F8328-3BF1-4348-B301-E20C75BA641D}">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0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0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000-000013000000}">
      <text>
        <r>
          <rPr>
            <sz val="9"/>
            <color indexed="81"/>
            <rFont val="Tahoma"/>
            <family val="2"/>
          </rPr>
          <t>Briefly describe the main cause of the significant savings goal adjustments.</t>
        </r>
      </text>
    </comment>
    <comment ref="R5" authorId="1" shapeId="0" xr:uid="{00000000-0006-0000-00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0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0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0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0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0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0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0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0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0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0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0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7" authorId="0" shapeId="0" xr:uid="{00000000-0006-0000-00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7" authorId="2" shapeId="0" xr:uid="{00000000-0006-0000-00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7" authorId="0" shapeId="0" xr:uid="{00000000-0006-0000-00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 xml:space="preserve">Please specify the name of the Program Administrator.
</t>
        </r>
      </text>
    </comment>
    <comment ref="AG4" authorId="1" shapeId="0" xr:uid="{00000000-0006-0000-01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1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1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1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1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1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1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1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1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1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1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1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1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1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1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1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1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1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1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1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1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1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1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1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1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1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1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1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1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1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1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1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1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1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1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1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1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1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1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1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1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1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1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1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1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1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1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1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1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1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1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1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1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1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1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1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1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1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1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1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1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1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7" authorId="0" shapeId="0" xr:uid="{00000000-0006-0000-01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8" authorId="0" shapeId="0" xr:uid="{00000000-0006-0000-01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8" authorId="0" shapeId="0" xr:uid="{00000000-0006-0000-01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8" authorId="0" shapeId="0" xr:uid="{00000000-0006-0000-01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8" authorId="0" shapeId="0" xr:uid="{00000000-0006-0000-01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8" authorId="0" shapeId="0" xr:uid="{00000000-0006-0000-01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8" authorId="0" shapeId="0" xr:uid="{00000000-0006-0000-01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8" authorId="0" shapeId="0" xr:uid="{00000000-0006-0000-01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8" authorId="0" shapeId="0" xr:uid="{00000000-0006-0000-01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8" authorId="0" shapeId="0" xr:uid="{00000000-0006-0000-01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8" authorId="0" shapeId="0" xr:uid="{00000000-0006-0000-01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8" authorId="0" shapeId="0" xr:uid="{00000000-0006-0000-01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8" authorId="0" shapeId="0" xr:uid="{00000000-0006-0000-01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8" authorId="0" shapeId="0" xr:uid="{00000000-0006-0000-01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8" authorId="0" shapeId="0" xr:uid="{00000000-0006-0000-01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Maxwell Weiland</author>
  </authors>
  <commentList>
    <comment ref="I25" authorId="0" shapeId="0" xr:uid="{820F7710-E07E-41CD-AC39-09DA03DB4018}">
      <text>
        <r>
          <rPr>
            <b/>
            <sz val="9"/>
            <color indexed="81"/>
            <rFont val="Tahoma"/>
            <family val="2"/>
          </rPr>
          <t>Nielsen, Victoria:</t>
        </r>
        <r>
          <rPr>
            <sz val="9"/>
            <color indexed="81"/>
            <rFont val="Tahoma"/>
            <family val="2"/>
          </rPr>
          <t xml:space="preserve">
Changed measure life from 9 to 10 years. IL TRM V7 5.5.4 pg 184
</t>
        </r>
      </text>
    </comment>
    <comment ref="W25" authorId="1" shapeId="0" xr:uid="{339DB761-27AF-432E-AF45-48ED2B672589}">
      <text>
        <r>
          <rPr>
            <b/>
            <sz val="9"/>
            <color indexed="81"/>
            <rFont val="Tahoma"/>
            <family val="2"/>
          </rPr>
          <t>Froio, Zach:</t>
        </r>
        <r>
          <rPr>
            <sz val="9"/>
            <color indexed="81"/>
            <rFont val="Tahoma"/>
            <family val="2"/>
          </rPr>
          <t xml:space="preserve">
Updated per IL TRM v7 p. 185</t>
        </r>
      </text>
    </comment>
    <comment ref="AA25" authorId="2" shapeId="0" xr:uid="{00000000-0006-0000-0200-000001000000}">
      <text>
        <r>
          <rPr>
            <b/>
            <sz val="9"/>
            <color indexed="81"/>
            <rFont val="Tahoma"/>
            <family val="2"/>
          </rPr>
          <t>Leah Maggio:</t>
        </r>
        <r>
          <rPr>
            <sz val="9"/>
            <color indexed="81"/>
            <rFont val="Tahoma"/>
            <family val="2"/>
          </rPr>
          <t xml:space="preserve">
L_base = L_low</t>
        </r>
      </text>
    </comment>
    <comment ref="I26" authorId="0" shapeId="0" xr:uid="{562112E3-CB0D-434C-960B-D7BF5BA44F55}">
      <text>
        <r>
          <rPr>
            <b/>
            <sz val="9"/>
            <color indexed="81"/>
            <rFont val="Tahoma"/>
            <family val="2"/>
          </rPr>
          <t>Nielsen, Victoria:</t>
        </r>
        <r>
          <rPr>
            <sz val="9"/>
            <color indexed="81"/>
            <rFont val="Tahoma"/>
            <family val="2"/>
          </rPr>
          <t xml:space="preserve">
Changed measure life from 9 to 10 years. IL TRM V7 5.5.4 pg 184
</t>
        </r>
      </text>
    </comment>
    <comment ref="W26" authorId="1" shapeId="0" xr:uid="{92DE063A-1DF3-43A8-A740-3C597EBBE0E6}">
      <text>
        <r>
          <rPr>
            <b/>
            <sz val="9"/>
            <color indexed="81"/>
            <rFont val="Tahoma"/>
            <family val="2"/>
          </rPr>
          <t>Froio, Zach:</t>
        </r>
        <r>
          <rPr>
            <sz val="9"/>
            <color indexed="81"/>
            <rFont val="Tahoma"/>
            <family val="2"/>
          </rPr>
          <t xml:space="preserve">
Updated per IL TRM v7 p. 185</t>
        </r>
      </text>
    </comment>
    <comment ref="AA26" authorId="2" shapeId="0" xr:uid="{00000000-0006-0000-0200-000002000000}">
      <text>
        <r>
          <rPr>
            <b/>
            <sz val="9"/>
            <color indexed="81"/>
            <rFont val="Tahoma"/>
            <family val="2"/>
          </rPr>
          <t>Leah Maggio:</t>
        </r>
        <r>
          <rPr>
            <sz val="9"/>
            <color indexed="81"/>
            <rFont val="Tahoma"/>
            <family val="2"/>
          </rPr>
          <t xml:space="preserve">
L_base = L_low</t>
        </r>
      </text>
    </comment>
    <comment ref="W27" authorId="1" shapeId="0" xr:uid="{EAC85B45-7970-4B5A-8048-2C947A6CA9FA}">
      <text>
        <r>
          <rPr>
            <b/>
            <sz val="9"/>
            <color indexed="81"/>
            <rFont val="Tahoma"/>
            <family val="2"/>
          </rPr>
          <t>Froio, Zach:</t>
        </r>
        <r>
          <rPr>
            <sz val="9"/>
            <color indexed="81"/>
            <rFont val="Tahoma"/>
            <family val="2"/>
          </rPr>
          <t xml:space="preserve">
Updated per IL TRM v7 p. 194</t>
        </r>
      </text>
    </comment>
    <comment ref="AA27" authorId="2" shapeId="0" xr:uid="{00000000-0006-0000-0200-000003000000}">
      <text>
        <r>
          <rPr>
            <b/>
            <sz val="9"/>
            <color indexed="81"/>
            <rFont val="Tahoma"/>
            <family val="2"/>
          </rPr>
          <t>Leah Maggio:</t>
        </r>
        <r>
          <rPr>
            <sz val="9"/>
            <color indexed="81"/>
            <rFont val="Tahoma"/>
            <family val="2"/>
          </rPr>
          <t xml:space="preserve">
L_base = L_low</t>
        </r>
      </text>
    </comment>
    <comment ref="AI27" authorId="1" shapeId="0" xr:uid="{76804242-71FE-41C1-B4B7-2C0AD023821E}">
      <text>
        <r>
          <rPr>
            <b/>
            <sz val="9"/>
            <color indexed="81"/>
            <rFont val="Tahoma"/>
            <charset val="1"/>
          </rPr>
          <t>Froio, Zach:</t>
        </r>
        <r>
          <rPr>
            <sz val="9"/>
            <color indexed="81"/>
            <rFont val="Tahoma"/>
            <charset val="1"/>
          </rPr>
          <t xml:space="preserve">
Updated per IL TRM v8 p. 207</t>
        </r>
      </text>
    </comment>
    <comment ref="V28" authorId="1" shapeId="0" xr:uid="{1C4BB699-8ADE-4191-A9E1-9FAF89E8274E}">
      <text>
        <r>
          <rPr>
            <b/>
            <sz val="9"/>
            <color indexed="81"/>
            <rFont val="Tahoma"/>
            <family val="2"/>
          </rPr>
          <t>Froio, Zach:</t>
        </r>
        <r>
          <rPr>
            <sz val="9"/>
            <color indexed="81"/>
            <rFont val="Tahoma"/>
            <family val="2"/>
          </rPr>
          <t xml:space="preserve">
Updated per IL TRM v7 p. 173</t>
        </r>
      </text>
    </comment>
    <comment ref="I30" authorId="0" shapeId="0" xr:uid="{D9734B56-3676-46C8-A157-5E2B44389461}">
      <text>
        <r>
          <rPr>
            <b/>
            <sz val="9"/>
            <color indexed="81"/>
            <rFont val="Tahoma"/>
            <family val="2"/>
          </rPr>
          <t>Nielsen, Victoria:</t>
        </r>
        <r>
          <rPr>
            <sz val="9"/>
            <color indexed="81"/>
            <rFont val="Tahoma"/>
            <family val="2"/>
          </rPr>
          <t xml:space="preserve">
Changed from 5 to 8
</t>
        </r>
      </text>
    </comment>
    <comment ref="I31" authorId="0" shapeId="0" xr:uid="{02E9EA7F-D23B-4505-A9FD-90E325D14D1D}">
      <text>
        <r>
          <rPr>
            <b/>
            <sz val="9"/>
            <color indexed="81"/>
            <rFont val="Tahoma"/>
            <family val="2"/>
          </rPr>
          <t>Nielsen, Victoria:</t>
        </r>
        <r>
          <rPr>
            <sz val="9"/>
            <color indexed="81"/>
            <rFont val="Tahoma"/>
            <family val="2"/>
          </rPr>
          <t xml:space="preserve">
Changed from 5 to 8
</t>
        </r>
      </text>
    </comment>
    <comment ref="I32" authorId="0" shapeId="0" xr:uid="{69C9B7C1-A605-4378-954D-9DDA7FF8A7BE}">
      <text>
        <r>
          <rPr>
            <b/>
            <sz val="9"/>
            <color indexed="81"/>
            <rFont val="Tahoma"/>
            <family val="2"/>
          </rPr>
          <t>Nielsen, Victoria:</t>
        </r>
        <r>
          <rPr>
            <sz val="9"/>
            <color indexed="81"/>
            <rFont val="Tahoma"/>
            <family val="2"/>
          </rPr>
          <t xml:space="preserve">
Changed from 10 to 11. IL TRM V 7 pg 160
</t>
        </r>
      </text>
    </comment>
    <comment ref="I33" authorId="0" shapeId="0" xr:uid="{7DF25862-E0B1-4958-B562-00E23BF65F1A}">
      <text>
        <r>
          <rPr>
            <b/>
            <sz val="9"/>
            <color indexed="81"/>
            <rFont val="Tahoma"/>
            <family val="2"/>
          </rPr>
          <t>Nielsen, Victoria:</t>
        </r>
        <r>
          <rPr>
            <sz val="9"/>
            <color indexed="81"/>
            <rFont val="Tahoma"/>
            <family val="2"/>
          </rPr>
          <t xml:space="preserve">
Changed from 10 to 11. IL TRM V 7 pg 160
</t>
        </r>
      </text>
    </comment>
    <comment ref="I34" authorId="0" shapeId="0" xr:uid="{AE35729B-FC10-450E-88C4-1E42288CF066}">
      <text>
        <r>
          <rPr>
            <b/>
            <sz val="9"/>
            <color indexed="81"/>
            <rFont val="Tahoma"/>
            <family val="2"/>
          </rPr>
          <t>Nielsen, Victoria:</t>
        </r>
        <r>
          <rPr>
            <sz val="9"/>
            <color indexed="81"/>
            <rFont val="Tahoma"/>
            <family val="2"/>
          </rPr>
          <t xml:space="preserve">
Changed from 10 to 11. IL TRM V 7 pg 160
</t>
        </r>
      </text>
    </comment>
    <comment ref="I35" authorId="0" shapeId="0" xr:uid="{04AA4CF4-1B48-4DF5-933B-4ACDD924C796}">
      <text>
        <r>
          <rPr>
            <b/>
            <sz val="9"/>
            <color indexed="81"/>
            <rFont val="Tahoma"/>
            <family val="2"/>
          </rPr>
          <t>Nielsen, Victoria:</t>
        </r>
        <r>
          <rPr>
            <sz val="9"/>
            <color indexed="81"/>
            <rFont val="Tahoma"/>
            <family val="2"/>
          </rPr>
          <t xml:space="preserve">
Changed from 10 to 11. IL TRM V 7 pg 160
</t>
        </r>
      </text>
    </comment>
    <comment ref="I37" authorId="0" shapeId="0" xr:uid="{D06C9C90-44FF-473A-A644-9E48BF0EE1E2}">
      <text>
        <r>
          <rPr>
            <b/>
            <sz val="9"/>
            <color indexed="81"/>
            <rFont val="Tahoma"/>
            <family val="2"/>
          </rPr>
          <t>Nielsen, Victoria:</t>
        </r>
        <r>
          <rPr>
            <sz val="9"/>
            <color indexed="81"/>
            <rFont val="Tahoma"/>
            <family val="2"/>
          </rPr>
          <t xml:space="preserve">
Changed measure life from 9 to 10 years. IL TRM V7 5.5.4 pg 184
</t>
        </r>
      </text>
    </comment>
    <comment ref="W37" authorId="1" shapeId="0" xr:uid="{D1632F8D-F53F-4C28-9888-426409756CC8}">
      <text>
        <r>
          <rPr>
            <b/>
            <sz val="9"/>
            <color indexed="81"/>
            <rFont val="Tahoma"/>
            <family val="2"/>
          </rPr>
          <t>Froio, Zach:</t>
        </r>
        <r>
          <rPr>
            <sz val="9"/>
            <color indexed="81"/>
            <rFont val="Tahoma"/>
            <family val="2"/>
          </rPr>
          <t xml:space="preserve">
Updated per IL TRM v7 p. 185</t>
        </r>
      </text>
    </comment>
    <comment ref="AA37" authorId="2" shapeId="0" xr:uid="{00000000-0006-0000-0200-000004000000}">
      <text>
        <r>
          <rPr>
            <b/>
            <sz val="9"/>
            <color indexed="81"/>
            <rFont val="Tahoma"/>
            <family val="2"/>
          </rPr>
          <t>Leah Maggio:</t>
        </r>
        <r>
          <rPr>
            <sz val="9"/>
            <color indexed="81"/>
            <rFont val="Tahoma"/>
            <family val="2"/>
          </rPr>
          <t xml:space="preserve">
L_base = L_low</t>
        </r>
      </text>
    </comment>
    <comment ref="I38" authorId="0" shapeId="0" xr:uid="{B3ECEE24-FDD4-4E59-9016-7386AF339F78}">
      <text>
        <r>
          <rPr>
            <b/>
            <sz val="9"/>
            <color indexed="81"/>
            <rFont val="Tahoma"/>
            <family val="2"/>
          </rPr>
          <t>Nielsen, Victoria:</t>
        </r>
        <r>
          <rPr>
            <sz val="9"/>
            <color indexed="81"/>
            <rFont val="Tahoma"/>
            <family val="2"/>
          </rPr>
          <t xml:space="preserve">
Changed measure life from 9 to 10 years. IL TRM V7 5.5.4 pg 184
</t>
        </r>
      </text>
    </comment>
    <comment ref="W38" authorId="1" shapeId="0" xr:uid="{3EB4616D-D6F2-40B0-A536-EFACCF26B98D}">
      <text>
        <r>
          <rPr>
            <b/>
            <sz val="9"/>
            <color indexed="81"/>
            <rFont val="Tahoma"/>
            <family val="2"/>
          </rPr>
          <t>Froio, Zach:</t>
        </r>
        <r>
          <rPr>
            <sz val="9"/>
            <color indexed="81"/>
            <rFont val="Tahoma"/>
            <family val="2"/>
          </rPr>
          <t xml:space="preserve">
Updated per IL TRM v7 p. 185</t>
        </r>
      </text>
    </comment>
    <comment ref="AA38" authorId="2" shapeId="0" xr:uid="{00000000-0006-0000-0200-000005000000}">
      <text>
        <r>
          <rPr>
            <b/>
            <sz val="9"/>
            <color indexed="81"/>
            <rFont val="Tahoma"/>
            <family val="2"/>
          </rPr>
          <t>Leah Maggio:</t>
        </r>
        <r>
          <rPr>
            <sz val="9"/>
            <color indexed="81"/>
            <rFont val="Tahoma"/>
            <family val="2"/>
          </rPr>
          <t xml:space="preserve">
L_base = L_low</t>
        </r>
      </text>
    </comment>
    <comment ref="W39" authorId="1" shapeId="0" xr:uid="{D649C069-E48F-46B7-81D3-F7D4027E2384}">
      <text>
        <r>
          <rPr>
            <b/>
            <sz val="9"/>
            <color indexed="81"/>
            <rFont val="Tahoma"/>
            <family val="2"/>
          </rPr>
          <t>Froio, Zach:</t>
        </r>
        <r>
          <rPr>
            <sz val="9"/>
            <color indexed="81"/>
            <rFont val="Tahoma"/>
            <family val="2"/>
          </rPr>
          <t xml:space="preserve">
Updated per IL TRM v7 p. 194</t>
        </r>
      </text>
    </comment>
    <comment ref="AA39" authorId="2" shapeId="0" xr:uid="{00000000-0006-0000-0200-000006000000}">
      <text>
        <r>
          <rPr>
            <b/>
            <sz val="9"/>
            <color indexed="81"/>
            <rFont val="Tahoma"/>
            <family val="2"/>
          </rPr>
          <t>Leah Maggio:</t>
        </r>
        <r>
          <rPr>
            <sz val="9"/>
            <color indexed="81"/>
            <rFont val="Tahoma"/>
            <family val="2"/>
          </rPr>
          <t xml:space="preserve">
L_base = L_low</t>
        </r>
      </text>
    </comment>
    <comment ref="V40" authorId="1" shapeId="0" xr:uid="{236A1875-514E-4320-89FF-8FCA8C2F6783}">
      <text>
        <r>
          <rPr>
            <b/>
            <sz val="9"/>
            <color indexed="81"/>
            <rFont val="Tahoma"/>
            <family val="2"/>
          </rPr>
          <t>Froio, Zach:</t>
        </r>
        <r>
          <rPr>
            <sz val="9"/>
            <color indexed="81"/>
            <rFont val="Tahoma"/>
            <family val="2"/>
          </rPr>
          <t xml:space="preserve">
Updated per IL TRM v7 p. 173</t>
        </r>
      </text>
    </comment>
    <comment ref="I42" authorId="0" shapeId="0" xr:uid="{1A9ABF42-9859-459E-9C93-4C778ED4DA27}">
      <text>
        <r>
          <rPr>
            <b/>
            <sz val="9"/>
            <color indexed="81"/>
            <rFont val="Tahoma"/>
            <family val="2"/>
          </rPr>
          <t>Nielsen, Victoria:</t>
        </r>
        <r>
          <rPr>
            <sz val="9"/>
            <color indexed="81"/>
            <rFont val="Tahoma"/>
            <family val="2"/>
          </rPr>
          <t xml:space="preserve">
Changed from 5 to 8
</t>
        </r>
      </text>
    </comment>
    <comment ref="I43" authorId="0" shapeId="0" xr:uid="{E854BB19-F69E-4D1F-8783-ED96571CB0E1}">
      <text>
        <r>
          <rPr>
            <b/>
            <sz val="9"/>
            <color indexed="81"/>
            <rFont val="Tahoma"/>
            <family val="2"/>
          </rPr>
          <t>Nielsen, Victoria:</t>
        </r>
        <r>
          <rPr>
            <sz val="9"/>
            <color indexed="81"/>
            <rFont val="Tahoma"/>
            <family val="2"/>
          </rPr>
          <t xml:space="preserve">
Changed from 5 to 8
</t>
        </r>
      </text>
    </comment>
    <comment ref="I44" authorId="0" shapeId="0" xr:uid="{DB9839A4-801E-4A87-AE36-6032FCE54BFA}">
      <text>
        <r>
          <rPr>
            <b/>
            <sz val="9"/>
            <color indexed="81"/>
            <rFont val="Tahoma"/>
            <family val="2"/>
          </rPr>
          <t>Nielsen, Victoria:</t>
        </r>
        <r>
          <rPr>
            <sz val="9"/>
            <color indexed="81"/>
            <rFont val="Tahoma"/>
            <family val="2"/>
          </rPr>
          <t xml:space="preserve">
Changed from 10 to 11. IL TRM V 7 pg 160
</t>
        </r>
      </text>
    </comment>
    <comment ref="I45" authorId="0" shapeId="0" xr:uid="{E6912089-5AC7-42BE-A898-E8ADC041BF05}">
      <text>
        <r>
          <rPr>
            <b/>
            <sz val="9"/>
            <color indexed="81"/>
            <rFont val="Tahoma"/>
            <family val="2"/>
          </rPr>
          <t>Nielsen, Victoria:</t>
        </r>
        <r>
          <rPr>
            <sz val="9"/>
            <color indexed="81"/>
            <rFont val="Tahoma"/>
            <family val="2"/>
          </rPr>
          <t xml:space="preserve">
Changed from 10 to 11. IL TRM V 7 pg 160
</t>
        </r>
      </text>
    </comment>
    <comment ref="I46" authorId="0" shapeId="0" xr:uid="{A791470A-6B04-49AC-B14A-AFBB4B86CBEB}">
      <text>
        <r>
          <rPr>
            <b/>
            <sz val="9"/>
            <color indexed="81"/>
            <rFont val="Tahoma"/>
            <family val="2"/>
          </rPr>
          <t>Nielsen, Victoria:</t>
        </r>
        <r>
          <rPr>
            <sz val="9"/>
            <color indexed="81"/>
            <rFont val="Tahoma"/>
            <family val="2"/>
          </rPr>
          <t xml:space="preserve">
Changed from 10 to 11. IL TRM V 7 pg 160
</t>
        </r>
      </text>
    </comment>
    <comment ref="I47" authorId="0" shapeId="0" xr:uid="{3315BB77-439A-4130-A62E-78644E969459}">
      <text>
        <r>
          <rPr>
            <b/>
            <sz val="9"/>
            <color indexed="81"/>
            <rFont val="Tahoma"/>
            <family val="2"/>
          </rPr>
          <t>Nielsen, Victoria:</t>
        </r>
        <r>
          <rPr>
            <sz val="9"/>
            <color indexed="81"/>
            <rFont val="Tahoma"/>
            <family val="2"/>
          </rPr>
          <t xml:space="preserve">
Changed from 10 to 11. IL TRM V 7 pg 160
</t>
        </r>
      </text>
    </comment>
    <comment ref="V51" authorId="1" shapeId="0" xr:uid="{4C1C8F05-E4BC-4FB5-8721-C1C869EA0034}">
      <text>
        <r>
          <rPr>
            <b/>
            <sz val="9"/>
            <color indexed="81"/>
            <rFont val="Tahoma"/>
            <family val="2"/>
          </rPr>
          <t>Froio, Zach:</t>
        </r>
        <r>
          <rPr>
            <sz val="9"/>
            <color indexed="81"/>
            <rFont val="Tahoma"/>
            <family val="2"/>
          </rPr>
          <t xml:space="preserve">
Updated per IL TRM v7 p. 101</t>
        </r>
      </text>
    </comment>
    <comment ref="V52" authorId="1" shapeId="0" xr:uid="{18959C75-77E0-4A80-91B0-9F3BC33F97D6}">
      <text>
        <r>
          <rPr>
            <b/>
            <sz val="9"/>
            <color indexed="81"/>
            <rFont val="Tahoma"/>
            <family val="2"/>
          </rPr>
          <t>Froio, Zach:</t>
        </r>
        <r>
          <rPr>
            <sz val="9"/>
            <color indexed="81"/>
            <rFont val="Tahoma"/>
            <family val="2"/>
          </rPr>
          <t xml:space="preserve">
Updated per IL TRM v7 p. 101</t>
        </r>
      </text>
    </comment>
    <comment ref="V53" authorId="1" shapeId="0" xr:uid="{D221EC56-9ECF-47CE-B435-46857E8FF86E}">
      <text>
        <r>
          <rPr>
            <b/>
            <sz val="9"/>
            <color indexed="81"/>
            <rFont val="Tahoma"/>
            <family val="2"/>
          </rPr>
          <t>Froio, Zach:</t>
        </r>
        <r>
          <rPr>
            <sz val="9"/>
            <color indexed="81"/>
            <rFont val="Tahoma"/>
            <family val="2"/>
          </rPr>
          <t xml:space="preserve">
Updated per IL TRM v7 p. 105</t>
        </r>
      </text>
    </comment>
    <comment ref="V54" authorId="1" shapeId="0" xr:uid="{0C2C46D6-2971-4E31-9D43-1532037CC739}">
      <text>
        <r>
          <rPr>
            <b/>
            <sz val="9"/>
            <color indexed="81"/>
            <rFont val="Tahoma"/>
            <family val="2"/>
          </rPr>
          <t>Froio, Zach:</t>
        </r>
        <r>
          <rPr>
            <sz val="9"/>
            <color indexed="81"/>
            <rFont val="Tahoma"/>
            <family val="2"/>
          </rPr>
          <t xml:space="preserve">
Updated per IL TRM v7 p. 105</t>
        </r>
      </text>
    </comment>
    <comment ref="I55" authorId="0" shapeId="0" xr:uid="{5DF14975-59AC-4CD9-940E-A543B362D560}">
      <text>
        <r>
          <rPr>
            <b/>
            <sz val="9"/>
            <color indexed="81"/>
            <rFont val="Tahoma"/>
            <family val="2"/>
          </rPr>
          <t>Nielsen, Victoria:</t>
        </r>
        <r>
          <rPr>
            <sz val="9"/>
            <color indexed="81"/>
            <rFont val="Tahoma"/>
            <family val="2"/>
          </rPr>
          <t xml:space="preserve">
Changed from 5 to 8
</t>
        </r>
      </text>
    </comment>
    <comment ref="I56" authorId="0" shapeId="0" xr:uid="{94D06603-3574-4310-87C8-74D792DCD891}">
      <text>
        <r>
          <rPr>
            <b/>
            <sz val="9"/>
            <color indexed="81"/>
            <rFont val="Tahoma"/>
            <family val="2"/>
          </rPr>
          <t>Nielsen, Victoria:</t>
        </r>
        <r>
          <rPr>
            <sz val="9"/>
            <color indexed="81"/>
            <rFont val="Tahoma"/>
            <family val="2"/>
          </rPr>
          <t xml:space="preserve">
Changed from 5 to 8
</t>
        </r>
      </text>
    </comment>
    <comment ref="I57" authorId="0" shapeId="0" xr:uid="{DAEA0E8C-E396-4033-BE2D-F1F5DF7A378B}">
      <text>
        <r>
          <rPr>
            <b/>
            <sz val="9"/>
            <color indexed="81"/>
            <rFont val="Tahoma"/>
            <family val="2"/>
          </rPr>
          <t>Nielsen, Victoria:</t>
        </r>
        <r>
          <rPr>
            <sz val="9"/>
            <color indexed="81"/>
            <rFont val="Tahoma"/>
            <family val="2"/>
          </rPr>
          <t xml:space="preserve">
Changed from 10 to 11. IL TRM V 7 pg 160
</t>
        </r>
      </text>
    </comment>
    <comment ref="I58" authorId="0" shapeId="0" xr:uid="{DC71964D-D034-485C-98A5-91156DBAB0C2}">
      <text>
        <r>
          <rPr>
            <b/>
            <sz val="9"/>
            <color indexed="81"/>
            <rFont val="Tahoma"/>
            <family val="2"/>
          </rPr>
          <t>Nielsen, Victoria:</t>
        </r>
        <r>
          <rPr>
            <sz val="9"/>
            <color indexed="81"/>
            <rFont val="Tahoma"/>
            <family val="2"/>
          </rPr>
          <t xml:space="preserve">
Changed from 10 to 11. IL TRM V 7 pg 160
</t>
        </r>
      </text>
    </comment>
    <comment ref="I59" authorId="0" shapeId="0" xr:uid="{12F650A6-F7FC-45A6-AC0A-E56A23CDDCB5}">
      <text>
        <r>
          <rPr>
            <b/>
            <sz val="9"/>
            <color indexed="81"/>
            <rFont val="Tahoma"/>
            <family val="2"/>
          </rPr>
          <t>Nielsen, Victoria:</t>
        </r>
        <r>
          <rPr>
            <sz val="9"/>
            <color indexed="81"/>
            <rFont val="Tahoma"/>
            <family val="2"/>
          </rPr>
          <t xml:space="preserve">
Changed from 10 to 11. IL TRM V 7 pg 160
</t>
        </r>
      </text>
    </comment>
    <comment ref="I60" authorId="0" shapeId="0" xr:uid="{56FF723B-FCA3-411A-A002-1E84EE107F0F}">
      <text>
        <r>
          <rPr>
            <b/>
            <sz val="9"/>
            <color indexed="81"/>
            <rFont val="Tahoma"/>
            <family val="2"/>
          </rPr>
          <t>Nielsen, Victoria:</t>
        </r>
        <r>
          <rPr>
            <sz val="9"/>
            <color indexed="81"/>
            <rFont val="Tahoma"/>
            <family val="2"/>
          </rPr>
          <t xml:space="preserve">
Changed from 10 to 11. IL TRM V 7 pg 160
</t>
        </r>
      </text>
    </comment>
    <comment ref="I61" authorId="0" shapeId="0" xr:uid="{05864B9A-1018-490F-BAA6-0403CCEF952E}">
      <text>
        <r>
          <rPr>
            <b/>
            <sz val="9"/>
            <color indexed="81"/>
            <rFont val="Tahoma"/>
            <family val="2"/>
          </rPr>
          <t>Nielsen, Victoria:</t>
        </r>
        <r>
          <rPr>
            <sz val="9"/>
            <color indexed="81"/>
            <rFont val="Tahoma"/>
            <family val="2"/>
          </rPr>
          <t xml:space="preserve">
Increased from 15 to 20 years. Pg 295
</t>
        </r>
      </text>
    </comment>
    <comment ref="V61" authorId="1" shapeId="0" xr:uid="{738391A3-10D3-4F66-AF72-275239449F33}">
      <text>
        <r>
          <rPr>
            <b/>
            <sz val="9"/>
            <color indexed="81"/>
            <rFont val="Tahoma"/>
            <family val="2"/>
          </rPr>
          <t>Froio, Zach:</t>
        </r>
        <r>
          <rPr>
            <sz val="9"/>
            <color indexed="81"/>
            <rFont val="Tahoma"/>
            <family val="2"/>
          </rPr>
          <t xml:space="preserve">
Updated per IL TRM v8 p. 293</t>
        </r>
      </text>
    </comment>
    <comment ref="X61" authorId="3" shapeId="0" xr:uid="{00000000-0006-0000-0200-000007000000}">
      <text>
        <r>
          <rPr>
            <b/>
            <sz val="9"/>
            <color indexed="81"/>
            <rFont val="Tahoma"/>
            <family val="2"/>
          </rPr>
          <t>Maxwell Weiland:</t>
        </r>
        <r>
          <rPr>
            <sz val="9"/>
            <color indexed="81"/>
            <rFont val="Tahoma"/>
            <family val="2"/>
          </rPr>
          <t xml:space="preserve">
Changed from 22.2 to 23.9 based on 1 story in Chicago.</t>
        </r>
      </text>
    </comment>
    <comment ref="Z61" authorId="3" shapeId="0" xr:uid="{00000000-0006-0000-0200-000008000000}">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3" shapeId="0" xr:uid="{00000000-0006-0000-0200-000009000000}">
      <text>
        <r>
          <rPr>
            <b/>
            <sz val="9"/>
            <color indexed="81"/>
            <rFont val="Tahoma"/>
            <family val="2"/>
          </rPr>
          <t>Maxwell Weiland:</t>
        </r>
        <r>
          <rPr>
            <sz val="9"/>
            <color indexed="81"/>
            <rFont val="Tahoma"/>
            <family val="2"/>
          </rPr>
          <t xml:space="preserve">
Changed from 70% to 72%</t>
        </r>
      </text>
    </comment>
    <comment ref="AC61" authorId="1" shapeId="0" xr:uid="{3CECC115-9649-4433-A58D-F2F419F8BC31}">
      <text>
        <r>
          <rPr>
            <b/>
            <sz val="9"/>
            <color indexed="81"/>
            <rFont val="Tahoma"/>
            <family val="2"/>
          </rPr>
          <t>Froio, Zach:</t>
        </r>
        <r>
          <rPr>
            <sz val="9"/>
            <color indexed="81"/>
            <rFont val="Tahoma"/>
            <family val="2"/>
          </rPr>
          <t xml:space="preserve">
Added per IL TRM v7 p. 303</t>
        </r>
      </text>
    </comment>
    <comment ref="AE61" authorId="1" shapeId="0" xr:uid="{67E5D299-01B2-4C9E-BAE4-0DDF023D2AC5}">
      <text>
        <r>
          <rPr>
            <b/>
            <sz val="9"/>
            <color indexed="81"/>
            <rFont val="Tahoma"/>
            <charset val="1"/>
          </rPr>
          <t>Froio, Zach:</t>
        </r>
        <r>
          <rPr>
            <sz val="9"/>
            <color indexed="81"/>
            <rFont val="Tahoma"/>
            <charset val="1"/>
          </rPr>
          <t xml:space="preserve">
Added per IL TRM v8 p. 293</t>
        </r>
      </text>
    </comment>
    <comment ref="I62" authorId="0" shapeId="0" xr:uid="{87D9867B-8903-40D0-AD41-307D65FF303E}">
      <text>
        <r>
          <rPr>
            <b/>
            <sz val="9"/>
            <color indexed="81"/>
            <rFont val="Tahoma"/>
            <family val="2"/>
          </rPr>
          <t>Nielsen, Victoria:</t>
        </r>
        <r>
          <rPr>
            <sz val="9"/>
            <color indexed="81"/>
            <rFont val="Tahoma"/>
            <family val="2"/>
          </rPr>
          <t xml:space="preserve">
Decreased from 25 to 20, pg 320
</t>
        </r>
      </text>
    </comment>
    <comment ref="N62" authorId="1" shapeId="0" xr:uid="{5BC48FE3-A90F-4703-984C-42E59A18243F}">
      <text>
        <r>
          <rPr>
            <b/>
            <sz val="9"/>
            <color indexed="81"/>
            <rFont val="Tahoma"/>
            <charset val="1"/>
          </rPr>
          <t>Froio, Zach:</t>
        </r>
        <r>
          <rPr>
            <sz val="9"/>
            <color indexed="81"/>
            <rFont val="Tahoma"/>
            <charset val="1"/>
          </rPr>
          <t xml:space="preserve">
Updated per IL TRM v8 p. 328</t>
        </r>
      </text>
    </comment>
    <comment ref="T62" authorId="1" shapeId="0" xr:uid="{E8A0B2C2-C624-492F-959E-D3CDD8A44DBB}">
      <text>
        <r>
          <rPr>
            <b/>
            <sz val="9"/>
            <color indexed="81"/>
            <rFont val="Tahoma"/>
            <family val="2"/>
          </rPr>
          <t>Froio, Zach:</t>
        </r>
        <r>
          <rPr>
            <sz val="9"/>
            <color indexed="81"/>
            <rFont val="Tahoma"/>
            <family val="2"/>
          </rPr>
          <t xml:space="preserve">
Updated per IL TRM v7 p. 327</t>
        </r>
      </text>
    </comment>
    <comment ref="V62" authorId="1" shapeId="0" xr:uid="{3F3D8E5F-D70F-4FAC-BCB3-6FA519733A04}">
      <text>
        <r>
          <rPr>
            <b/>
            <sz val="9"/>
            <color indexed="81"/>
            <rFont val="Tahoma"/>
            <family val="2"/>
          </rPr>
          <t>Froio, Zach:</t>
        </r>
        <r>
          <rPr>
            <sz val="9"/>
            <color indexed="81"/>
            <rFont val="Tahoma"/>
            <family val="2"/>
          </rPr>
          <t xml:space="preserve">
Updated per IL TRM v8 p. 328</t>
        </r>
      </text>
    </comment>
    <comment ref="AC62" authorId="1" shapeId="0" xr:uid="{AF1C3E84-DF5D-4459-AF0B-E837BB7E54F4}">
      <text>
        <r>
          <rPr>
            <b/>
            <sz val="9"/>
            <color indexed="81"/>
            <rFont val="Tahoma"/>
            <family val="2"/>
          </rPr>
          <t>Froio, Zach:</t>
        </r>
        <r>
          <rPr>
            <sz val="9"/>
            <color indexed="81"/>
            <rFont val="Tahoma"/>
            <family val="2"/>
          </rPr>
          <t xml:space="preserve">
Updated per IL TRM v7 p. 333</t>
        </r>
      </text>
    </comment>
    <comment ref="AH62" authorId="3" shapeId="0" xr:uid="{00000000-0006-0000-0200-00000B000000}">
      <text>
        <r>
          <rPr>
            <b/>
            <sz val="9"/>
            <color indexed="81"/>
            <rFont val="Tahoma"/>
            <family val="2"/>
          </rPr>
          <t>Maxwell Weiland:</t>
        </r>
        <r>
          <rPr>
            <sz val="9"/>
            <color indexed="81"/>
            <rFont val="Tahoma"/>
            <family val="2"/>
          </rPr>
          <t xml:space="preserve">
Changed from 70% to 72%</t>
        </r>
      </text>
    </comment>
    <comment ref="AI62" authorId="1" shapeId="0" xr:uid="{EA2C4036-F895-45EE-BF32-8DE94CAB3E39}">
      <text>
        <r>
          <rPr>
            <b/>
            <sz val="9"/>
            <color indexed="81"/>
            <rFont val="Tahoma"/>
            <charset val="1"/>
          </rPr>
          <t>Froio, Zach:</t>
        </r>
        <r>
          <rPr>
            <sz val="9"/>
            <color indexed="81"/>
            <rFont val="Tahoma"/>
            <charset val="1"/>
          </rPr>
          <t xml:space="preserve">
Added per IL TRM v8 p. 329</t>
        </r>
      </text>
    </comment>
    <comment ref="AK62" authorId="1" shapeId="0" xr:uid="{83705F8A-6E16-4F7A-9141-5E3A60856E4D}">
      <text>
        <r>
          <rPr>
            <b/>
            <sz val="9"/>
            <color indexed="81"/>
            <rFont val="Tahoma"/>
            <charset val="1"/>
          </rPr>
          <t>Froio, Zach:</t>
        </r>
        <r>
          <rPr>
            <sz val="9"/>
            <color indexed="81"/>
            <rFont val="Tahoma"/>
            <charset val="1"/>
          </rPr>
          <t xml:space="preserve">
Added per IL TRM v8 p. 329</t>
        </r>
      </text>
    </comment>
    <comment ref="I64" authorId="0" shapeId="0" xr:uid="{62B01904-27FE-46AE-B7AC-0B9EC1D174CE}">
      <text>
        <r>
          <rPr>
            <b/>
            <sz val="9"/>
            <color indexed="81"/>
            <rFont val="Tahoma"/>
            <family val="2"/>
          </rPr>
          <t>Nielsen, Victoria:</t>
        </r>
        <r>
          <rPr>
            <sz val="9"/>
            <color indexed="81"/>
            <rFont val="Tahoma"/>
            <family val="2"/>
          </rPr>
          <t xml:space="preserve">
Decreased from 25 to 20 years. Pg 320
</t>
        </r>
      </text>
    </comment>
    <comment ref="V64" authorId="1" shapeId="0" xr:uid="{FFCBE246-E1C1-47F9-9AFC-C3CD81332708}">
      <text>
        <r>
          <rPr>
            <b/>
            <sz val="9"/>
            <color indexed="81"/>
            <rFont val="Tahoma"/>
            <family val="2"/>
          </rPr>
          <t>Froio, Zach:</t>
        </r>
        <r>
          <rPr>
            <sz val="9"/>
            <color indexed="81"/>
            <rFont val="Tahoma"/>
            <family val="2"/>
          </rPr>
          <t xml:space="preserve">
Updated per IL TRM v7 p. 325</t>
        </r>
      </text>
    </comment>
    <comment ref="AD64" authorId="3" shapeId="0" xr:uid="{00000000-0006-0000-0200-00000C000000}">
      <text>
        <r>
          <rPr>
            <b/>
            <sz val="9"/>
            <color indexed="81"/>
            <rFont val="Tahoma"/>
            <family val="2"/>
          </rPr>
          <t>Maxwell Weiland:</t>
        </r>
        <r>
          <rPr>
            <sz val="9"/>
            <color indexed="81"/>
            <rFont val="Tahoma"/>
            <family val="2"/>
          </rPr>
          <t xml:space="preserve">
Changed from 74% to 60%</t>
        </r>
      </text>
    </comment>
    <comment ref="AD65" authorId="3" shapeId="0" xr:uid="{00000000-0006-0000-0200-00000D000000}">
      <text>
        <r>
          <rPr>
            <b/>
            <sz val="9"/>
            <color indexed="81"/>
            <rFont val="Tahoma"/>
            <family val="2"/>
          </rPr>
          <t>Maxwell Weiland:</t>
        </r>
        <r>
          <rPr>
            <sz val="9"/>
            <color indexed="81"/>
            <rFont val="Tahoma"/>
            <family val="2"/>
          </rPr>
          <t xml:space="preserve">
Changed from 74% to 60%</t>
        </r>
      </text>
    </comment>
    <comment ref="W70" authorId="1" shapeId="0" xr:uid="{2727DFF5-F816-4253-933A-913279D49B31}">
      <text>
        <r>
          <rPr>
            <b/>
            <sz val="9"/>
            <color indexed="81"/>
            <rFont val="Tahoma"/>
            <family val="2"/>
          </rPr>
          <t>Froio, Zach:</t>
        </r>
        <r>
          <rPr>
            <sz val="9"/>
            <color indexed="81"/>
            <rFont val="Tahoma"/>
            <family val="2"/>
          </rPr>
          <t xml:space="preserve">
Updated per IL TRM v8 p. 171 (MF - Mid Rise)</t>
        </r>
      </text>
    </comment>
    <comment ref="W71" authorId="1" shapeId="0" xr:uid="{4984D961-20B2-457B-A90C-1FE1EF047301}">
      <text>
        <r>
          <rPr>
            <b/>
            <sz val="9"/>
            <color indexed="81"/>
            <rFont val="Tahoma"/>
            <family val="2"/>
          </rPr>
          <t>Froio, Zach:</t>
        </r>
        <r>
          <rPr>
            <sz val="9"/>
            <color indexed="81"/>
            <rFont val="Tahoma"/>
            <family val="2"/>
          </rPr>
          <t xml:space="preserve">
Updated per IL TRM v8 p. 171 (MF - Mid Rise)</t>
        </r>
      </text>
    </comment>
    <comment ref="W72" authorId="1" shapeId="0" xr:uid="{E69D4BE1-8BE4-4A6E-9055-4883F695692A}">
      <text>
        <r>
          <rPr>
            <b/>
            <sz val="9"/>
            <color indexed="81"/>
            <rFont val="Tahoma"/>
            <family val="2"/>
          </rPr>
          <t>Froio, Zach:</t>
        </r>
        <r>
          <rPr>
            <sz val="9"/>
            <color indexed="81"/>
            <rFont val="Tahoma"/>
            <family val="2"/>
          </rPr>
          <t xml:space="preserve">
Updated per IL TRM v8 p. 171 (MF - Mid Rise)</t>
        </r>
      </text>
    </comment>
    <comment ref="W74" authorId="1" shapeId="0" xr:uid="{865126BA-BF8A-4FFF-8804-8E13CE9ECABB}">
      <text>
        <r>
          <rPr>
            <b/>
            <sz val="9"/>
            <color indexed="81"/>
            <rFont val="Tahoma"/>
            <family val="2"/>
          </rPr>
          <t>Froio, Zach:</t>
        </r>
        <r>
          <rPr>
            <sz val="9"/>
            <color indexed="81"/>
            <rFont val="Tahoma"/>
            <family val="2"/>
          </rPr>
          <t xml:space="preserve">
Updated per IL TRM v8 p. 171 (MF - Mid Rise)</t>
        </r>
      </text>
    </comment>
    <comment ref="AC76" authorId="1" shapeId="0" xr:uid="{12259C5F-46D9-40DF-B77D-2AE1A24E3031}">
      <text>
        <r>
          <rPr>
            <b/>
            <sz val="9"/>
            <color indexed="81"/>
            <rFont val="Tahoma"/>
            <charset val="1"/>
          </rPr>
          <t>Froio, Zach:</t>
        </r>
        <r>
          <rPr>
            <sz val="9"/>
            <color indexed="81"/>
            <rFont val="Tahoma"/>
            <charset val="1"/>
          </rPr>
          <t xml:space="preserve">
Updated per IL TRM v8 p. 171 (MF - High Rise, MF - Mid Rise average)</t>
        </r>
      </text>
    </comment>
    <comment ref="AE76" authorId="1" shapeId="0" xr:uid="{32D072D1-2916-4C6E-9091-18184D293355}">
      <text>
        <r>
          <rPr>
            <b/>
            <sz val="9"/>
            <color indexed="81"/>
            <rFont val="Tahoma"/>
            <charset val="1"/>
          </rPr>
          <t>Froio, Zach:</t>
        </r>
        <r>
          <rPr>
            <sz val="9"/>
            <color indexed="81"/>
            <rFont val="Tahoma"/>
            <charset val="1"/>
          </rPr>
          <t xml:space="preserve">
Updated per IL TRM v8 p. 171 (Unknown building type)</t>
        </r>
      </text>
    </comment>
    <comment ref="W77" authorId="1" shapeId="0" xr:uid="{76960771-68E0-4E0C-A822-BAF5B8463EF1}">
      <text>
        <r>
          <rPr>
            <b/>
            <sz val="9"/>
            <color indexed="81"/>
            <rFont val="Tahoma"/>
            <family val="2"/>
          </rPr>
          <t>Froio, Zach:</t>
        </r>
        <r>
          <rPr>
            <sz val="9"/>
            <color indexed="81"/>
            <rFont val="Tahoma"/>
            <family val="2"/>
          </rPr>
          <t xml:space="preserve">
Updated per IL TRM v8 p. 171 (MF - Mid Rise)</t>
        </r>
      </text>
    </comment>
    <comment ref="V80" authorId="1" shapeId="0" xr:uid="{67001040-1260-4123-9CD1-F261C8A61257}">
      <text>
        <r>
          <rPr>
            <b/>
            <sz val="9"/>
            <color indexed="81"/>
            <rFont val="Tahoma"/>
            <family val="2"/>
          </rPr>
          <t>Froio, Zach:</t>
        </r>
        <r>
          <rPr>
            <sz val="9"/>
            <color indexed="81"/>
            <rFont val="Tahoma"/>
            <family val="2"/>
          </rPr>
          <t xml:space="preserve">
Updated per IL TRM v7 p. 55</t>
        </r>
      </text>
    </comment>
    <comment ref="W97" authorId="1" shapeId="0" xr:uid="{C5198D4D-A8C1-4A87-93FD-568A6586D331}">
      <text>
        <r>
          <rPr>
            <b/>
            <sz val="9"/>
            <color indexed="81"/>
            <rFont val="Tahoma"/>
            <family val="2"/>
          </rPr>
          <t>Froio, Zach:</t>
        </r>
        <r>
          <rPr>
            <sz val="9"/>
            <color indexed="81"/>
            <rFont val="Tahoma"/>
            <family val="2"/>
          </rPr>
          <t xml:space="preserve">
Updated per IL TRM v8 p. 171 (MF - Mid Rise)</t>
        </r>
      </text>
    </comment>
    <comment ref="Y98" authorId="1" shapeId="0" xr:uid="{0C913FCC-428B-4E2C-A607-13ED77ECE909}">
      <text>
        <r>
          <rPr>
            <b/>
            <sz val="9"/>
            <color indexed="81"/>
            <rFont val="Tahoma"/>
            <family val="2"/>
          </rPr>
          <t>Froio, Zach:</t>
        </r>
        <r>
          <rPr>
            <sz val="9"/>
            <color indexed="81"/>
            <rFont val="Tahoma"/>
            <family val="2"/>
          </rPr>
          <t xml:space="preserve">
Updated per IL TRM v7 p. 326</t>
        </r>
      </text>
    </comment>
    <comment ref="I104" authorId="0" shapeId="0" xr:uid="{DB82883E-1B7B-4A85-8C92-AF5683F8DDF1}">
      <text>
        <r>
          <rPr>
            <b/>
            <sz val="9"/>
            <color indexed="81"/>
            <rFont val="Tahoma"/>
            <family val="2"/>
          </rPr>
          <t>Nielsen, Victoria:</t>
        </r>
        <r>
          <rPr>
            <sz val="9"/>
            <color indexed="81"/>
            <rFont val="Tahoma"/>
            <family val="2"/>
          </rPr>
          <t xml:space="preserve">
Increased from 15 to 20 years. Pg 295
</t>
        </r>
      </text>
    </comment>
    <comment ref="V104" authorId="1" shapeId="0" xr:uid="{864A5ABF-C086-4833-823F-58F52E894668}">
      <text>
        <r>
          <rPr>
            <b/>
            <sz val="9"/>
            <color indexed="81"/>
            <rFont val="Tahoma"/>
            <family val="2"/>
          </rPr>
          <t>Froio, Zach:</t>
        </r>
        <r>
          <rPr>
            <sz val="9"/>
            <color indexed="81"/>
            <rFont val="Tahoma"/>
            <family val="2"/>
          </rPr>
          <t xml:space="preserve">
Updated per IL TRM v8 p. 293</t>
        </r>
      </text>
    </comment>
    <comment ref="X104" authorId="3" shapeId="0" xr:uid="{00000000-0006-0000-0200-00000E000000}">
      <text>
        <r>
          <rPr>
            <b/>
            <sz val="9"/>
            <color indexed="81"/>
            <rFont val="Tahoma"/>
            <family val="2"/>
          </rPr>
          <t>Maxwell Weiland:</t>
        </r>
        <r>
          <rPr>
            <sz val="9"/>
            <color indexed="81"/>
            <rFont val="Tahoma"/>
            <family val="2"/>
          </rPr>
          <t xml:space="preserve">
Changed from 22.2 to 23.9 based on 1 story in Chicago.</t>
        </r>
      </text>
    </comment>
    <comment ref="Z104" authorId="3" shapeId="0" xr:uid="{00000000-0006-0000-0200-00000F000000}">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3" shapeId="0" xr:uid="{00000000-0006-0000-0200-000010000000}">
      <text>
        <r>
          <rPr>
            <b/>
            <sz val="9"/>
            <color indexed="81"/>
            <rFont val="Tahoma"/>
            <family val="2"/>
          </rPr>
          <t>Maxwell Weiland:</t>
        </r>
        <r>
          <rPr>
            <sz val="9"/>
            <color indexed="81"/>
            <rFont val="Tahoma"/>
            <family val="2"/>
          </rPr>
          <t xml:space="preserve">
Changed from 70% to 72%
Chnaged to 64.9% -Steam Boiler.</t>
        </r>
      </text>
    </comment>
    <comment ref="AC104" authorId="1" shapeId="0" xr:uid="{77779AB9-E673-4B46-8ADB-BD661268633E}">
      <text>
        <r>
          <rPr>
            <b/>
            <sz val="9"/>
            <color indexed="81"/>
            <rFont val="Tahoma"/>
            <family val="2"/>
          </rPr>
          <t>Froio, Zach:</t>
        </r>
        <r>
          <rPr>
            <sz val="9"/>
            <color indexed="81"/>
            <rFont val="Tahoma"/>
            <family val="2"/>
          </rPr>
          <t xml:space="preserve">
Added per IL TRM v7 p. 303</t>
        </r>
      </text>
    </comment>
    <comment ref="AE104" authorId="1" shapeId="0" xr:uid="{B9C16A3B-29CC-4E30-A3C0-AB999C228868}">
      <text>
        <r>
          <rPr>
            <b/>
            <sz val="9"/>
            <color indexed="81"/>
            <rFont val="Tahoma"/>
            <charset val="1"/>
          </rPr>
          <t>Froio, Zach:</t>
        </r>
        <r>
          <rPr>
            <sz val="9"/>
            <color indexed="81"/>
            <rFont val="Tahoma"/>
            <charset val="1"/>
          </rPr>
          <t xml:space="preserve">
Added per IL TRM v8 p. 293</t>
        </r>
      </text>
    </comment>
    <comment ref="W106" authorId="1" shapeId="0" xr:uid="{9C9838B1-EE11-4B2A-AB70-FFE3FE4968F8}">
      <text>
        <r>
          <rPr>
            <b/>
            <sz val="9"/>
            <color indexed="81"/>
            <rFont val="Tahoma"/>
            <family val="2"/>
          </rPr>
          <t>Froio, Zach:</t>
        </r>
        <r>
          <rPr>
            <sz val="9"/>
            <color indexed="81"/>
            <rFont val="Tahoma"/>
            <family val="2"/>
          </rPr>
          <t xml:space="preserve">
Updated per IL TRM v8 p. 171 (MF - Mid Rise)</t>
        </r>
      </text>
    </comment>
    <comment ref="W107" authorId="1" shapeId="0" xr:uid="{5E644344-FCB9-4D2C-ACAD-292EB841A81C}">
      <text>
        <r>
          <rPr>
            <b/>
            <sz val="9"/>
            <color indexed="81"/>
            <rFont val="Tahoma"/>
            <family val="2"/>
          </rPr>
          <t>Froio, Zach:</t>
        </r>
        <r>
          <rPr>
            <sz val="9"/>
            <color indexed="81"/>
            <rFont val="Tahoma"/>
            <family val="2"/>
          </rPr>
          <t xml:space="preserve">
Updated per IL TRM v8 p. 171 (MF - Mid Rise)</t>
        </r>
      </text>
    </comment>
    <comment ref="W108" authorId="1" shapeId="0" xr:uid="{883E8675-E9AC-4719-BA40-5BFEB3D01C29}">
      <text>
        <r>
          <rPr>
            <b/>
            <sz val="9"/>
            <color indexed="81"/>
            <rFont val="Tahoma"/>
            <family val="2"/>
          </rPr>
          <t>Froio, Zach:</t>
        </r>
        <r>
          <rPr>
            <sz val="9"/>
            <color indexed="81"/>
            <rFont val="Tahoma"/>
            <family val="2"/>
          </rPr>
          <t xml:space="preserve">
Updated per IL TRM v8 p. 171 (MF - Mid Rise)</t>
        </r>
      </text>
    </comment>
    <comment ref="W110" authorId="1" shapeId="0" xr:uid="{7AA86DA0-6613-43F8-AB80-4B1C3FD04B65}">
      <text>
        <r>
          <rPr>
            <b/>
            <sz val="9"/>
            <color indexed="81"/>
            <rFont val="Tahoma"/>
            <family val="2"/>
          </rPr>
          <t>Froio, Zach:</t>
        </r>
        <r>
          <rPr>
            <sz val="9"/>
            <color indexed="81"/>
            <rFont val="Tahoma"/>
            <family val="2"/>
          </rPr>
          <t xml:space="preserve">
Updated per IL TRM v8 p. 171 (MF - Mid Rise)</t>
        </r>
      </text>
    </comment>
    <comment ref="AC112" authorId="1" shapeId="0" xr:uid="{8ED4A53C-C75D-4E9D-A841-0071A54D19B1}">
      <text>
        <r>
          <rPr>
            <b/>
            <sz val="9"/>
            <color indexed="81"/>
            <rFont val="Tahoma"/>
            <charset val="1"/>
          </rPr>
          <t>Froio, Zach:</t>
        </r>
        <r>
          <rPr>
            <sz val="9"/>
            <color indexed="81"/>
            <rFont val="Tahoma"/>
            <charset val="1"/>
          </rPr>
          <t xml:space="preserve">
Updated per IL TRM v8 p. 171 (MF - High Rise, MF - Mid Rise average)</t>
        </r>
      </text>
    </comment>
    <comment ref="AE112" authorId="1" shapeId="0" xr:uid="{20AF61DB-311A-4F45-ABA4-57AB65144B9F}">
      <text>
        <r>
          <rPr>
            <b/>
            <sz val="9"/>
            <color indexed="81"/>
            <rFont val="Tahoma"/>
            <charset val="1"/>
          </rPr>
          <t>Froio, Zach:</t>
        </r>
        <r>
          <rPr>
            <sz val="9"/>
            <color indexed="81"/>
            <rFont val="Tahoma"/>
            <charset val="1"/>
          </rPr>
          <t xml:space="preserve">
Updated per IL TRM v8 p. 171 (Unknown building type)</t>
        </r>
      </text>
    </comment>
    <comment ref="W113" authorId="1" shapeId="0" xr:uid="{2C6DC139-9DE0-47F2-A671-17C6F58D439C}">
      <text>
        <r>
          <rPr>
            <b/>
            <sz val="9"/>
            <color indexed="81"/>
            <rFont val="Tahoma"/>
            <family val="2"/>
          </rPr>
          <t>Froio, Zach:</t>
        </r>
        <r>
          <rPr>
            <sz val="9"/>
            <color indexed="81"/>
            <rFont val="Tahoma"/>
            <family val="2"/>
          </rPr>
          <t xml:space="preserve">
Updated per IL TRM v8 p. 171 (MF - Mid Rise)</t>
        </r>
      </text>
    </comment>
    <comment ref="V114" authorId="1" shapeId="0" xr:uid="{EF9BECED-C4AF-470D-A61D-604B53B14767}">
      <text>
        <r>
          <rPr>
            <b/>
            <sz val="9"/>
            <color indexed="81"/>
            <rFont val="Tahoma"/>
            <family val="2"/>
          </rPr>
          <t>Froio, Zach:</t>
        </r>
        <r>
          <rPr>
            <sz val="9"/>
            <color indexed="81"/>
            <rFont val="Tahoma"/>
            <family val="2"/>
          </rPr>
          <t xml:space="preserve">
Updated per IL TRM v7 p. 105</t>
        </r>
      </text>
    </comment>
    <comment ref="V117" authorId="1" shapeId="0" xr:uid="{C1394F2B-1032-4764-B2B7-B81577376EFC}">
      <text>
        <r>
          <rPr>
            <b/>
            <sz val="9"/>
            <color indexed="81"/>
            <rFont val="Tahoma"/>
            <family val="2"/>
          </rPr>
          <t>Froio, Zach:</t>
        </r>
        <r>
          <rPr>
            <sz val="9"/>
            <color indexed="81"/>
            <rFont val="Tahoma"/>
            <family val="2"/>
          </rPr>
          <t xml:space="preserve">
Updated per IL TRM v7 p. 55</t>
        </r>
      </text>
    </comment>
    <comment ref="W134" authorId="1" shapeId="0" xr:uid="{414E061F-760A-4D60-BAE5-2ACFE7D76DC5}">
      <text>
        <r>
          <rPr>
            <b/>
            <sz val="9"/>
            <color indexed="81"/>
            <rFont val="Tahoma"/>
            <family val="2"/>
          </rPr>
          <t>Froio, Zach:</t>
        </r>
        <r>
          <rPr>
            <sz val="9"/>
            <color indexed="81"/>
            <rFont val="Tahoma"/>
            <family val="2"/>
          </rPr>
          <t xml:space="preserve">
Updated per IL TRM v8 p. 171 (MF - Mid Rise)</t>
        </r>
      </text>
    </comment>
    <comment ref="Y135" authorId="1" shapeId="0" xr:uid="{7E116504-5084-48D3-BEFA-09E11248407A}">
      <text>
        <r>
          <rPr>
            <b/>
            <sz val="9"/>
            <color indexed="81"/>
            <rFont val="Tahoma"/>
            <family val="2"/>
          </rPr>
          <t>Froio, Zach:</t>
        </r>
        <r>
          <rPr>
            <sz val="9"/>
            <color indexed="81"/>
            <rFont val="Tahoma"/>
            <family val="2"/>
          </rPr>
          <t xml:space="preserve">
Updated per IL TRM v7 p. 326</t>
        </r>
      </text>
    </comment>
    <comment ref="I142" authorId="0" shapeId="0" xr:uid="{E94BB8AF-F076-48D2-B9C0-048F68C376F1}">
      <text>
        <r>
          <rPr>
            <b/>
            <sz val="9"/>
            <color indexed="81"/>
            <rFont val="Tahoma"/>
            <family val="2"/>
          </rPr>
          <t>Nielsen, Victoria:</t>
        </r>
        <r>
          <rPr>
            <sz val="9"/>
            <color indexed="81"/>
            <rFont val="Tahoma"/>
            <family val="2"/>
          </rPr>
          <t xml:space="preserve">
Changed measure life from 9 to 10 years. pg 93
</t>
        </r>
      </text>
    </comment>
    <comment ref="AA142" authorId="2" shapeId="0" xr:uid="{00000000-0006-0000-0200-000011000000}">
      <text>
        <r>
          <rPr>
            <b/>
            <sz val="9"/>
            <color indexed="81"/>
            <rFont val="Tahoma"/>
            <family val="2"/>
          </rPr>
          <t>Leah Maggio:</t>
        </r>
        <r>
          <rPr>
            <sz val="9"/>
            <color indexed="81"/>
            <rFont val="Tahoma"/>
            <family val="2"/>
          </rPr>
          <t xml:space="preserve">
L_base = L_low</t>
        </r>
      </text>
    </comment>
    <comment ref="I143" authorId="0" shapeId="0" xr:uid="{5AD1450B-72B4-47A7-A39E-7EF9D5E9C22D}">
      <text>
        <r>
          <rPr>
            <b/>
            <sz val="9"/>
            <color indexed="81"/>
            <rFont val="Tahoma"/>
            <family val="2"/>
          </rPr>
          <t>Nielsen, Victoria:</t>
        </r>
        <r>
          <rPr>
            <sz val="9"/>
            <color indexed="81"/>
            <rFont val="Tahoma"/>
            <family val="2"/>
          </rPr>
          <t xml:space="preserve">
Changed measure life from 9 to 10 years. pg 93
</t>
        </r>
      </text>
    </comment>
    <comment ref="AA143" authorId="2" shapeId="0" xr:uid="{00000000-0006-0000-0200-000012000000}">
      <text>
        <r>
          <rPr>
            <b/>
            <sz val="9"/>
            <color indexed="81"/>
            <rFont val="Tahoma"/>
            <family val="2"/>
          </rPr>
          <t>Leah Maggio:</t>
        </r>
        <r>
          <rPr>
            <sz val="9"/>
            <color indexed="81"/>
            <rFont val="Tahoma"/>
            <family val="2"/>
          </rPr>
          <t xml:space="preserve">
L_base = L_low</t>
        </r>
      </text>
    </comment>
    <comment ref="AA144" authorId="2" shapeId="0" xr:uid="{00000000-0006-0000-0200-000013000000}">
      <text>
        <r>
          <rPr>
            <b/>
            <sz val="9"/>
            <color indexed="81"/>
            <rFont val="Tahoma"/>
            <family val="2"/>
          </rPr>
          <t>Leah Maggio:</t>
        </r>
        <r>
          <rPr>
            <sz val="9"/>
            <color indexed="81"/>
            <rFont val="Tahoma"/>
            <family val="2"/>
          </rPr>
          <t xml:space="preserve">
L_base = L_low</t>
        </r>
      </text>
    </comment>
    <comment ref="AF144" authorId="1" shapeId="0" xr:uid="{F501B222-449C-4635-8AC5-D8471824CE76}">
      <text>
        <r>
          <rPr>
            <b/>
            <sz val="9"/>
            <color indexed="81"/>
            <rFont val="Tahoma"/>
            <charset val="1"/>
          </rPr>
          <t>Froio, Zach:</t>
        </r>
        <r>
          <rPr>
            <sz val="9"/>
            <color indexed="81"/>
            <rFont val="Tahoma"/>
            <charset val="1"/>
          </rPr>
          <t xml:space="preserve">
Updated per IL TRM v8 p. 135</t>
        </r>
      </text>
    </comment>
    <comment ref="X145" authorId="1" shapeId="0" xr:uid="{736A1480-60FF-458D-BBC7-44C2C2D1D45B}">
      <text>
        <r>
          <rPr>
            <b/>
            <sz val="9"/>
            <color indexed="81"/>
            <rFont val="Tahoma"/>
            <charset val="1"/>
          </rPr>
          <t>Froio, Zach:</t>
        </r>
        <r>
          <rPr>
            <sz val="9"/>
            <color indexed="81"/>
            <rFont val="Tahoma"/>
            <charset val="1"/>
          </rPr>
          <t xml:space="preserve">
Updated per IL TRM v8 p. 87</t>
        </r>
      </text>
    </comment>
    <comment ref="Z145" authorId="1" shapeId="0" xr:uid="{F1D6DA58-D170-4694-80C7-79D6EF20045C}">
      <text>
        <r>
          <rPr>
            <b/>
            <sz val="9"/>
            <color indexed="81"/>
            <rFont val="Tahoma"/>
            <charset val="1"/>
          </rPr>
          <t>Froio, Zach:</t>
        </r>
        <r>
          <rPr>
            <sz val="9"/>
            <color indexed="81"/>
            <rFont val="Tahoma"/>
            <charset val="1"/>
          </rPr>
          <t xml:space="preserve">
Updated per IL TRM v8 p. 90</t>
        </r>
      </text>
    </comment>
    <comment ref="AA145" authorId="2" shapeId="0" xr:uid="{00000000-0006-0000-0200-000014000000}">
      <text>
        <r>
          <rPr>
            <b/>
            <sz val="9"/>
            <color indexed="81"/>
            <rFont val="Tahoma"/>
            <family val="2"/>
          </rPr>
          <t>Leah Maggio:</t>
        </r>
        <r>
          <rPr>
            <sz val="9"/>
            <color indexed="81"/>
            <rFont val="Tahoma"/>
            <family val="2"/>
          </rPr>
          <t xml:space="preserve">
L_base = L_low</t>
        </r>
      </text>
    </comment>
    <comment ref="AH145" authorId="1" shapeId="0" xr:uid="{7F79CAEB-CA67-4BC5-8A04-896C75F3A204}">
      <text>
        <r>
          <rPr>
            <b/>
            <sz val="9"/>
            <color indexed="81"/>
            <rFont val="Tahoma"/>
            <charset val="1"/>
          </rPr>
          <t>Froio, Zach:</t>
        </r>
        <r>
          <rPr>
            <sz val="9"/>
            <color indexed="81"/>
            <rFont val="Tahoma"/>
            <charset val="1"/>
          </rPr>
          <t xml:space="preserve">
Previously entered as 51.4, but corrected to be 54.1 per the TRM.</t>
        </r>
      </text>
    </comment>
    <comment ref="I147" authorId="0" shapeId="0" xr:uid="{E521CE41-F531-49E4-910F-1A4955989F03}">
      <text>
        <r>
          <rPr>
            <b/>
            <sz val="9"/>
            <color indexed="81"/>
            <rFont val="Tahoma"/>
            <family val="2"/>
          </rPr>
          <t>Nielsen, Victoria:</t>
        </r>
        <r>
          <rPr>
            <sz val="9"/>
            <color indexed="81"/>
            <rFont val="Tahoma"/>
            <family val="2"/>
          </rPr>
          <t xml:space="preserve">
Changed measure life from 9 to 10 years. pg 93
</t>
        </r>
      </text>
    </comment>
    <comment ref="AA147" authorId="2" shapeId="0" xr:uid="{00000000-0006-0000-0200-000015000000}">
      <text>
        <r>
          <rPr>
            <b/>
            <sz val="9"/>
            <color indexed="81"/>
            <rFont val="Tahoma"/>
            <family val="2"/>
          </rPr>
          <t>Leah Maggio:</t>
        </r>
        <r>
          <rPr>
            <sz val="9"/>
            <color indexed="81"/>
            <rFont val="Tahoma"/>
            <family val="2"/>
          </rPr>
          <t xml:space="preserve">
L_base = L_low</t>
        </r>
      </text>
    </comment>
    <comment ref="I148" authorId="0" shapeId="0" xr:uid="{2E2D8B0B-BD1B-4F6B-A00F-DA5E34B64DED}">
      <text>
        <r>
          <rPr>
            <b/>
            <sz val="9"/>
            <color indexed="81"/>
            <rFont val="Tahoma"/>
            <family val="2"/>
          </rPr>
          <t>Nielsen, Victoria:</t>
        </r>
        <r>
          <rPr>
            <sz val="9"/>
            <color indexed="81"/>
            <rFont val="Tahoma"/>
            <family val="2"/>
          </rPr>
          <t xml:space="preserve">
Changed measure life from 9 to 10 years. pg 93
</t>
        </r>
      </text>
    </comment>
    <comment ref="AA148" authorId="2" shapeId="0" xr:uid="{00000000-0006-0000-0200-000016000000}">
      <text>
        <r>
          <rPr>
            <b/>
            <sz val="9"/>
            <color indexed="81"/>
            <rFont val="Tahoma"/>
            <family val="2"/>
          </rPr>
          <t>Leah Maggio:</t>
        </r>
        <r>
          <rPr>
            <sz val="9"/>
            <color indexed="81"/>
            <rFont val="Tahoma"/>
            <family val="2"/>
          </rPr>
          <t xml:space="preserve">
L_base = L_low</t>
        </r>
      </text>
    </comment>
    <comment ref="AA149" authorId="2" shapeId="0" xr:uid="{00000000-0006-0000-0200-000017000000}">
      <text>
        <r>
          <rPr>
            <b/>
            <sz val="9"/>
            <color indexed="81"/>
            <rFont val="Tahoma"/>
            <family val="2"/>
          </rPr>
          <t>Leah Maggio:</t>
        </r>
        <r>
          <rPr>
            <sz val="9"/>
            <color indexed="81"/>
            <rFont val="Tahoma"/>
            <family val="2"/>
          </rPr>
          <t xml:space="preserve">
L_base = L_low</t>
        </r>
      </text>
    </comment>
    <comment ref="AF149" authorId="1" shapeId="0" xr:uid="{D6D0A335-A655-434A-84AC-80C67D56B1D4}">
      <text>
        <r>
          <rPr>
            <b/>
            <sz val="9"/>
            <color indexed="81"/>
            <rFont val="Tahoma"/>
            <charset val="1"/>
          </rPr>
          <t>Froio, Zach:</t>
        </r>
        <r>
          <rPr>
            <sz val="9"/>
            <color indexed="81"/>
            <rFont val="Tahoma"/>
            <charset val="1"/>
          </rPr>
          <t xml:space="preserve">
Updated per IL TRM v8 p. 135</t>
        </r>
      </text>
    </comment>
    <comment ref="X151" authorId="1" shapeId="0" xr:uid="{9C15C228-41BB-4430-8A81-DEDB2BE1AB37}">
      <text>
        <r>
          <rPr>
            <b/>
            <sz val="9"/>
            <color indexed="81"/>
            <rFont val="Tahoma"/>
            <charset val="1"/>
          </rPr>
          <t>Froio, Zach:</t>
        </r>
        <r>
          <rPr>
            <sz val="9"/>
            <color indexed="81"/>
            <rFont val="Tahoma"/>
            <charset val="1"/>
          </rPr>
          <t xml:space="preserve">
Updated per IL TRM v8 p. 87</t>
        </r>
      </text>
    </comment>
    <comment ref="Z151" authorId="1" shapeId="0" xr:uid="{C3160464-24B6-414E-92F2-E1919994438A}">
      <text>
        <r>
          <rPr>
            <b/>
            <sz val="9"/>
            <color indexed="81"/>
            <rFont val="Tahoma"/>
            <charset val="1"/>
          </rPr>
          <t>Froio, Zach:</t>
        </r>
        <r>
          <rPr>
            <sz val="9"/>
            <color indexed="81"/>
            <rFont val="Tahoma"/>
            <charset val="1"/>
          </rPr>
          <t xml:space="preserve">
Updated per IL TRM v8 p. 90</t>
        </r>
      </text>
    </comment>
    <comment ref="AA151" authorId="2" shapeId="0" xr:uid="{00000000-0006-0000-0200-000018000000}">
      <text>
        <r>
          <rPr>
            <b/>
            <sz val="9"/>
            <color indexed="81"/>
            <rFont val="Tahoma"/>
            <family val="2"/>
          </rPr>
          <t>Leah Maggio:</t>
        </r>
        <r>
          <rPr>
            <sz val="9"/>
            <color indexed="81"/>
            <rFont val="Tahoma"/>
            <family val="2"/>
          </rPr>
          <t xml:space="preserve">
L_base = L_low</t>
        </r>
      </text>
    </comment>
    <comment ref="AH151" authorId="1" shapeId="0" xr:uid="{A98F8E57-C2B8-49B4-9370-4FC3C1959D30}">
      <text>
        <r>
          <rPr>
            <b/>
            <sz val="9"/>
            <color indexed="81"/>
            <rFont val="Tahoma"/>
            <charset val="1"/>
          </rPr>
          <t>Froio, Zach:</t>
        </r>
        <r>
          <rPr>
            <sz val="9"/>
            <color indexed="81"/>
            <rFont val="Tahoma"/>
            <charset val="1"/>
          </rPr>
          <t xml:space="preserve">
Previously entered as 51.4, but corrected to be 54.1 per the TRM.</t>
        </r>
      </text>
    </comment>
    <comment ref="W157" authorId="1" shapeId="0" xr:uid="{59CE0F61-7994-4ECF-AC2D-8B4E3C8ACA38}">
      <text>
        <r>
          <rPr>
            <b/>
            <sz val="9"/>
            <color indexed="81"/>
            <rFont val="Tahoma"/>
            <family val="2"/>
          </rPr>
          <t>Froio, Zach:</t>
        </r>
        <r>
          <rPr>
            <sz val="9"/>
            <color indexed="81"/>
            <rFont val="Tahoma"/>
            <family val="2"/>
          </rPr>
          <t xml:space="preserve">
Updated per IL TRM v8 p. 171 (Office - Mid Rise)</t>
        </r>
      </text>
    </comment>
    <comment ref="W158" authorId="1" shapeId="0" xr:uid="{F44A98C4-A2DB-43C7-8842-33679C8F952F}">
      <text>
        <r>
          <rPr>
            <b/>
            <sz val="9"/>
            <color indexed="81"/>
            <rFont val="Tahoma"/>
            <family val="2"/>
          </rPr>
          <t>Froio, Zach:</t>
        </r>
        <r>
          <rPr>
            <sz val="9"/>
            <color indexed="81"/>
            <rFont val="Tahoma"/>
            <family val="2"/>
          </rPr>
          <t xml:space="preserve">
Updated per IL TRM v8 p. 171 (Office - Mid Rise)</t>
        </r>
      </text>
    </comment>
    <comment ref="W159" authorId="1" shapeId="0" xr:uid="{5662B560-97C5-4232-AADA-6710683F6C2F}">
      <text>
        <r>
          <rPr>
            <b/>
            <sz val="9"/>
            <color indexed="81"/>
            <rFont val="Tahoma"/>
            <family val="2"/>
          </rPr>
          <t>Froio, Zach:</t>
        </r>
        <r>
          <rPr>
            <sz val="9"/>
            <color indexed="81"/>
            <rFont val="Tahoma"/>
            <family val="2"/>
          </rPr>
          <t xml:space="preserve">
Updated per IL TRM v8 p. 171 (Office - Mid Rise)</t>
        </r>
      </text>
    </comment>
    <comment ref="W161" authorId="1" shapeId="0" xr:uid="{D9C3CFC5-3EB0-4227-9821-429C4B14B749}">
      <text>
        <r>
          <rPr>
            <b/>
            <sz val="9"/>
            <color indexed="81"/>
            <rFont val="Tahoma"/>
            <family val="2"/>
          </rPr>
          <t>Froio, Zach:</t>
        </r>
        <r>
          <rPr>
            <sz val="9"/>
            <color indexed="81"/>
            <rFont val="Tahoma"/>
            <family val="2"/>
          </rPr>
          <t xml:space="preserve">
Updated per IL TRM v8 p. 171 (Office - Mid Rise)</t>
        </r>
      </text>
    </comment>
    <comment ref="AC164" authorId="1" shapeId="0" xr:uid="{F381139B-396E-4F55-A9E8-1D74CF0BDABC}">
      <text>
        <r>
          <rPr>
            <b/>
            <sz val="9"/>
            <color indexed="81"/>
            <rFont val="Tahoma"/>
            <charset val="1"/>
          </rPr>
          <t>Froio, Zach:</t>
        </r>
        <r>
          <rPr>
            <sz val="9"/>
            <color indexed="81"/>
            <rFont val="Tahoma"/>
            <charset val="1"/>
          </rPr>
          <t xml:space="preserve">
Updated per IL TRM v8 p. 171 (MF - High Rise, MF - Mid Rise average)</t>
        </r>
      </text>
    </comment>
    <comment ref="AE164" authorId="1" shapeId="0" xr:uid="{E1AF3059-0341-4BFD-B585-03696F94C61A}">
      <text>
        <r>
          <rPr>
            <b/>
            <sz val="9"/>
            <color indexed="81"/>
            <rFont val="Tahoma"/>
            <charset val="1"/>
          </rPr>
          <t>Froio, Zach:</t>
        </r>
        <r>
          <rPr>
            <sz val="9"/>
            <color indexed="81"/>
            <rFont val="Tahoma"/>
            <charset val="1"/>
          </rPr>
          <t xml:space="preserve">
Updated per IL TRM v8 p. 171 (Unknown building type)</t>
        </r>
      </text>
    </comment>
    <comment ref="I168" authorId="0" shapeId="0" xr:uid="{40B1D2D2-27EC-4AD3-BA6E-3F91A98C9310}">
      <text>
        <r>
          <rPr>
            <b/>
            <sz val="9"/>
            <color indexed="81"/>
            <rFont val="Tahoma"/>
            <family val="2"/>
          </rPr>
          <t>Nielsen, Victoria:</t>
        </r>
        <r>
          <rPr>
            <sz val="9"/>
            <color indexed="81"/>
            <rFont val="Tahoma"/>
            <family val="2"/>
          </rPr>
          <t xml:space="preserve">
Changed measure life from 15-12 yrs
</t>
        </r>
      </text>
    </comment>
    <comment ref="X198" authorId="1" shapeId="0" xr:uid="{2BFD625A-D689-47E9-9DEB-499E02635018}">
      <text>
        <r>
          <rPr>
            <b/>
            <sz val="9"/>
            <color indexed="81"/>
            <rFont val="Tahoma"/>
            <charset val="1"/>
          </rPr>
          <t>Froio, Zach:</t>
        </r>
        <r>
          <rPr>
            <sz val="9"/>
            <color indexed="81"/>
            <rFont val="Tahoma"/>
            <charset val="1"/>
          </rPr>
          <t xml:space="preserve">
Updated per IL TRM v8 p. 87</t>
        </r>
      </text>
    </comment>
    <comment ref="Z198" authorId="1" shapeId="0" xr:uid="{3FAF67F8-0BC6-4ACE-AC2C-0DEE4F8438AD}">
      <text>
        <r>
          <rPr>
            <b/>
            <sz val="9"/>
            <color indexed="81"/>
            <rFont val="Tahoma"/>
            <charset val="1"/>
          </rPr>
          <t>Froio, Zach:</t>
        </r>
        <r>
          <rPr>
            <sz val="9"/>
            <color indexed="81"/>
            <rFont val="Tahoma"/>
            <charset val="1"/>
          </rPr>
          <t xml:space="preserve">
Updated per IL TRM v8 p. 90</t>
        </r>
      </text>
    </comment>
    <comment ref="AA198" authorId="2" shapeId="0" xr:uid="{00000000-0006-0000-0200-000019000000}">
      <text>
        <r>
          <rPr>
            <b/>
            <sz val="9"/>
            <color indexed="81"/>
            <rFont val="Tahoma"/>
            <family val="2"/>
          </rPr>
          <t>Leah Maggio:</t>
        </r>
        <r>
          <rPr>
            <sz val="9"/>
            <color indexed="81"/>
            <rFont val="Tahoma"/>
            <family val="2"/>
          </rPr>
          <t xml:space="preserve">
L_base = L_low</t>
        </r>
      </text>
    </comment>
    <comment ref="AH198" authorId="1" shapeId="0" xr:uid="{B2948660-79CB-42DC-BAF0-EE6AED5F5312}">
      <text>
        <r>
          <rPr>
            <b/>
            <sz val="9"/>
            <color indexed="81"/>
            <rFont val="Tahoma"/>
            <charset val="1"/>
          </rPr>
          <t>Froio, Zach:</t>
        </r>
        <r>
          <rPr>
            <sz val="9"/>
            <color indexed="81"/>
            <rFont val="Tahoma"/>
            <charset val="1"/>
          </rPr>
          <t xml:space="preserve">
Previously entered as 51.4, but corrected to be 54.1 per the TRM.</t>
        </r>
      </text>
    </comment>
    <comment ref="W199" authorId="1" shapeId="0" xr:uid="{F550D492-22B2-40F0-9023-E46BBF0F0516}">
      <text>
        <r>
          <rPr>
            <b/>
            <sz val="9"/>
            <color indexed="81"/>
            <rFont val="Tahoma"/>
            <family val="2"/>
          </rPr>
          <t>Froio, Zach:</t>
        </r>
        <r>
          <rPr>
            <sz val="9"/>
            <color indexed="81"/>
            <rFont val="Tahoma"/>
            <family val="2"/>
          </rPr>
          <t xml:space="preserve">
Updated per IL TRM v8 p. 171 (Office - Mid Rise)</t>
        </r>
      </text>
    </comment>
    <comment ref="AC205" authorId="1" shapeId="0" xr:uid="{45BB591A-93E0-443E-A9E5-4795C49C70D6}">
      <text>
        <r>
          <rPr>
            <b/>
            <sz val="9"/>
            <color indexed="81"/>
            <rFont val="Tahoma"/>
            <family val="2"/>
          </rPr>
          <t>Froio, Zach:</t>
        </r>
        <r>
          <rPr>
            <sz val="9"/>
            <color indexed="81"/>
            <rFont val="Tahoma"/>
            <family val="2"/>
          </rPr>
          <t xml:space="preserve">
Updated per IL TRM v7 p. 92</t>
        </r>
      </text>
    </comment>
    <comment ref="AE205" authorId="1" shapeId="0" xr:uid="{94801A44-09B5-4CF8-8304-017D48CEFC7D}">
      <text>
        <r>
          <rPr>
            <b/>
            <sz val="9"/>
            <color indexed="81"/>
            <rFont val="Tahoma"/>
            <family val="2"/>
          </rPr>
          <t>Froio, Zach:</t>
        </r>
        <r>
          <rPr>
            <sz val="9"/>
            <color indexed="81"/>
            <rFont val="Tahoma"/>
            <family val="2"/>
          </rPr>
          <t xml:space="preserve">
Assumed same UEF rating as former EF rating</t>
        </r>
      </text>
    </comment>
    <comment ref="W246" authorId="1" shapeId="0" xr:uid="{9FD5F8CF-8005-494A-9A17-F002D02EFC58}">
      <text>
        <r>
          <rPr>
            <b/>
            <sz val="9"/>
            <color indexed="81"/>
            <rFont val="Tahoma"/>
            <charset val="1"/>
          </rPr>
          <t>Froio, Zach:</t>
        </r>
        <r>
          <rPr>
            <sz val="9"/>
            <color indexed="81"/>
            <rFont val="Tahoma"/>
            <charset val="1"/>
          </rPr>
          <t xml:space="preserve">
Updated per IL TRM v8 p. 171 (Unknown building type)</t>
        </r>
      </text>
    </comment>
    <comment ref="W247" authorId="1" shapeId="0" xr:uid="{4E13EEEE-9230-495A-B428-27ADF955499A}">
      <text>
        <r>
          <rPr>
            <b/>
            <sz val="9"/>
            <color indexed="81"/>
            <rFont val="Tahoma"/>
            <charset val="1"/>
          </rPr>
          <t>Froio, Zach:</t>
        </r>
        <r>
          <rPr>
            <sz val="9"/>
            <color indexed="81"/>
            <rFont val="Tahoma"/>
            <charset val="1"/>
          </rPr>
          <t xml:space="preserve">
Updated per IL TRM v8 p. 171 (Unknown building type)</t>
        </r>
      </text>
    </comment>
    <comment ref="W248" authorId="1" shapeId="0" xr:uid="{FB0BBF92-324C-4164-9A25-9CDBDAF35A46}">
      <text>
        <r>
          <rPr>
            <b/>
            <sz val="9"/>
            <color indexed="81"/>
            <rFont val="Tahoma"/>
            <charset val="1"/>
          </rPr>
          <t>Froio, Zach:</t>
        </r>
        <r>
          <rPr>
            <sz val="9"/>
            <color indexed="81"/>
            <rFont val="Tahoma"/>
            <charset val="1"/>
          </rPr>
          <t xml:space="preserve">
Updated per IL TRM v8 p. 171 (Unknown building type)</t>
        </r>
      </text>
    </comment>
    <comment ref="W250" authorId="1" shapeId="0" xr:uid="{213EA11D-A5D5-4CE9-88DD-6250DEEFEDF0}">
      <text>
        <r>
          <rPr>
            <b/>
            <sz val="9"/>
            <color indexed="81"/>
            <rFont val="Tahoma"/>
            <charset val="1"/>
          </rPr>
          <t>Froio, Zach:</t>
        </r>
        <r>
          <rPr>
            <sz val="9"/>
            <color indexed="81"/>
            <rFont val="Tahoma"/>
            <charset val="1"/>
          </rPr>
          <t xml:space="preserve">
Updated per IL TRM v8 p. 171 (Unknown building type)</t>
        </r>
      </text>
    </comment>
    <comment ref="AC253" authorId="1" shapeId="0" xr:uid="{0F3B5250-A6D1-4CC0-9F52-B7F324D650B6}">
      <text>
        <r>
          <rPr>
            <b/>
            <sz val="9"/>
            <color indexed="81"/>
            <rFont val="Tahoma"/>
            <charset val="1"/>
          </rPr>
          <t>Froio, Zach:</t>
        </r>
        <r>
          <rPr>
            <sz val="9"/>
            <color indexed="81"/>
            <rFont val="Tahoma"/>
            <charset val="1"/>
          </rPr>
          <t xml:space="preserve">
Updated per IL TRM v8 p. 171 (MF - High Rise, MF - Mid Rise average)</t>
        </r>
      </text>
    </comment>
    <comment ref="AE253" authorId="1" shapeId="0" xr:uid="{82D27397-F716-43F0-9669-214625787299}">
      <text>
        <r>
          <rPr>
            <b/>
            <sz val="9"/>
            <color indexed="81"/>
            <rFont val="Tahoma"/>
            <charset val="1"/>
          </rPr>
          <t>Froio, Zach:</t>
        </r>
        <r>
          <rPr>
            <sz val="9"/>
            <color indexed="81"/>
            <rFont val="Tahoma"/>
            <charset val="1"/>
          </rPr>
          <t xml:space="preserve">
Updated per IL TRM v8 p. 171 (Unknown building type)</t>
        </r>
      </text>
    </comment>
    <comment ref="X271" authorId="1" shapeId="0" xr:uid="{877C4C7B-C814-4D3F-80DF-BB4CA08F5436}">
      <text>
        <r>
          <rPr>
            <b/>
            <sz val="9"/>
            <color indexed="81"/>
            <rFont val="Tahoma"/>
            <charset val="1"/>
          </rPr>
          <t>Froio, Zach:</t>
        </r>
        <r>
          <rPr>
            <sz val="9"/>
            <color indexed="81"/>
            <rFont val="Tahoma"/>
            <charset val="1"/>
          </rPr>
          <t xml:space="preserve">
Updated per IL TRM v8 p. 87</t>
        </r>
      </text>
    </comment>
    <comment ref="Z271" authorId="1" shapeId="0" xr:uid="{FA86E275-FFF0-4A05-B8E7-7145A5D810C7}">
      <text>
        <r>
          <rPr>
            <b/>
            <sz val="9"/>
            <color indexed="81"/>
            <rFont val="Tahoma"/>
            <charset val="1"/>
          </rPr>
          <t>Froio, Zach:</t>
        </r>
        <r>
          <rPr>
            <sz val="9"/>
            <color indexed="81"/>
            <rFont val="Tahoma"/>
            <charset val="1"/>
          </rPr>
          <t xml:space="preserve">
Updated per IL TRM v8 p. 90</t>
        </r>
      </text>
    </comment>
    <comment ref="AA271" authorId="2" shapeId="0" xr:uid="{00000000-0006-0000-0200-00001A000000}">
      <text>
        <r>
          <rPr>
            <b/>
            <sz val="9"/>
            <color indexed="81"/>
            <rFont val="Tahoma"/>
            <family val="2"/>
          </rPr>
          <t>Leah Maggio:</t>
        </r>
        <r>
          <rPr>
            <sz val="9"/>
            <color indexed="81"/>
            <rFont val="Tahoma"/>
            <family val="2"/>
          </rPr>
          <t xml:space="preserve">
L_base = L_low</t>
        </r>
      </text>
    </comment>
    <comment ref="AH271" authorId="1" shapeId="0" xr:uid="{26845B04-941E-4C7C-B92C-1654C0FA3562}">
      <text>
        <r>
          <rPr>
            <b/>
            <sz val="9"/>
            <color indexed="81"/>
            <rFont val="Tahoma"/>
            <charset val="1"/>
          </rPr>
          <t>Froio, Zach:</t>
        </r>
        <r>
          <rPr>
            <sz val="9"/>
            <color indexed="81"/>
            <rFont val="Tahoma"/>
            <charset val="1"/>
          </rPr>
          <t xml:space="preserve">
Previously entered as 51.4, but corrected to be 54.1 per the TRM.</t>
        </r>
      </text>
    </comment>
    <comment ref="W272" authorId="1" shapeId="0" xr:uid="{0F9FA6D8-0801-41DB-A671-817AB06371FB}">
      <text>
        <r>
          <rPr>
            <b/>
            <sz val="9"/>
            <color indexed="81"/>
            <rFont val="Tahoma"/>
            <charset val="1"/>
          </rPr>
          <t>Froio, Zach:</t>
        </r>
        <r>
          <rPr>
            <sz val="9"/>
            <color indexed="81"/>
            <rFont val="Tahoma"/>
            <charset val="1"/>
          </rPr>
          <t xml:space="preserve">
Updated per IL TRM v8 p. 171 (Unknown building type)</t>
        </r>
      </text>
    </comment>
    <comment ref="AC278" authorId="1" shapeId="0" xr:uid="{2CD11E78-46D5-40BD-B4E8-EDB153386691}">
      <text>
        <r>
          <rPr>
            <b/>
            <sz val="9"/>
            <color indexed="81"/>
            <rFont val="Tahoma"/>
            <family val="2"/>
          </rPr>
          <t>Froio, Zach:</t>
        </r>
        <r>
          <rPr>
            <sz val="9"/>
            <color indexed="81"/>
            <rFont val="Tahoma"/>
            <family val="2"/>
          </rPr>
          <t xml:space="preserve">
Updated per IL TRM v7 p. 92</t>
        </r>
      </text>
    </comment>
    <comment ref="AE278" authorId="1" shapeId="0" xr:uid="{6B50D499-69E5-4C01-95C0-87FA4FC72C5D}">
      <text>
        <r>
          <rPr>
            <b/>
            <sz val="9"/>
            <color indexed="81"/>
            <rFont val="Tahoma"/>
            <family val="2"/>
          </rPr>
          <t>Froio, Zach:</t>
        </r>
        <r>
          <rPr>
            <sz val="9"/>
            <color indexed="81"/>
            <rFont val="Tahoma"/>
            <family val="2"/>
          </rPr>
          <t xml:space="preserve">
Assumed same UEF rating as former EF rating</t>
        </r>
      </text>
    </comment>
    <comment ref="I282" authorId="0" shapeId="0" xr:uid="{FEC3A7C7-52DA-478A-BF1B-8F42496E0246}">
      <text>
        <r>
          <rPr>
            <b/>
            <sz val="9"/>
            <color indexed="81"/>
            <rFont val="Tahoma"/>
            <family val="2"/>
          </rPr>
          <t>Nielsen, Victoria:</t>
        </r>
        <r>
          <rPr>
            <sz val="9"/>
            <color indexed="81"/>
            <rFont val="Tahoma"/>
            <family val="2"/>
          </rPr>
          <t xml:space="preserve">
Changed measure life from 15-12 yrs
</t>
        </r>
      </text>
    </comment>
    <comment ref="I295" authorId="0" shapeId="0" xr:uid="{319232D7-D7E1-407B-8BBC-21EE21E8A775}">
      <text>
        <r>
          <rPr>
            <b/>
            <sz val="9"/>
            <color indexed="81"/>
            <rFont val="Tahoma"/>
            <family val="2"/>
          </rPr>
          <t>Nielsen, Victoria:</t>
        </r>
        <r>
          <rPr>
            <sz val="9"/>
            <color indexed="81"/>
            <rFont val="Tahoma"/>
            <family val="2"/>
          </rPr>
          <t xml:space="preserve">
Changed measure life from 9 to 10 years. pg 93
</t>
        </r>
      </text>
    </comment>
    <comment ref="AA295" authorId="2" shapeId="0" xr:uid="{00000000-0006-0000-0200-00001B000000}">
      <text>
        <r>
          <rPr>
            <b/>
            <sz val="9"/>
            <color indexed="81"/>
            <rFont val="Tahoma"/>
            <family val="2"/>
          </rPr>
          <t>Leah Maggio:</t>
        </r>
        <r>
          <rPr>
            <sz val="9"/>
            <color indexed="81"/>
            <rFont val="Tahoma"/>
            <family val="2"/>
          </rPr>
          <t xml:space="preserve">
L_base = L_low</t>
        </r>
      </text>
    </comment>
    <comment ref="I296" authorId="0" shapeId="0" xr:uid="{2BB61DA4-89FC-41B9-9952-CC65C61C7E80}">
      <text>
        <r>
          <rPr>
            <b/>
            <sz val="9"/>
            <color indexed="81"/>
            <rFont val="Tahoma"/>
            <family val="2"/>
          </rPr>
          <t>Nielsen, Victoria:</t>
        </r>
        <r>
          <rPr>
            <sz val="9"/>
            <color indexed="81"/>
            <rFont val="Tahoma"/>
            <family val="2"/>
          </rPr>
          <t xml:space="preserve">
Changed measure life from 9 to 10 years. pg 93
</t>
        </r>
      </text>
    </comment>
    <comment ref="AA296" authorId="2" shapeId="0" xr:uid="{00000000-0006-0000-0200-00001C000000}">
      <text>
        <r>
          <rPr>
            <b/>
            <sz val="9"/>
            <color indexed="81"/>
            <rFont val="Tahoma"/>
            <family val="2"/>
          </rPr>
          <t>Leah Maggio:</t>
        </r>
        <r>
          <rPr>
            <sz val="9"/>
            <color indexed="81"/>
            <rFont val="Tahoma"/>
            <family val="2"/>
          </rPr>
          <t xml:space="preserve">
L_base = L_low</t>
        </r>
      </text>
    </comment>
    <comment ref="AA297" authorId="2" shapeId="0" xr:uid="{00000000-0006-0000-0200-00001D000000}">
      <text>
        <r>
          <rPr>
            <b/>
            <sz val="9"/>
            <color indexed="81"/>
            <rFont val="Tahoma"/>
            <family val="2"/>
          </rPr>
          <t>Leah Maggio:</t>
        </r>
        <r>
          <rPr>
            <sz val="9"/>
            <color indexed="81"/>
            <rFont val="Tahoma"/>
            <family val="2"/>
          </rPr>
          <t xml:space="preserve">
L_base = L_low</t>
        </r>
      </text>
    </comment>
    <comment ref="AF297" authorId="1" shapeId="0" xr:uid="{51F1FA69-70DD-445A-86D9-27525FFFF112}">
      <text>
        <r>
          <rPr>
            <b/>
            <sz val="9"/>
            <color indexed="81"/>
            <rFont val="Tahoma"/>
            <charset val="1"/>
          </rPr>
          <t>Froio, Zach:</t>
        </r>
        <r>
          <rPr>
            <sz val="9"/>
            <color indexed="81"/>
            <rFont val="Tahoma"/>
            <charset val="1"/>
          </rPr>
          <t xml:space="preserve">
Updated per IL TRM v8 p. 135</t>
        </r>
      </text>
    </comment>
    <comment ref="X299" authorId="1" shapeId="0" xr:uid="{DC1326C2-094D-465D-978C-6362441C402B}">
      <text>
        <r>
          <rPr>
            <b/>
            <sz val="9"/>
            <color indexed="81"/>
            <rFont val="Tahoma"/>
            <charset val="1"/>
          </rPr>
          <t>Froio, Zach:</t>
        </r>
        <r>
          <rPr>
            <sz val="9"/>
            <color indexed="81"/>
            <rFont val="Tahoma"/>
            <charset val="1"/>
          </rPr>
          <t xml:space="preserve">
Updated per IL TRM v8 p. 87</t>
        </r>
      </text>
    </comment>
    <comment ref="Z299" authorId="1" shapeId="0" xr:uid="{96F5DF02-F782-476F-8C43-0714F51A4EDF}">
      <text>
        <r>
          <rPr>
            <b/>
            <sz val="9"/>
            <color indexed="81"/>
            <rFont val="Tahoma"/>
            <charset val="1"/>
          </rPr>
          <t>Froio, Zach:</t>
        </r>
        <r>
          <rPr>
            <sz val="9"/>
            <color indexed="81"/>
            <rFont val="Tahoma"/>
            <charset val="1"/>
          </rPr>
          <t xml:space="preserve">
Updated per IL TRM v8 p. 90</t>
        </r>
      </text>
    </comment>
    <comment ref="AA299" authorId="2" shapeId="0" xr:uid="{00000000-0006-0000-0200-00001E000000}">
      <text>
        <r>
          <rPr>
            <b/>
            <sz val="9"/>
            <color indexed="81"/>
            <rFont val="Tahoma"/>
            <family val="2"/>
          </rPr>
          <t>Leah Maggio:</t>
        </r>
        <r>
          <rPr>
            <sz val="9"/>
            <color indexed="81"/>
            <rFont val="Tahoma"/>
            <family val="2"/>
          </rPr>
          <t xml:space="preserve">
L_base = L_low</t>
        </r>
      </text>
    </comment>
    <comment ref="AH299" authorId="1" shapeId="0" xr:uid="{2BFFD2C0-03D9-448C-B4F1-9EE047FC7580}">
      <text>
        <r>
          <rPr>
            <b/>
            <sz val="9"/>
            <color indexed="81"/>
            <rFont val="Tahoma"/>
            <charset val="1"/>
          </rPr>
          <t>Froio, Zach:</t>
        </r>
        <r>
          <rPr>
            <sz val="9"/>
            <color indexed="81"/>
            <rFont val="Tahoma"/>
            <charset val="1"/>
          </rPr>
          <t xml:space="preserve">
Previously entered as 51.4, but corrected to be 54.1 per the TRM.</t>
        </r>
      </text>
    </comment>
    <comment ref="W302" authorId="1" shapeId="0" xr:uid="{9A4A6A60-05E0-4CCE-9636-F22AB40AA423}">
      <text>
        <r>
          <rPr>
            <b/>
            <sz val="9"/>
            <color indexed="81"/>
            <rFont val="Tahoma"/>
            <charset val="1"/>
          </rPr>
          <t>Froio, Zach:</t>
        </r>
        <r>
          <rPr>
            <sz val="9"/>
            <color indexed="81"/>
            <rFont val="Tahoma"/>
            <charset val="1"/>
          </rPr>
          <t xml:space="preserve">
Updated per IL TRM v8 p. 171 (Unknown building type)</t>
        </r>
      </text>
    </comment>
    <comment ref="W303" authorId="1" shapeId="0" xr:uid="{A89E63B4-D16B-4011-8107-DFE8FD53BD07}">
      <text>
        <r>
          <rPr>
            <b/>
            <sz val="9"/>
            <color indexed="81"/>
            <rFont val="Tahoma"/>
            <charset val="1"/>
          </rPr>
          <t>Froio, Zach:</t>
        </r>
        <r>
          <rPr>
            <sz val="9"/>
            <color indexed="81"/>
            <rFont val="Tahoma"/>
            <charset val="1"/>
          </rPr>
          <t xml:space="preserve">
Updated per IL TRM v8 p. 171 (Unknown building type)</t>
        </r>
      </text>
    </comment>
    <comment ref="W304" authorId="1" shapeId="0" xr:uid="{C65457A5-74E3-4690-AB92-29EDFC734867}">
      <text>
        <r>
          <rPr>
            <b/>
            <sz val="9"/>
            <color indexed="81"/>
            <rFont val="Tahoma"/>
            <charset val="1"/>
          </rPr>
          <t>Froio, Zach:</t>
        </r>
        <r>
          <rPr>
            <sz val="9"/>
            <color indexed="81"/>
            <rFont val="Tahoma"/>
            <charset val="1"/>
          </rPr>
          <t xml:space="preserve">
Updated per IL TRM v8 p. 171 (Unknown building type)</t>
        </r>
      </text>
    </comment>
    <comment ref="W306" authorId="1" shapeId="0" xr:uid="{ADBC9CA3-31E7-4904-B39F-E0332B5F8FC7}">
      <text>
        <r>
          <rPr>
            <b/>
            <sz val="9"/>
            <color indexed="81"/>
            <rFont val="Tahoma"/>
            <charset val="1"/>
          </rPr>
          <t>Froio, Zach:</t>
        </r>
        <r>
          <rPr>
            <sz val="9"/>
            <color indexed="81"/>
            <rFont val="Tahoma"/>
            <charset val="1"/>
          </rPr>
          <t xml:space="preserve">
Updated per IL TRM v8 p. 171 (Unknown building type)</t>
        </r>
      </text>
    </comment>
    <comment ref="AC309" authorId="1" shapeId="0" xr:uid="{1D7B9CC9-FBCE-40D1-9D7F-E7280CFBDDFE}">
      <text>
        <r>
          <rPr>
            <b/>
            <sz val="9"/>
            <color indexed="81"/>
            <rFont val="Tahoma"/>
            <charset val="1"/>
          </rPr>
          <t>Froio, Zach:</t>
        </r>
        <r>
          <rPr>
            <sz val="9"/>
            <color indexed="81"/>
            <rFont val="Tahoma"/>
            <charset val="1"/>
          </rPr>
          <t xml:space="preserve">
Updated per IL TRM v8 p. 171 (MF - High Rise, MF - Mid Rise average)</t>
        </r>
      </text>
    </comment>
    <comment ref="AE309" authorId="1" shapeId="0" xr:uid="{09B52119-7EAE-4A2D-AD05-69FA3FCF5A81}">
      <text>
        <r>
          <rPr>
            <b/>
            <sz val="9"/>
            <color indexed="81"/>
            <rFont val="Tahoma"/>
            <charset val="1"/>
          </rPr>
          <t>Froio, Zach:</t>
        </r>
        <r>
          <rPr>
            <sz val="9"/>
            <color indexed="81"/>
            <rFont val="Tahoma"/>
            <charset val="1"/>
          </rPr>
          <t xml:space="preserve">
Updated per IL TRM v8 p. 171 (Unknown building type)</t>
        </r>
      </text>
    </comment>
    <comment ref="X327" authorId="1" shapeId="0" xr:uid="{D88751DB-735C-4747-9D38-3C822918CE1B}">
      <text>
        <r>
          <rPr>
            <b/>
            <sz val="9"/>
            <color indexed="81"/>
            <rFont val="Tahoma"/>
            <charset val="1"/>
          </rPr>
          <t>Froio, Zach:</t>
        </r>
        <r>
          <rPr>
            <sz val="9"/>
            <color indexed="81"/>
            <rFont val="Tahoma"/>
            <charset val="1"/>
          </rPr>
          <t xml:space="preserve">
Updated per IL TRM v8 p. 87</t>
        </r>
      </text>
    </comment>
    <comment ref="Z327" authorId="1" shapeId="0" xr:uid="{4E1DAE51-D420-4194-9F99-AFF11DFA8F2F}">
      <text>
        <r>
          <rPr>
            <b/>
            <sz val="9"/>
            <color indexed="81"/>
            <rFont val="Tahoma"/>
            <charset val="1"/>
          </rPr>
          <t>Froio, Zach:</t>
        </r>
        <r>
          <rPr>
            <sz val="9"/>
            <color indexed="81"/>
            <rFont val="Tahoma"/>
            <charset val="1"/>
          </rPr>
          <t xml:space="preserve">
Updated per IL TRM v8 p. 90</t>
        </r>
      </text>
    </comment>
    <comment ref="AA327" authorId="2" shapeId="0" xr:uid="{00000000-0006-0000-0200-00001F000000}">
      <text>
        <r>
          <rPr>
            <b/>
            <sz val="9"/>
            <color indexed="81"/>
            <rFont val="Tahoma"/>
            <family val="2"/>
          </rPr>
          <t>Leah Maggio:</t>
        </r>
        <r>
          <rPr>
            <sz val="9"/>
            <color indexed="81"/>
            <rFont val="Tahoma"/>
            <family val="2"/>
          </rPr>
          <t xml:space="preserve">
L_base = L_low</t>
        </r>
      </text>
    </comment>
    <comment ref="AH327" authorId="1" shapeId="0" xr:uid="{A9808D89-43FF-492D-9CB5-F12E8C0432E9}">
      <text>
        <r>
          <rPr>
            <b/>
            <sz val="9"/>
            <color indexed="81"/>
            <rFont val="Tahoma"/>
            <charset val="1"/>
          </rPr>
          <t>Froio, Zach:</t>
        </r>
        <r>
          <rPr>
            <sz val="9"/>
            <color indexed="81"/>
            <rFont val="Tahoma"/>
            <charset val="1"/>
          </rPr>
          <t xml:space="preserve">
Previously entered as 51.4, but corrected to be 54.1 per the TRM.</t>
        </r>
      </text>
    </comment>
    <comment ref="W328" authorId="1" shapeId="0" xr:uid="{B544C040-B88A-4E18-AF7A-5FAE6834F4CA}">
      <text>
        <r>
          <rPr>
            <b/>
            <sz val="9"/>
            <color indexed="81"/>
            <rFont val="Tahoma"/>
            <charset val="1"/>
          </rPr>
          <t>Froio, Zach:</t>
        </r>
        <r>
          <rPr>
            <sz val="9"/>
            <color indexed="81"/>
            <rFont val="Tahoma"/>
            <charset val="1"/>
          </rPr>
          <t xml:space="preserve">
Updated per IL TRM v8 p. 171 (Unknown building type)</t>
        </r>
      </text>
    </comment>
    <comment ref="AC334" authorId="1" shapeId="0" xr:uid="{60B432F1-43DC-4A33-8DE8-22AE178DA34D}">
      <text>
        <r>
          <rPr>
            <b/>
            <sz val="9"/>
            <color indexed="81"/>
            <rFont val="Tahoma"/>
            <family val="2"/>
          </rPr>
          <t>Froio, Zach:</t>
        </r>
        <r>
          <rPr>
            <sz val="9"/>
            <color indexed="81"/>
            <rFont val="Tahoma"/>
            <family val="2"/>
          </rPr>
          <t xml:space="preserve">
Updated per IL TRM v7 p. 92</t>
        </r>
      </text>
    </comment>
    <comment ref="AE334" authorId="1" shapeId="0" xr:uid="{78F3FE3A-51A9-4691-B8FE-5424897519E2}">
      <text>
        <r>
          <rPr>
            <b/>
            <sz val="9"/>
            <color indexed="81"/>
            <rFont val="Tahoma"/>
            <family val="2"/>
          </rPr>
          <t>Froio, Zach:</t>
        </r>
        <r>
          <rPr>
            <sz val="9"/>
            <color indexed="81"/>
            <rFont val="Tahoma"/>
            <family val="2"/>
          </rPr>
          <t xml:space="preserve">
Assumed same UEF rating as former EF rating</t>
        </r>
      </text>
    </comment>
    <comment ref="I338" authorId="0" shapeId="0" xr:uid="{7CA4FD2C-5064-4BE2-AC7D-F878976884F1}">
      <text>
        <r>
          <rPr>
            <b/>
            <sz val="9"/>
            <color indexed="81"/>
            <rFont val="Tahoma"/>
            <family val="2"/>
          </rPr>
          <t>Nielsen, Victoria:</t>
        </r>
        <r>
          <rPr>
            <sz val="9"/>
            <color indexed="81"/>
            <rFont val="Tahoma"/>
            <family val="2"/>
          </rPr>
          <t xml:space="preserve">
Changed measure life from 15-12 yrs
</t>
        </r>
      </text>
    </comment>
    <comment ref="I371" authorId="0" shapeId="0" xr:uid="{F0AD1DE2-FF58-4CA8-995C-4D13F789AC16}">
      <text>
        <r>
          <rPr>
            <b/>
            <sz val="9"/>
            <color indexed="81"/>
            <rFont val="Tahoma"/>
            <family val="2"/>
          </rPr>
          <t>Nielsen, Victoria:</t>
        </r>
        <r>
          <rPr>
            <sz val="9"/>
            <color indexed="81"/>
            <rFont val="Tahoma"/>
            <family val="2"/>
          </rPr>
          <t xml:space="preserve">
Changed measure life from 9 to 10 years. IL TRM V7 5.5.4 pg 184
</t>
        </r>
      </text>
    </comment>
    <comment ref="W371" authorId="1" shapeId="0" xr:uid="{A4FCB6F7-E07E-4745-87D9-72A12057BFA8}">
      <text>
        <r>
          <rPr>
            <b/>
            <sz val="9"/>
            <color indexed="81"/>
            <rFont val="Tahoma"/>
            <family val="2"/>
          </rPr>
          <t>Froio, Zach:</t>
        </r>
        <r>
          <rPr>
            <sz val="9"/>
            <color indexed="81"/>
            <rFont val="Tahoma"/>
            <family val="2"/>
          </rPr>
          <t xml:space="preserve">
Updated per IL TRM v7 p. 185</t>
        </r>
      </text>
    </comment>
    <comment ref="AA371" authorId="2" shapeId="0" xr:uid="{00000000-0006-0000-0200-000020000000}">
      <text>
        <r>
          <rPr>
            <b/>
            <sz val="9"/>
            <color indexed="81"/>
            <rFont val="Tahoma"/>
            <family val="2"/>
          </rPr>
          <t>Leah Maggio:</t>
        </r>
        <r>
          <rPr>
            <sz val="9"/>
            <color indexed="81"/>
            <rFont val="Tahoma"/>
            <family val="2"/>
          </rPr>
          <t xml:space="preserve">
L_base = L_low</t>
        </r>
      </text>
    </comment>
    <comment ref="I372" authorId="0" shapeId="0" xr:uid="{5E41CBE9-2BC5-4B6C-A9BA-9A7E8A2627EC}">
      <text>
        <r>
          <rPr>
            <b/>
            <sz val="9"/>
            <color indexed="81"/>
            <rFont val="Tahoma"/>
            <family val="2"/>
          </rPr>
          <t>Nielsen, Victoria:</t>
        </r>
        <r>
          <rPr>
            <sz val="9"/>
            <color indexed="81"/>
            <rFont val="Tahoma"/>
            <family val="2"/>
          </rPr>
          <t xml:space="preserve">
Changed measure life from 9 to 10 years. IL TRM V7 5.5.4 pg 184
</t>
        </r>
      </text>
    </comment>
    <comment ref="W372" authorId="1" shapeId="0" xr:uid="{654ADF87-5396-4E96-8C86-C3E8F26D457B}">
      <text>
        <r>
          <rPr>
            <b/>
            <sz val="9"/>
            <color indexed="81"/>
            <rFont val="Tahoma"/>
            <family val="2"/>
          </rPr>
          <t>Froio, Zach:</t>
        </r>
        <r>
          <rPr>
            <sz val="9"/>
            <color indexed="81"/>
            <rFont val="Tahoma"/>
            <family val="2"/>
          </rPr>
          <t xml:space="preserve">
Updated per IL TRM v7 p. 185</t>
        </r>
      </text>
    </comment>
    <comment ref="AA372" authorId="2" shapeId="0" xr:uid="{00000000-0006-0000-0200-000021000000}">
      <text>
        <r>
          <rPr>
            <b/>
            <sz val="9"/>
            <color indexed="81"/>
            <rFont val="Tahoma"/>
            <family val="2"/>
          </rPr>
          <t>Leah Maggio:</t>
        </r>
        <r>
          <rPr>
            <sz val="9"/>
            <color indexed="81"/>
            <rFont val="Tahoma"/>
            <family val="2"/>
          </rPr>
          <t xml:space="preserve">
L_base = L_low</t>
        </r>
      </text>
    </comment>
    <comment ref="W373" authorId="1" shapeId="0" xr:uid="{D73E0514-8B14-4927-A536-9902972614ED}">
      <text>
        <r>
          <rPr>
            <b/>
            <sz val="9"/>
            <color indexed="81"/>
            <rFont val="Tahoma"/>
            <family val="2"/>
          </rPr>
          <t>Froio, Zach:</t>
        </r>
        <r>
          <rPr>
            <sz val="9"/>
            <color indexed="81"/>
            <rFont val="Tahoma"/>
            <family val="2"/>
          </rPr>
          <t xml:space="preserve">
Updated per IL TRM v7 p. 194</t>
        </r>
      </text>
    </comment>
    <comment ref="AA373" authorId="2" shapeId="0" xr:uid="{00000000-0006-0000-0200-000022000000}">
      <text>
        <r>
          <rPr>
            <b/>
            <sz val="9"/>
            <color indexed="81"/>
            <rFont val="Tahoma"/>
            <family val="2"/>
          </rPr>
          <t>Leah Maggio:</t>
        </r>
        <r>
          <rPr>
            <sz val="9"/>
            <color indexed="81"/>
            <rFont val="Tahoma"/>
            <family val="2"/>
          </rPr>
          <t xml:space="preserve">
L_base = L_low</t>
        </r>
      </text>
    </comment>
    <comment ref="AI373" authorId="1" shapeId="0" xr:uid="{0FE006CD-5AB5-43E0-BB05-C123396C5690}">
      <text>
        <r>
          <rPr>
            <b/>
            <sz val="9"/>
            <color indexed="81"/>
            <rFont val="Tahoma"/>
            <charset val="1"/>
          </rPr>
          <t>Froio, Zach:</t>
        </r>
        <r>
          <rPr>
            <sz val="9"/>
            <color indexed="81"/>
            <rFont val="Tahoma"/>
            <charset val="1"/>
          </rPr>
          <t xml:space="preserve">
Updated per IL TRM v8 p. 207</t>
        </r>
      </text>
    </comment>
    <comment ref="V374" authorId="1" shapeId="0" xr:uid="{EC76C11C-4E67-456B-971A-D8CB874797AC}">
      <text>
        <r>
          <rPr>
            <b/>
            <sz val="9"/>
            <color indexed="81"/>
            <rFont val="Tahoma"/>
            <family val="2"/>
          </rPr>
          <t>Froio, Zach:</t>
        </r>
        <r>
          <rPr>
            <sz val="9"/>
            <color indexed="81"/>
            <rFont val="Tahoma"/>
            <family val="2"/>
          </rPr>
          <t xml:space="preserve">
Updated per IL TRM v7 p. 173</t>
        </r>
      </text>
    </comment>
    <comment ref="I376" authorId="0" shapeId="0" xr:uid="{6D8F85BA-E6E6-4255-8D04-45CA988819CF}">
      <text>
        <r>
          <rPr>
            <b/>
            <sz val="9"/>
            <color indexed="81"/>
            <rFont val="Tahoma"/>
            <family val="2"/>
          </rPr>
          <t>Nielsen, Victoria:</t>
        </r>
        <r>
          <rPr>
            <sz val="9"/>
            <color indexed="81"/>
            <rFont val="Tahoma"/>
            <family val="2"/>
          </rPr>
          <t xml:space="preserve">
Changed from 5 to 8
</t>
        </r>
      </text>
    </comment>
    <comment ref="I377" authorId="0" shapeId="0" xr:uid="{A62A6416-FCEA-484E-B17C-3D26F8A99B09}">
      <text>
        <r>
          <rPr>
            <b/>
            <sz val="9"/>
            <color indexed="81"/>
            <rFont val="Tahoma"/>
            <family val="2"/>
          </rPr>
          <t>Nielsen, Victoria:</t>
        </r>
        <r>
          <rPr>
            <sz val="9"/>
            <color indexed="81"/>
            <rFont val="Tahoma"/>
            <family val="2"/>
          </rPr>
          <t xml:space="preserve">
Changed from 5 to 8
</t>
        </r>
      </text>
    </comment>
    <comment ref="I378" authorId="0" shapeId="0" xr:uid="{8BDAFC49-908B-46AB-8EDE-FB7CBB50D219}">
      <text>
        <r>
          <rPr>
            <b/>
            <sz val="9"/>
            <color indexed="81"/>
            <rFont val="Tahoma"/>
            <family val="2"/>
          </rPr>
          <t>Nielsen, Victoria:</t>
        </r>
        <r>
          <rPr>
            <sz val="9"/>
            <color indexed="81"/>
            <rFont val="Tahoma"/>
            <family val="2"/>
          </rPr>
          <t xml:space="preserve">
Changed from 10 to 11. IL TRM V 7 pg 160
</t>
        </r>
      </text>
    </comment>
    <comment ref="I379" authorId="0" shapeId="0" xr:uid="{8DA2975E-E613-4149-BAC4-CD0537B63931}">
      <text>
        <r>
          <rPr>
            <b/>
            <sz val="9"/>
            <color indexed="81"/>
            <rFont val="Tahoma"/>
            <family val="2"/>
          </rPr>
          <t>Nielsen, Victoria:</t>
        </r>
        <r>
          <rPr>
            <sz val="9"/>
            <color indexed="81"/>
            <rFont val="Tahoma"/>
            <family val="2"/>
          </rPr>
          <t xml:space="preserve">
Changed from 10 to 11. IL TRM V 7 pg 160
</t>
        </r>
      </text>
    </comment>
    <comment ref="I380" authorId="0" shapeId="0" xr:uid="{111FB689-59E3-4C9C-8006-82B4852FF06E}">
      <text>
        <r>
          <rPr>
            <b/>
            <sz val="9"/>
            <color indexed="81"/>
            <rFont val="Tahoma"/>
            <family val="2"/>
          </rPr>
          <t>Nielsen, Victoria:</t>
        </r>
        <r>
          <rPr>
            <sz val="9"/>
            <color indexed="81"/>
            <rFont val="Tahoma"/>
            <family val="2"/>
          </rPr>
          <t xml:space="preserve">
Changed from 10 to 11. IL TRM V 7 pg 160
</t>
        </r>
      </text>
    </comment>
    <comment ref="I381" authorId="0" shapeId="0" xr:uid="{99EA0B0D-E3FF-46A4-A44F-6171C7BEBCE2}">
      <text>
        <r>
          <rPr>
            <b/>
            <sz val="9"/>
            <color indexed="81"/>
            <rFont val="Tahoma"/>
            <family val="2"/>
          </rPr>
          <t>Nielsen, Victoria:</t>
        </r>
        <r>
          <rPr>
            <sz val="9"/>
            <color indexed="81"/>
            <rFont val="Tahoma"/>
            <family val="2"/>
          </rPr>
          <t xml:space="preserve">
Changed from 10 to 11. IL TRM V 7 pg 160
</t>
        </r>
      </text>
    </comment>
    <comment ref="I383" authorId="0" shapeId="0" xr:uid="{3EF5FD90-31BD-4FF1-8136-57DF66760EC0}">
      <text>
        <r>
          <rPr>
            <b/>
            <sz val="9"/>
            <color indexed="81"/>
            <rFont val="Tahoma"/>
            <family val="2"/>
          </rPr>
          <t>Nielsen, Victoria:</t>
        </r>
        <r>
          <rPr>
            <sz val="9"/>
            <color indexed="81"/>
            <rFont val="Tahoma"/>
            <family val="2"/>
          </rPr>
          <t xml:space="preserve">
Increased from 15 to 20 years. Pg 295
</t>
        </r>
      </text>
    </comment>
    <comment ref="V383" authorId="1" shapeId="0" xr:uid="{5037E7B0-1022-4177-B8E5-128974E88948}">
      <text>
        <r>
          <rPr>
            <b/>
            <sz val="9"/>
            <color indexed="81"/>
            <rFont val="Tahoma"/>
            <family val="2"/>
          </rPr>
          <t>Froio, Zach:</t>
        </r>
        <r>
          <rPr>
            <sz val="9"/>
            <color indexed="81"/>
            <rFont val="Tahoma"/>
            <family val="2"/>
          </rPr>
          <t xml:space="preserve">
Updated per IL TRM v8 p. 293</t>
        </r>
      </text>
    </comment>
    <comment ref="X383" authorId="3" shapeId="0" xr:uid="{00000000-0006-0000-0200-000023000000}">
      <text>
        <r>
          <rPr>
            <b/>
            <sz val="9"/>
            <color indexed="81"/>
            <rFont val="Tahoma"/>
            <family val="2"/>
          </rPr>
          <t>Maxwell Weiland:</t>
        </r>
        <r>
          <rPr>
            <sz val="9"/>
            <color indexed="81"/>
            <rFont val="Tahoma"/>
            <family val="2"/>
          </rPr>
          <t xml:space="preserve">
Changed from 22.2 to 23.9 based on 1 story in Chicago.</t>
        </r>
      </text>
    </comment>
    <comment ref="Z383" authorId="3" shapeId="0" xr:uid="{00000000-0006-0000-0200-000024000000}">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3" shapeId="0" xr:uid="{00000000-0006-0000-0200-000025000000}">
      <text>
        <r>
          <rPr>
            <b/>
            <sz val="9"/>
            <color indexed="81"/>
            <rFont val="Tahoma"/>
            <family val="2"/>
          </rPr>
          <t>Maxwell Weiland:</t>
        </r>
        <r>
          <rPr>
            <sz val="9"/>
            <color indexed="81"/>
            <rFont val="Tahoma"/>
            <family val="2"/>
          </rPr>
          <t xml:space="preserve">
Changed from 70% to 72%</t>
        </r>
      </text>
    </comment>
    <comment ref="AC383" authorId="1" shapeId="0" xr:uid="{CBC28F8E-8E97-40E8-8C93-F9017BC10D08}">
      <text>
        <r>
          <rPr>
            <b/>
            <sz val="9"/>
            <color indexed="81"/>
            <rFont val="Tahoma"/>
            <family val="2"/>
          </rPr>
          <t>Froio, Zach:</t>
        </r>
        <r>
          <rPr>
            <sz val="9"/>
            <color indexed="81"/>
            <rFont val="Tahoma"/>
            <family val="2"/>
          </rPr>
          <t xml:space="preserve">
Added per IL TRM v7 p. 303</t>
        </r>
      </text>
    </comment>
    <comment ref="AE383" authorId="1" shapeId="0" xr:uid="{627D1C41-D01A-4EF1-9319-3CEB36A40660}">
      <text>
        <r>
          <rPr>
            <b/>
            <sz val="9"/>
            <color indexed="81"/>
            <rFont val="Tahoma"/>
            <charset val="1"/>
          </rPr>
          <t>Froio, Zach:</t>
        </r>
        <r>
          <rPr>
            <sz val="9"/>
            <color indexed="81"/>
            <rFont val="Tahoma"/>
            <charset val="1"/>
          </rPr>
          <t xml:space="preserve">
Added per IL TRM v8 p. 293</t>
        </r>
      </text>
    </comment>
    <comment ref="I384" authorId="0" shapeId="0" xr:uid="{3E9D324F-9A9D-438F-893A-6D5E06782A71}">
      <text>
        <r>
          <rPr>
            <b/>
            <sz val="9"/>
            <color indexed="81"/>
            <rFont val="Tahoma"/>
            <family val="2"/>
          </rPr>
          <t>Nielsen, Victoria:</t>
        </r>
        <r>
          <rPr>
            <sz val="9"/>
            <color indexed="81"/>
            <rFont val="Tahoma"/>
            <family val="2"/>
          </rPr>
          <t xml:space="preserve">
Decreased from 25 to 20, pg 320
</t>
        </r>
      </text>
    </comment>
    <comment ref="N384" authorId="1" shapeId="0" xr:uid="{0F1E994D-35AF-4CEE-B563-894C027DB1E1}">
      <text>
        <r>
          <rPr>
            <b/>
            <sz val="9"/>
            <color indexed="81"/>
            <rFont val="Tahoma"/>
            <charset val="1"/>
          </rPr>
          <t>Froio, Zach:</t>
        </r>
        <r>
          <rPr>
            <sz val="9"/>
            <color indexed="81"/>
            <rFont val="Tahoma"/>
            <charset val="1"/>
          </rPr>
          <t xml:space="preserve">
Updated per IL TRM v8 p. 328</t>
        </r>
      </text>
    </comment>
    <comment ref="T384" authorId="1" shapeId="0" xr:uid="{0804A368-C710-4CC4-A84B-146C5A27D8C6}">
      <text>
        <r>
          <rPr>
            <b/>
            <sz val="9"/>
            <color indexed="81"/>
            <rFont val="Tahoma"/>
            <family val="2"/>
          </rPr>
          <t>Froio, Zach:</t>
        </r>
        <r>
          <rPr>
            <sz val="9"/>
            <color indexed="81"/>
            <rFont val="Tahoma"/>
            <family val="2"/>
          </rPr>
          <t xml:space="preserve">
Updated per IL TRM v7 p. 327</t>
        </r>
      </text>
    </comment>
    <comment ref="V384" authorId="1" shapeId="0" xr:uid="{E8B0D44B-18DC-4B01-8A1C-D46D70B12007}">
      <text>
        <r>
          <rPr>
            <b/>
            <sz val="9"/>
            <color indexed="81"/>
            <rFont val="Tahoma"/>
            <family val="2"/>
          </rPr>
          <t>Froio, Zach:</t>
        </r>
        <r>
          <rPr>
            <sz val="9"/>
            <color indexed="81"/>
            <rFont val="Tahoma"/>
            <family val="2"/>
          </rPr>
          <t xml:space="preserve">
Updated per IL TRM v8 p. 328</t>
        </r>
      </text>
    </comment>
    <comment ref="AC384" authorId="1" shapeId="0" xr:uid="{17762342-6553-47FF-A1DD-8A3B0A8B9699}">
      <text>
        <r>
          <rPr>
            <b/>
            <sz val="9"/>
            <color indexed="81"/>
            <rFont val="Tahoma"/>
            <family val="2"/>
          </rPr>
          <t>Froio, Zach:</t>
        </r>
        <r>
          <rPr>
            <sz val="9"/>
            <color indexed="81"/>
            <rFont val="Tahoma"/>
            <family val="2"/>
          </rPr>
          <t xml:space="preserve">
Updated per IL TRM v7 p. 333</t>
        </r>
      </text>
    </comment>
    <comment ref="AH384" authorId="3" shapeId="0" xr:uid="{00000000-0006-0000-0200-000027000000}">
      <text>
        <r>
          <rPr>
            <b/>
            <sz val="9"/>
            <color indexed="81"/>
            <rFont val="Tahoma"/>
            <family val="2"/>
          </rPr>
          <t>Maxwell Weiland:</t>
        </r>
        <r>
          <rPr>
            <sz val="9"/>
            <color indexed="81"/>
            <rFont val="Tahoma"/>
            <family val="2"/>
          </rPr>
          <t xml:space="preserve">
Changed from 70% to 72%</t>
        </r>
      </text>
    </comment>
    <comment ref="AI384" authorId="1" shapeId="0" xr:uid="{5B0DCB83-3002-486E-92D5-FBBD017043B1}">
      <text>
        <r>
          <rPr>
            <b/>
            <sz val="9"/>
            <color indexed="81"/>
            <rFont val="Tahoma"/>
            <charset val="1"/>
          </rPr>
          <t>Froio, Zach:</t>
        </r>
        <r>
          <rPr>
            <sz val="9"/>
            <color indexed="81"/>
            <rFont val="Tahoma"/>
            <charset val="1"/>
          </rPr>
          <t xml:space="preserve">
Added per IL TRM v8 p. 329</t>
        </r>
      </text>
    </comment>
    <comment ref="AK384" authorId="1" shapeId="0" xr:uid="{CC6C1210-99C6-472C-92B6-A9622F1892AB}">
      <text>
        <r>
          <rPr>
            <b/>
            <sz val="9"/>
            <color indexed="81"/>
            <rFont val="Tahoma"/>
            <charset val="1"/>
          </rPr>
          <t>Froio, Zach:</t>
        </r>
        <r>
          <rPr>
            <sz val="9"/>
            <color indexed="81"/>
            <rFont val="Tahoma"/>
            <charset val="1"/>
          </rPr>
          <t xml:space="preserve">
Added per IL TRM v8 p. 329</t>
        </r>
      </text>
    </comment>
    <comment ref="I385" authorId="0" shapeId="0" xr:uid="{3B3AF228-EF0A-43AC-B2E1-EB5D53BBAE31}">
      <text>
        <r>
          <rPr>
            <b/>
            <sz val="9"/>
            <color indexed="81"/>
            <rFont val="Tahoma"/>
            <family val="2"/>
          </rPr>
          <t>Nielsen, Victoria:</t>
        </r>
        <r>
          <rPr>
            <sz val="9"/>
            <color indexed="81"/>
            <rFont val="Tahoma"/>
            <family val="2"/>
          </rPr>
          <t xml:space="preserve">
Decreased from 25 to 20 years. Pg 320
</t>
        </r>
      </text>
    </comment>
    <comment ref="V385" authorId="1" shapeId="0" xr:uid="{45AABEC0-BA94-4B54-B936-0959D7876103}">
      <text>
        <r>
          <rPr>
            <b/>
            <sz val="9"/>
            <color indexed="81"/>
            <rFont val="Tahoma"/>
            <family val="2"/>
          </rPr>
          <t>Froio, Zach:</t>
        </r>
        <r>
          <rPr>
            <sz val="9"/>
            <color indexed="81"/>
            <rFont val="Tahoma"/>
            <family val="2"/>
          </rPr>
          <t xml:space="preserve">
Updated per IL TRM v7 p. 325</t>
        </r>
      </text>
    </comment>
    <comment ref="AD385" authorId="3" shapeId="0" xr:uid="{00000000-0006-0000-0200-000028000000}">
      <text>
        <r>
          <rPr>
            <b/>
            <sz val="9"/>
            <color indexed="81"/>
            <rFont val="Tahoma"/>
            <family val="2"/>
          </rPr>
          <t>Maxwell Weiland:</t>
        </r>
        <r>
          <rPr>
            <sz val="9"/>
            <color indexed="81"/>
            <rFont val="Tahoma"/>
            <family val="2"/>
          </rPr>
          <t xml:space="preserve">
Changed from 74% to 60%</t>
        </r>
      </text>
    </comment>
    <comment ref="AD386" authorId="3" shapeId="0" xr:uid="{00000000-0006-0000-0200-000029000000}">
      <text>
        <r>
          <rPr>
            <b/>
            <sz val="9"/>
            <color indexed="81"/>
            <rFont val="Tahoma"/>
            <family val="2"/>
          </rPr>
          <t>Maxwell Weiland:</t>
        </r>
        <r>
          <rPr>
            <sz val="9"/>
            <color indexed="81"/>
            <rFont val="Tahoma"/>
            <family val="2"/>
          </rPr>
          <t xml:space="preserve">
Changed from 74% to 60%</t>
        </r>
      </text>
    </comment>
    <comment ref="T387" authorId="1" shapeId="0" xr:uid="{3229726D-B08B-4C92-9E16-98E0BA6B4917}">
      <text>
        <r>
          <rPr>
            <b/>
            <sz val="9"/>
            <color indexed="81"/>
            <rFont val="Tahoma"/>
            <family val="2"/>
          </rPr>
          <t>Froio, Zach:</t>
        </r>
        <r>
          <rPr>
            <sz val="9"/>
            <color indexed="81"/>
            <rFont val="Tahoma"/>
            <family val="2"/>
          </rPr>
          <t xml:space="preserve">
Updated per IL TRM v7 p. 334</t>
        </r>
      </text>
    </comment>
    <comment ref="V387" authorId="1" shapeId="0" xr:uid="{8EE0721A-4DA8-4300-B65E-8BAF61442718}">
      <text>
        <r>
          <rPr>
            <b/>
            <sz val="9"/>
            <color indexed="81"/>
            <rFont val="Tahoma"/>
            <family val="2"/>
          </rPr>
          <t>Froio, Zach:</t>
        </r>
        <r>
          <rPr>
            <sz val="9"/>
            <color indexed="81"/>
            <rFont val="Tahoma"/>
            <family val="2"/>
          </rPr>
          <t xml:space="preserve">
Updated per IL TRM v7 p. 339</t>
        </r>
      </text>
    </comment>
    <comment ref="AA387" authorId="1" shapeId="0" xr:uid="{C33890DD-4A75-4E46-9311-9020E3D04A27}">
      <text>
        <r>
          <rPr>
            <b/>
            <sz val="9"/>
            <color indexed="81"/>
            <rFont val="Tahoma"/>
            <family val="2"/>
          </rPr>
          <t>Froio, Zach:</t>
        </r>
        <r>
          <rPr>
            <sz val="9"/>
            <color indexed="81"/>
            <rFont val="Tahoma"/>
            <family val="2"/>
          </rPr>
          <t xml:space="preserve">
Updated per IL TRM v7 p. 335</t>
        </r>
      </text>
    </comment>
    <comment ref="AD387" authorId="3" shapeId="0" xr:uid="{00000000-0006-0000-0200-00002A000000}">
      <text>
        <r>
          <rPr>
            <b/>
            <sz val="9"/>
            <color indexed="81"/>
            <rFont val="Tahoma"/>
            <family val="2"/>
          </rPr>
          <t>Maxwell Weiland:</t>
        </r>
        <r>
          <rPr>
            <sz val="9"/>
            <color indexed="81"/>
            <rFont val="Tahoma"/>
            <family val="2"/>
          </rPr>
          <t xml:space="preserve">
Changed from 74% to 60%</t>
        </r>
      </text>
    </comment>
    <comment ref="V388" authorId="1" shapeId="0" xr:uid="{46F96D21-5F03-49CA-A305-34C40306651E}">
      <text>
        <r>
          <rPr>
            <b/>
            <sz val="9"/>
            <color indexed="81"/>
            <rFont val="Tahoma"/>
            <family val="2"/>
          </rPr>
          <t>Froio, Zach:</t>
        </r>
        <r>
          <rPr>
            <sz val="9"/>
            <color indexed="81"/>
            <rFont val="Tahoma"/>
            <family val="2"/>
          </rPr>
          <t xml:space="preserve">
Updated per IL TRM v7 p. 175</t>
        </r>
      </text>
    </comment>
    <comment ref="V389" authorId="1" shapeId="0" xr:uid="{8BEA1468-EB9C-48FA-A7E8-6041C471748B}">
      <text>
        <r>
          <rPr>
            <b/>
            <sz val="9"/>
            <color indexed="81"/>
            <rFont val="Tahoma"/>
            <family val="2"/>
          </rPr>
          <t>Froio, Zach:</t>
        </r>
        <r>
          <rPr>
            <sz val="9"/>
            <color indexed="81"/>
            <rFont val="Tahoma"/>
            <family val="2"/>
          </rPr>
          <t xml:space="preserve">
Updated per IL TRM v7 p. 101</t>
        </r>
      </text>
    </comment>
    <comment ref="V390" authorId="1" shapeId="0" xr:uid="{2BFBC5F3-D6CE-45DB-804E-2431A34510AD}">
      <text>
        <r>
          <rPr>
            <b/>
            <sz val="9"/>
            <color indexed="81"/>
            <rFont val="Tahoma"/>
            <family val="2"/>
          </rPr>
          <t>Froio, Zach:</t>
        </r>
        <r>
          <rPr>
            <sz val="9"/>
            <color indexed="81"/>
            <rFont val="Tahoma"/>
            <family val="2"/>
          </rPr>
          <t xml:space="preserve">
Updated per IL TRM v7 p. 105</t>
        </r>
      </text>
    </comment>
    <comment ref="I393" authorId="0" shapeId="0" xr:uid="{645BCA02-72E9-481D-8A75-FE538327A92E}">
      <text>
        <r>
          <rPr>
            <b/>
            <sz val="9"/>
            <color indexed="81"/>
            <rFont val="Tahoma"/>
            <family val="2"/>
          </rPr>
          <t>Nielsen, Victoria:</t>
        </r>
        <r>
          <rPr>
            <sz val="9"/>
            <color indexed="81"/>
            <rFont val="Tahoma"/>
            <family val="2"/>
          </rPr>
          <t xml:space="preserve">
Changed measure life from 9 to 10 years. IL TRM V7 5.5.4 pg 184
</t>
        </r>
      </text>
    </comment>
    <comment ref="W393" authorId="1" shapeId="0" xr:uid="{46C8907E-3F90-4003-A34F-24BEBE597B36}">
      <text>
        <r>
          <rPr>
            <b/>
            <sz val="9"/>
            <color indexed="81"/>
            <rFont val="Tahoma"/>
            <family val="2"/>
          </rPr>
          <t>Froio, Zach:</t>
        </r>
        <r>
          <rPr>
            <sz val="9"/>
            <color indexed="81"/>
            <rFont val="Tahoma"/>
            <family val="2"/>
          </rPr>
          <t xml:space="preserve">
Updated per IL TRM v7 p. 185</t>
        </r>
      </text>
    </comment>
    <comment ref="AA393" authorId="2" shapeId="0" xr:uid="{00000000-0006-0000-0200-00002B000000}">
      <text>
        <r>
          <rPr>
            <b/>
            <sz val="9"/>
            <color indexed="81"/>
            <rFont val="Tahoma"/>
            <family val="2"/>
          </rPr>
          <t>Leah Maggio:</t>
        </r>
        <r>
          <rPr>
            <sz val="9"/>
            <color indexed="81"/>
            <rFont val="Tahoma"/>
            <family val="2"/>
          </rPr>
          <t xml:space="preserve">
L_base = L_low</t>
        </r>
      </text>
    </comment>
    <comment ref="I394" authorId="0" shapeId="0" xr:uid="{A4D7FEE8-E6BA-45D7-B55E-0F4C7BFDC0B9}">
      <text>
        <r>
          <rPr>
            <b/>
            <sz val="9"/>
            <color indexed="81"/>
            <rFont val="Tahoma"/>
            <family val="2"/>
          </rPr>
          <t>Nielsen, Victoria:</t>
        </r>
        <r>
          <rPr>
            <sz val="9"/>
            <color indexed="81"/>
            <rFont val="Tahoma"/>
            <family val="2"/>
          </rPr>
          <t xml:space="preserve">
Changed measure life from 9 to 10 years. IL TRM V7 5.5.4 pg 184
</t>
        </r>
      </text>
    </comment>
    <comment ref="W394" authorId="1" shapeId="0" xr:uid="{2739DD11-AF89-470A-9D18-D12EF45B86DC}">
      <text>
        <r>
          <rPr>
            <b/>
            <sz val="9"/>
            <color indexed="81"/>
            <rFont val="Tahoma"/>
            <family val="2"/>
          </rPr>
          <t>Froio, Zach:</t>
        </r>
        <r>
          <rPr>
            <sz val="9"/>
            <color indexed="81"/>
            <rFont val="Tahoma"/>
            <family val="2"/>
          </rPr>
          <t xml:space="preserve">
Updated per IL TRM v7 p. 185</t>
        </r>
      </text>
    </comment>
    <comment ref="AA394" authorId="2" shapeId="0" xr:uid="{00000000-0006-0000-0200-00002C000000}">
      <text>
        <r>
          <rPr>
            <b/>
            <sz val="9"/>
            <color indexed="81"/>
            <rFont val="Tahoma"/>
            <family val="2"/>
          </rPr>
          <t>Leah Maggio:</t>
        </r>
        <r>
          <rPr>
            <sz val="9"/>
            <color indexed="81"/>
            <rFont val="Tahoma"/>
            <family val="2"/>
          </rPr>
          <t xml:space="preserve">
L_base = L_low</t>
        </r>
      </text>
    </comment>
    <comment ref="W395" authorId="1" shapeId="0" xr:uid="{B2300125-C7BB-43E8-B926-EDBC40B9D791}">
      <text>
        <r>
          <rPr>
            <b/>
            <sz val="9"/>
            <color indexed="81"/>
            <rFont val="Tahoma"/>
            <family val="2"/>
          </rPr>
          <t>Froio, Zach:</t>
        </r>
        <r>
          <rPr>
            <sz val="9"/>
            <color indexed="81"/>
            <rFont val="Tahoma"/>
            <family val="2"/>
          </rPr>
          <t xml:space="preserve">
Updated per IL TRM v7 p. 194</t>
        </r>
      </text>
    </comment>
    <comment ref="AA395" authorId="2" shapeId="0" xr:uid="{00000000-0006-0000-0200-00002D000000}">
      <text>
        <r>
          <rPr>
            <b/>
            <sz val="9"/>
            <color indexed="81"/>
            <rFont val="Tahoma"/>
            <family val="2"/>
          </rPr>
          <t>Leah Maggio:</t>
        </r>
        <r>
          <rPr>
            <sz val="9"/>
            <color indexed="81"/>
            <rFont val="Tahoma"/>
            <family val="2"/>
          </rPr>
          <t xml:space="preserve">
L_base = L_low</t>
        </r>
      </text>
    </comment>
    <comment ref="V396" authorId="1" shapeId="0" xr:uid="{51EC293A-096F-43CD-8B2E-AD00EB83282B}">
      <text>
        <r>
          <rPr>
            <b/>
            <sz val="9"/>
            <color indexed="81"/>
            <rFont val="Tahoma"/>
            <family val="2"/>
          </rPr>
          <t>Froio, Zach:</t>
        </r>
        <r>
          <rPr>
            <sz val="9"/>
            <color indexed="81"/>
            <rFont val="Tahoma"/>
            <family val="2"/>
          </rPr>
          <t xml:space="preserve">
Updated per IL TRM v7 p. 173</t>
        </r>
      </text>
    </comment>
    <comment ref="I397" authorId="0" shapeId="0" xr:uid="{0C881760-B980-4D91-94F3-3B041A77A367}">
      <text>
        <r>
          <rPr>
            <b/>
            <sz val="9"/>
            <color indexed="81"/>
            <rFont val="Tahoma"/>
            <family val="2"/>
          </rPr>
          <t>Nielsen, Victoria:</t>
        </r>
        <r>
          <rPr>
            <sz val="9"/>
            <color indexed="81"/>
            <rFont val="Tahoma"/>
            <family val="2"/>
          </rPr>
          <t xml:space="preserve">
Changed from 5 to 8
</t>
        </r>
      </text>
    </comment>
    <comment ref="I398" authorId="0" shapeId="0" xr:uid="{944308A5-2820-48B3-974A-F6FA6936A933}">
      <text>
        <r>
          <rPr>
            <b/>
            <sz val="9"/>
            <color indexed="81"/>
            <rFont val="Tahoma"/>
            <family val="2"/>
          </rPr>
          <t>Nielsen, Victoria:</t>
        </r>
        <r>
          <rPr>
            <sz val="9"/>
            <color indexed="81"/>
            <rFont val="Tahoma"/>
            <family val="2"/>
          </rPr>
          <t xml:space="preserve">
Changed from 5 to 8
</t>
        </r>
      </text>
    </comment>
    <comment ref="I399" authorId="0" shapeId="0" xr:uid="{569B9B6C-164D-421A-A49B-973D8374696B}">
      <text>
        <r>
          <rPr>
            <b/>
            <sz val="9"/>
            <color indexed="81"/>
            <rFont val="Tahoma"/>
            <family val="2"/>
          </rPr>
          <t>Nielsen, Victoria:</t>
        </r>
        <r>
          <rPr>
            <sz val="9"/>
            <color indexed="81"/>
            <rFont val="Tahoma"/>
            <family val="2"/>
          </rPr>
          <t xml:space="preserve">
Changed from 10 to 11. IL TRM V 7 pg 160
</t>
        </r>
      </text>
    </comment>
    <comment ref="I400" authorId="0" shapeId="0" xr:uid="{ACE09CDF-5927-4D09-8CED-DDBC022B4D16}">
      <text>
        <r>
          <rPr>
            <b/>
            <sz val="9"/>
            <color indexed="81"/>
            <rFont val="Tahoma"/>
            <family val="2"/>
          </rPr>
          <t>Nielsen, Victoria:</t>
        </r>
        <r>
          <rPr>
            <sz val="9"/>
            <color indexed="81"/>
            <rFont val="Tahoma"/>
            <family val="2"/>
          </rPr>
          <t xml:space="preserve">
Changed from 10 to 11. IL TRM V 7 pg 160
</t>
        </r>
      </text>
    </comment>
    <comment ref="I401" authorId="0" shapeId="0" xr:uid="{EE69685F-5228-4987-AD58-0A667B0D09F7}">
      <text>
        <r>
          <rPr>
            <b/>
            <sz val="9"/>
            <color indexed="81"/>
            <rFont val="Tahoma"/>
            <family val="2"/>
          </rPr>
          <t>Nielsen, Victoria:</t>
        </r>
        <r>
          <rPr>
            <sz val="9"/>
            <color indexed="81"/>
            <rFont val="Tahoma"/>
            <family val="2"/>
          </rPr>
          <t xml:space="preserve">
Changed from 10 to 11. IL TRM V 7 pg 160
</t>
        </r>
      </text>
    </comment>
    <comment ref="I402" authorId="0" shapeId="0" xr:uid="{50C8CBA1-09D4-46B5-AFB6-AAF6CE491FFE}">
      <text>
        <r>
          <rPr>
            <b/>
            <sz val="9"/>
            <color indexed="81"/>
            <rFont val="Tahoma"/>
            <family val="2"/>
          </rPr>
          <t>Nielsen, Victoria:</t>
        </r>
        <r>
          <rPr>
            <sz val="9"/>
            <color indexed="81"/>
            <rFont val="Tahoma"/>
            <family val="2"/>
          </rPr>
          <t xml:space="preserve">
Changed from 10 to 11. IL TRM V 7 pg 160
</t>
        </r>
      </text>
    </comment>
    <comment ref="I404" authorId="0" shapeId="0" xr:uid="{785FEC0E-F030-4B61-81BC-770941ABACF7}">
      <text>
        <r>
          <rPr>
            <b/>
            <sz val="9"/>
            <color indexed="81"/>
            <rFont val="Tahoma"/>
            <family val="2"/>
          </rPr>
          <t>Nielsen, Victoria:</t>
        </r>
        <r>
          <rPr>
            <sz val="9"/>
            <color indexed="81"/>
            <rFont val="Tahoma"/>
            <family val="2"/>
          </rPr>
          <t xml:space="preserve">
Increased from 15 to 20 years. Pg 295
</t>
        </r>
      </text>
    </comment>
    <comment ref="I405" authorId="0" shapeId="0" xr:uid="{7D680B1C-2EA5-44C2-B1E4-083362C57855}">
      <text>
        <r>
          <rPr>
            <b/>
            <sz val="9"/>
            <color indexed="81"/>
            <rFont val="Tahoma"/>
            <family val="2"/>
          </rPr>
          <t>Nielsen, Victoria:</t>
        </r>
        <r>
          <rPr>
            <sz val="9"/>
            <color indexed="81"/>
            <rFont val="Tahoma"/>
            <family val="2"/>
          </rPr>
          <t xml:space="preserve">
Combined measure - net change is 0. Air sealing = 5yr increase. Attic insulation is 5 yr decrease</t>
        </r>
      </text>
    </comment>
    <comment ref="I406" authorId="0" shapeId="0" xr:uid="{317F9E71-590F-48E5-AE8B-E0704AC27EE1}">
      <text>
        <r>
          <rPr>
            <b/>
            <sz val="9"/>
            <color indexed="81"/>
            <rFont val="Tahoma"/>
            <family val="2"/>
          </rPr>
          <t>Nielsen, Victoria:</t>
        </r>
        <r>
          <rPr>
            <sz val="9"/>
            <color indexed="81"/>
            <rFont val="Tahoma"/>
            <family val="2"/>
          </rPr>
          <t xml:space="preserve">
Decreased from 25 to 20 years. Pg 320
</t>
        </r>
      </text>
    </comment>
    <comment ref="V417" authorId="1" shapeId="0" xr:uid="{B2CC398A-FB01-4E6D-B5D0-8DE67ED0F37B}">
      <text>
        <r>
          <rPr>
            <b/>
            <sz val="9"/>
            <color indexed="81"/>
            <rFont val="Tahoma"/>
            <family val="2"/>
          </rPr>
          <t>Froio, Zach:</t>
        </r>
        <r>
          <rPr>
            <sz val="9"/>
            <color indexed="81"/>
            <rFont val="Tahoma"/>
            <family val="2"/>
          </rPr>
          <t xml:space="preserve">
Updated per IL TRM v7 p. 105</t>
        </r>
      </text>
    </comment>
    <comment ref="V418" authorId="1" shapeId="0" xr:uid="{8A1EE07C-1AF3-4275-90E8-8C14EDED9EAB}">
      <text>
        <r>
          <rPr>
            <b/>
            <sz val="9"/>
            <color indexed="81"/>
            <rFont val="Tahoma"/>
            <family val="2"/>
          </rPr>
          <t>Froio, Zach:</t>
        </r>
        <r>
          <rPr>
            <sz val="9"/>
            <color indexed="81"/>
            <rFont val="Tahoma"/>
            <family val="2"/>
          </rPr>
          <t xml:space="preserve">
Updated per IL TRM v7 p. 175</t>
        </r>
      </text>
    </comment>
    <comment ref="I419" authorId="0" shapeId="0" xr:uid="{41C93ADA-E1F9-43F6-98AE-25398608920E}">
      <text>
        <r>
          <rPr>
            <b/>
            <sz val="9"/>
            <color indexed="81"/>
            <rFont val="Tahoma"/>
            <family val="2"/>
          </rPr>
          <t>Nielsen, Victoria:</t>
        </r>
        <r>
          <rPr>
            <sz val="9"/>
            <color indexed="81"/>
            <rFont val="Tahoma"/>
            <family val="2"/>
          </rPr>
          <t xml:space="preserve">
Changed from 5 to 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300-000001000000}">
      <text>
        <r>
          <rPr>
            <b/>
            <sz val="9"/>
            <color indexed="81"/>
            <rFont val="Tahoma"/>
            <family val="2"/>
          </rPr>
          <t>Leah Maggio:</t>
        </r>
        <r>
          <rPr>
            <sz val="9"/>
            <color indexed="81"/>
            <rFont val="Tahoma"/>
            <family val="2"/>
          </rPr>
          <t xml:space="preserve">
MF DI ONLY</t>
        </r>
      </text>
    </comment>
    <comment ref="A46" authorId="0" shapeId="0" xr:uid="{00000000-0006-0000-0300-000002000000}">
      <text>
        <r>
          <rPr>
            <b/>
            <sz val="9"/>
            <color indexed="81"/>
            <rFont val="Tahoma"/>
            <family val="2"/>
          </rPr>
          <t>Leah Maggio:</t>
        </r>
        <r>
          <rPr>
            <sz val="9"/>
            <color indexed="81"/>
            <rFont val="Tahoma"/>
            <family val="2"/>
          </rPr>
          <t xml:space="preserve">
MF DI ONLY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A42" authorId="0" shapeId="0" xr:uid="{548ABF0B-69EC-40C4-BEA5-166F1B556E65}">
      <text>
        <r>
          <rPr>
            <b/>
            <sz val="9"/>
            <color indexed="81"/>
            <rFont val="Tahoma"/>
            <family val="2"/>
          </rPr>
          <t>Froio, Zach:</t>
        </r>
        <r>
          <rPr>
            <sz val="9"/>
            <color indexed="81"/>
            <rFont val="Tahoma"/>
            <family val="2"/>
          </rPr>
          <t xml:space="preserve">
Added per IL TRM v7 p. 31</t>
        </r>
      </text>
    </comment>
    <comment ref="A43" authorId="0" shapeId="0" xr:uid="{832E335F-DF54-4E41-8474-41AA3C6927AE}">
      <text>
        <r>
          <rPr>
            <b/>
            <sz val="9"/>
            <color indexed="81"/>
            <rFont val="Tahoma"/>
            <family val="2"/>
          </rPr>
          <t>Froio, Zach:</t>
        </r>
        <r>
          <rPr>
            <sz val="9"/>
            <color indexed="81"/>
            <rFont val="Tahoma"/>
            <family val="2"/>
          </rPr>
          <t xml:space="preserve">
Added per IL TRM v7 p. 31</t>
        </r>
      </text>
    </comment>
    <comment ref="B61" authorId="0" shapeId="0" xr:uid="{D6EFFA3E-AE57-4952-8E87-1EC4BB6025EF}">
      <text>
        <r>
          <rPr>
            <b/>
            <sz val="9"/>
            <color indexed="81"/>
            <rFont val="Tahoma"/>
            <family val="2"/>
          </rPr>
          <t>Froio, Zach:</t>
        </r>
        <r>
          <rPr>
            <sz val="9"/>
            <color indexed="81"/>
            <rFont val="Tahoma"/>
            <family val="2"/>
          </rPr>
          <t xml:space="preserve">
Added per IL TRM v7 p. 31</t>
        </r>
      </text>
    </comment>
    <comment ref="B62" authorId="0" shapeId="0" xr:uid="{1482B526-08B1-4114-9A17-82EFF505C2D4}">
      <text>
        <r>
          <rPr>
            <b/>
            <sz val="9"/>
            <color indexed="81"/>
            <rFont val="Tahoma"/>
            <family val="2"/>
          </rPr>
          <t>Froio, Zach:</t>
        </r>
        <r>
          <rPr>
            <sz val="9"/>
            <color indexed="81"/>
            <rFont val="Tahoma"/>
            <family val="2"/>
          </rPr>
          <t xml:space="preserve">
Added per IL TRM v7 p. 31</t>
        </r>
      </text>
    </comment>
    <comment ref="B63" authorId="0" shapeId="0" xr:uid="{4EB2B9E6-8C08-454D-B79B-0A8EB731084F}">
      <text>
        <r>
          <rPr>
            <b/>
            <sz val="9"/>
            <color indexed="81"/>
            <rFont val="Tahoma"/>
            <family val="2"/>
          </rPr>
          <t>Froio, Zach:</t>
        </r>
        <r>
          <rPr>
            <sz val="9"/>
            <color indexed="81"/>
            <rFont val="Tahoma"/>
            <family val="2"/>
          </rPr>
          <t xml:space="preserve">
Added per IL TRM v7 p. 31</t>
        </r>
      </text>
    </comment>
    <comment ref="B64" authorId="0" shapeId="0" xr:uid="{A4FF4D3C-6E96-4D8E-B3DA-948F8F875A0D}">
      <text>
        <r>
          <rPr>
            <b/>
            <sz val="9"/>
            <color indexed="81"/>
            <rFont val="Tahoma"/>
            <family val="2"/>
          </rPr>
          <t>Froio, Zach:</t>
        </r>
        <r>
          <rPr>
            <sz val="9"/>
            <color indexed="81"/>
            <rFont val="Tahoma"/>
            <family val="2"/>
          </rPr>
          <t xml:space="preserve">
Added per IL TRM v7 p. 29</t>
        </r>
      </text>
    </comment>
    <comment ref="B68" authorId="0" shapeId="0" xr:uid="{A88ECA91-9397-4AD2-9A36-2A105B65C64B}">
      <text>
        <r>
          <rPr>
            <b/>
            <sz val="9"/>
            <color indexed="81"/>
            <rFont val="Tahoma"/>
            <family val="2"/>
          </rPr>
          <t>Froio, Zach:</t>
        </r>
        <r>
          <rPr>
            <sz val="9"/>
            <color indexed="81"/>
            <rFont val="Tahoma"/>
            <family val="2"/>
          </rPr>
          <t xml:space="preserve">
Added per IL TRM v7 p. 31</t>
        </r>
      </text>
    </comment>
    <comment ref="B69" authorId="0" shapeId="0" xr:uid="{1997CFC4-7888-41DB-A2F0-6DCE41D4EB57}">
      <text>
        <r>
          <rPr>
            <b/>
            <sz val="9"/>
            <color indexed="81"/>
            <rFont val="Tahoma"/>
            <family val="2"/>
          </rPr>
          <t>Froio, Zach:</t>
        </r>
        <r>
          <rPr>
            <sz val="9"/>
            <color indexed="81"/>
            <rFont val="Tahoma"/>
            <family val="2"/>
          </rPr>
          <t xml:space="preserve">
Added per IL TRM v7 p. 29</t>
        </r>
      </text>
    </comment>
    <comment ref="B70" authorId="0" shapeId="0" xr:uid="{C55C4678-2872-4435-9720-0A63B76A099B}">
      <text>
        <r>
          <rPr>
            <b/>
            <sz val="9"/>
            <color indexed="81"/>
            <rFont val="Tahoma"/>
            <family val="2"/>
          </rPr>
          <t>Froio, Zach:</t>
        </r>
        <r>
          <rPr>
            <sz val="9"/>
            <color indexed="81"/>
            <rFont val="Tahoma"/>
            <family val="2"/>
          </rPr>
          <t xml:space="preserve">
Updated per IL TRM v7 p. 29</t>
        </r>
      </text>
    </comment>
  </commentList>
</comments>
</file>

<file path=xl/sharedStrings.xml><?xml version="1.0" encoding="utf-8"?>
<sst xmlns="http://schemas.openxmlformats.org/spreadsheetml/2006/main" count="7856" uniqueCount="1461">
  <si>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</si>
  <si>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</si>
  <si>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</si>
  <si>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</si>
  <si>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</si>
  <si>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</si>
  <si>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</si>
  <si>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</si>
  <si>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</si>
  <si>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</si>
  <si>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</si>
  <si>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</si>
  <si>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</si>
  <si>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</si>
  <si>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</si>
  <si>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</si>
  <si>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</si>
  <si>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</si>
  <si>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</si>
  <si>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</si>
  <si>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</si>
  <si>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</si>
  <si>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</si>
  <si>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</si>
  <si>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</si>
  <si>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</si>
  <si>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</si>
  <si>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</si>
  <si>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</si>
  <si>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</si>
  <si>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</si>
  <si>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</si>
  <si>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</si>
  <si>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</si>
  <si>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</si>
  <si>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</si>
  <si>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</si>
  <si>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</si>
  <si>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</si>
  <si>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</si>
  <si>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</si>
  <si>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</si>
  <si>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</si>
  <si>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</si>
  <si>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</si>
  <si>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</si>
  <si>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</si>
  <si>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</si>
  <si>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</si>
  <si>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</si>
  <si>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</si>
  <si>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</si>
  <si>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</si>
  <si>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</si>
  <si>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</si>
  <si>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</si>
  <si>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</si>
  <si>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Adjusted Energy Savings Goal (Therms)</t>
  </si>
  <si>
    <t>Energy Savings Adjustment to Plan Goal (Therms)</t>
  </si>
  <si>
    <t>IL-TRM Measure Code from IL-TRMv6.0</t>
  </si>
  <si>
    <t>RS-HVC-ADTH-V02-180101</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</si>
  <si>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</si>
  <si>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</si>
  <si>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</si>
  <si>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</si>
  <si>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</si>
  <si>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</si>
  <si>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</si>
  <si>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</si>
  <si>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</si>
  <si>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</si>
  <si>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</si>
  <si>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</si>
  <si>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</si>
  <si>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</si>
  <si>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</si>
  <si>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</si>
  <si>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</si>
  <si>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</si>
  <si>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</si>
  <si>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</si>
  <si>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</si>
  <si>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</si>
  <si>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</si>
  <si>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</si>
  <si>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</si>
  <si>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</si>
  <si>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</si>
  <si>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</si>
  <si>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</si>
  <si>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</si>
  <si>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</si>
  <si>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</si>
  <si>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</si>
  <si>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</si>
  <si>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</si>
  <si>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</si>
  <si>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</si>
  <si>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</si>
  <si>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</si>
  <si>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</si>
  <si>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</si>
  <si>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</si>
  <si>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</si>
  <si>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</si>
  <si>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</si>
  <si>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</si>
  <si>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</si>
  <si>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</si>
  <si>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</si>
  <si>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</si>
  <si>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</si>
  <si>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</si>
  <si>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</si>
  <si>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</si>
  <si>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</si>
  <si>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</si>
  <si>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</si>
  <si>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</si>
  <si>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</si>
  <si>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</si>
  <si>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</si>
  <si>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</si>
  <si>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</si>
  <si>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</si>
  <si>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</si>
  <si>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</si>
  <si>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</si>
  <si>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</si>
  <si>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</si>
  <si>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</si>
  <si>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</si>
  <si>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</si>
  <si>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</si>
  <si>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</si>
  <si>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</si>
  <si>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</si>
  <si>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</si>
  <si>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</si>
  <si>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</si>
  <si>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</si>
  <si>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</si>
  <si>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</si>
  <si>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</si>
  <si>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</si>
  <si>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</si>
  <si>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</si>
  <si>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</si>
  <si>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</si>
  <si>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</si>
  <si>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</si>
  <si>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</si>
  <si>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</si>
  <si>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</si>
  <si>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</si>
  <si>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</si>
  <si>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</si>
  <si>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</si>
  <si>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</si>
  <si>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</si>
  <si>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</si>
  <si>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</si>
  <si>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</si>
  <si>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</si>
  <si>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</si>
  <si>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</si>
  <si>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</si>
  <si>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</si>
  <si>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</si>
  <si>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</si>
  <si>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</si>
  <si>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</si>
  <si>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</si>
  <si>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</si>
  <si>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</si>
  <si>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</si>
  <si>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</si>
  <si>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</si>
  <si>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</si>
  <si>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</si>
  <si>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</si>
  <si>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</si>
  <si>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</si>
  <si>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</si>
  <si>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</si>
  <si>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</si>
  <si>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</si>
  <si>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</si>
  <si>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</si>
  <si>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</si>
  <si>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</si>
  <si>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</si>
  <si>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</si>
  <si>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</si>
  <si>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</si>
  <si>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</si>
  <si>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</si>
  <si>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</si>
  <si>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</si>
  <si>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</si>
  <si>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</si>
  <si>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</si>
  <si>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</si>
  <si>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</si>
  <si>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</si>
  <si>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</si>
  <si>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</si>
  <si>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</si>
  <si>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</si>
  <si>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</si>
  <si>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</si>
  <si>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</si>
  <si>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</si>
  <si>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</si>
  <si>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</si>
  <si>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</si>
  <si>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</si>
  <si>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</si>
  <si>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</si>
  <si>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</si>
  <si>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</si>
  <si>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</si>
  <si>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</si>
  <si>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</si>
  <si>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</si>
  <si>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</si>
  <si>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</si>
  <si>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</si>
  <si>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</si>
  <si>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</si>
  <si>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</si>
  <si>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</si>
  <si>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</si>
  <si>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</si>
  <si>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</si>
  <si>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CI-MSC-HSCW-V01-180101</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</si>
  <si>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</si>
  <si>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</si>
  <si>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</si>
  <si>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</si>
  <si>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</si>
  <si>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</si>
  <si>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</si>
  <si>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</si>
  <si>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</si>
  <si>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</si>
  <si>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</si>
  <si>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</si>
  <si>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</si>
  <si>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</si>
  <si>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</si>
  <si>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</si>
  <si>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CI-HW-STWH-V03-180101</t>
  </si>
  <si>
    <t>4.3.1</t>
  </si>
  <si>
    <t>Water Heater - Storage 88% TE ≥75MBh</t>
  </si>
  <si>
    <t>Btu</t>
  </si>
  <si>
    <t>GPD</t>
  </si>
  <si>
    <t xml:space="preserve">Tout </t>
  </si>
  <si>
    <t>Steam Traps - Test</t>
  </si>
  <si>
    <t>ΔTherm = Sa * (Hv/B) * Hours * A * L / 100,000</t>
  </si>
  <si>
    <t>L</t>
  </si>
  <si>
    <t>Hours_MF_Com</t>
  </si>
  <si>
    <t>B</t>
  </si>
  <si>
    <t>Hv</t>
  </si>
  <si>
    <t>Sa</t>
  </si>
  <si>
    <t>CI-HVC-STRE-V05-180101</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</si>
  <si>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</si>
  <si>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</si>
  <si>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</si>
  <si>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</si>
  <si>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</si>
  <si>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</si>
  <si>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</si>
  <si>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</si>
  <si>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</si>
  <si>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</si>
  <si>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</si>
  <si>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</si>
  <si>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</si>
  <si>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</si>
  <si>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</si>
  <si>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</si>
  <si>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</si>
  <si>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</si>
  <si>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</si>
  <si>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</si>
  <si>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</si>
  <si>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</si>
  <si>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</si>
  <si>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</si>
  <si>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</si>
  <si>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ΔTherms = 451 / (Estimate Size)</t>
  </si>
  <si>
    <t>Est Size</t>
  </si>
  <si>
    <t>CI-HVC-IRHT-V01-120601</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</si>
  <si>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</si>
  <si>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</si>
  <si>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</si>
  <si>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</si>
  <si>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</si>
  <si>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</si>
  <si>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</si>
  <si>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</si>
  <si>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</si>
  <si>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</si>
  <si>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</si>
  <si>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</si>
  <si>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</si>
  <si>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</si>
  <si>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</si>
  <si>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</si>
  <si>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CI-FSE-VENT-V03-160601</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</si>
  <si>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</si>
  <si>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</si>
  <si>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</si>
  <si>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</si>
  <si>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</si>
  <si>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</si>
  <si>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</si>
  <si>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</si>
  <si>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</si>
  <si>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</si>
  <si>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</si>
  <si>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</si>
  <si>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</si>
  <si>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</si>
  <si>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</si>
  <si>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</si>
  <si>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</si>
  <si>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Δtherms=((Ngi * 8766*UF)/100) * (1- (Effpre/Effmeasured))</t>
  </si>
  <si>
    <t>Effmeasured</t>
  </si>
  <si>
    <t>Effpre</t>
  </si>
  <si>
    <t>UF</t>
  </si>
  <si>
    <t>Ngi</t>
  </si>
  <si>
    <t>CI-HVC-PBTU-V05-160601</t>
  </si>
  <si>
    <t>4.4.3</t>
  </si>
  <si>
    <t>Boiler Tune Up - Process</t>
  </si>
  <si>
    <t>∆Therms = Boiler_Input_Capacity * Savings_Factor * EFLH / 100</t>
  </si>
  <si>
    <t>Savings Factor</t>
  </si>
  <si>
    <t>CI-HVC-BLRC-V03-150601</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</si>
  <si>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</si>
  <si>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</si>
  <si>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</si>
  <si>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</si>
  <si>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</si>
  <si>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</si>
  <si>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</si>
  <si>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</si>
  <si>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</si>
  <si>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</si>
  <si>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</si>
  <si>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</si>
  <si>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</si>
  <si>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</si>
  <si>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</si>
  <si>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</si>
  <si>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</si>
  <si>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</si>
  <si>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</si>
  <si>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</si>
  <si>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</si>
  <si>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</si>
  <si>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</si>
  <si>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</si>
  <si>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</si>
  <si>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</si>
  <si>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</si>
  <si>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</si>
  <si>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</si>
  <si>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</si>
  <si>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</si>
  <si>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</si>
  <si>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</si>
  <si>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</si>
  <si>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</si>
  <si>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</si>
  <si>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RS-HWE-TMPS-V05-160601</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</si>
  <si>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</si>
  <si>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</si>
  <si>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</si>
  <si>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</si>
  <si>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</si>
  <si>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</si>
  <si>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</si>
  <si>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</si>
  <si>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</si>
  <si>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</si>
  <si>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</si>
  <si>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</si>
  <si>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</si>
  <si>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</si>
  <si>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</si>
  <si>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</si>
  <si>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</si>
  <si>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</si>
  <si>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</si>
  <si>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</si>
  <si>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</si>
  <si>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</si>
  <si>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</si>
  <si>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</si>
  <si>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</si>
  <si>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</si>
  <si>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</si>
  <si>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</si>
  <si>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</si>
  <si>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</si>
  <si>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</si>
  <si>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</si>
  <si>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</si>
  <si>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</si>
  <si>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</si>
  <si>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</si>
  <si>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</si>
  <si>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</si>
  <si>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</si>
  <si>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</si>
  <si>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</si>
  <si>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</si>
  <si>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</si>
  <si>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</si>
  <si>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</si>
  <si>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</si>
  <si>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</si>
  <si>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</si>
  <si>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</si>
  <si>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</si>
  <si>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</si>
  <si>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</si>
  <si>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</si>
  <si>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</si>
  <si>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</si>
  <si>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</si>
  <si>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</si>
  <si>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</si>
  <si>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</si>
  <si>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</si>
  <si>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</si>
  <si>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</si>
  <si>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</si>
  <si>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</si>
  <si>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</si>
  <si>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</si>
  <si>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</si>
  <si>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</si>
  <si>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</si>
  <si>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</si>
  <si>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RS-HVC-PROG-V04-180101</t>
  </si>
  <si>
    <t>5.3.11</t>
  </si>
  <si>
    <t>ΔTherm = (((1/Rexist * Cexist) – (1/Rnew * Cnew)) * FLH_heat * L * ΔT ) / ηBoiler /100,000</t>
  </si>
  <si>
    <t>ηBoiler</t>
  </si>
  <si>
    <t>Cnew_DI</t>
  </si>
  <si>
    <t>Cexist</t>
  </si>
  <si>
    <t>FLH_heat</t>
  </si>
  <si>
    <t>Rnew</t>
  </si>
  <si>
    <t>Rexist</t>
  </si>
  <si>
    <t>RS-HVC-PINS-V02-160601</t>
  </si>
  <si>
    <t>5.3.2</t>
  </si>
  <si>
    <t>ηDHW</t>
  </si>
  <si>
    <t>RS-HVC-PINS-V02-150601</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</si>
  <si>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</si>
  <si>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</si>
  <si>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</si>
  <si>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</si>
  <si>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</si>
  <si>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</si>
  <si>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</si>
  <si>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</si>
  <si>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</si>
  <si>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</si>
  <si>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</si>
  <si>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</si>
  <si>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</si>
  <si>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</si>
  <si>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</si>
  <si>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</si>
  <si>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</si>
  <si>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</si>
  <si>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</si>
  <si>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</si>
  <si>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</si>
  <si>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</si>
  <si>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</si>
  <si>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</si>
  <si>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</si>
  <si>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</si>
  <si>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</si>
  <si>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</si>
  <si>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</si>
  <si>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</si>
  <si>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</si>
  <si>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</si>
  <si>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</si>
  <si>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</si>
  <si>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</si>
  <si>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</si>
  <si>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</si>
  <si>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</si>
  <si>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</si>
  <si>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</si>
  <si>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</si>
  <si>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</si>
  <si>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</si>
  <si>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</si>
  <si>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</si>
  <si>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</si>
  <si>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</si>
  <si>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</si>
  <si>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</si>
  <si>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</si>
  <si>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</si>
  <si>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</si>
  <si>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</si>
  <si>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</si>
  <si>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</si>
  <si>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</si>
  <si>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</si>
  <si>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</si>
  <si>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</si>
  <si>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</si>
  <si>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</si>
  <si>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</si>
  <si>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</si>
  <si>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</si>
  <si>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</si>
  <si>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</si>
  <si>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</si>
  <si>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</si>
  <si>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</si>
  <si>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</si>
  <si>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</si>
  <si>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</si>
  <si>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</si>
  <si>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</si>
  <si>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</si>
  <si>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</si>
  <si>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</si>
  <si>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</si>
  <si>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</si>
  <si>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</si>
  <si>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</si>
  <si>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</si>
  <si>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</si>
  <si>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</si>
  <si>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</si>
  <si>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</si>
  <si>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</si>
  <si>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</si>
  <si>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</si>
  <si>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</si>
  <si>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</si>
  <si>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</si>
  <si>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</si>
  <si>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</si>
  <si>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</si>
  <si>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</si>
  <si>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</si>
  <si>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</si>
  <si>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</si>
  <si>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</si>
  <si>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</si>
  <si>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</si>
  <si>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</si>
  <si>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</si>
  <si>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</si>
  <si>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</si>
  <si>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</si>
  <si>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</si>
  <si>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</si>
  <si>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</si>
  <si>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</si>
  <si>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</si>
  <si>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</si>
  <si>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</si>
  <si>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</si>
  <si>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</si>
  <si>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</si>
  <si>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</si>
  <si>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</si>
  <si>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</si>
  <si>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</si>
  <si>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</si>
  <si>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</si>
  <si>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</si>
  <si>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</si>
  <si>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</si>
  <si>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</si>
  <si>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</si>
  <si>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</si>
  <si>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</si>
  <si>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</si>
  <si>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</si>
  <si>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</si>
  <si>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</si>
  <si>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</si>
  <si>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</si>
  <si>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</si>
  <si>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</si>
  <si>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</si>
  <si>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</si>
  <si>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</si>
  <si>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</si>
  <si>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</si>
  <si>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</si>
  <si>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</si>
  <si>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</si>
  <si>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</si>
  <si>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</si>
  <si>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</si>
  <si>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</si>
  <si>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</si>
  <si>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</si>
  <si>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</si>
  <si>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</si>
  <si>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</si>
  <si>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</si>
  <si>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</si>
  <si>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</si>
  <si>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</si>
  <si>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</si>
  <si>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</si>
  <si>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</si>
  <si>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</si>
  <si>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</si>
  <si>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</si>
  <si>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</si>
  <si>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</si>
  <si>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</si>
  <si>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</si>
  <si>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</si>
  <si>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</si>
  <si>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</si>
  <si>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</si>
  <si>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</si>
  <si>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</si>
  <si>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</si>
  <si>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</si>
  <si>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</si>
  <si>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</si>
  <si>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</si>
  <si>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</si>
  <si>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</si>
  <si>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</si>
  <si>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</si>
  <si>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</si>
  <si>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</si>
  <si>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</si>
  <si>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</si>
  <si>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</si>
  <si>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</si>
  <si>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</si>
  <si>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</si>
  <si>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</si>
  <si>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</si>
  <si>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</si>
  <si>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</si>
  <si>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</si>
  <si>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</si>
  <si>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</si>
  <si>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</si>
  <si>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</si>
  <si>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</si>
  <si>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</si>
  <si>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</si>
  <si>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</si>
  <si>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</si>
  <si>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</si>
  <si>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</si>
  <si>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</si>
  <si>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</si>
  <si>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</si>
  <si>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</si>
  <si>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</si>
  <si>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</si>
  <si>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</si>
  <si>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</si>
  <si>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</si>
  <si>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</si>
  <si>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</si>
  <si>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</si>
  <si>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</si>
  <si>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</si>
  <si>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</si>
  <si>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</si>
  <si>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</si>
  <si>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</si>
  <si>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</si>
  <si>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</si>
  <si>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</si>
  <si>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</si>
  <si>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</si>
  <si>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</si>
  <si>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</si>
  <si>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</si>
  <si>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</si>
  <si>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</si>
  <si>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</si>
  <si>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</si>
  <si>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</si>
  <si>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</si>
  <si>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</si>
  <si>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</si>
  <si>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</si>
  <si>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</si>
  <si>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</si>
  <si>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</si>
  <si>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</si>
  <si>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</si>
  <si>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</si>
  <si>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</si>
  <si>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</si>
  <si>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</si>
  <si>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</si>
  <si>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</si>
  <si>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</si>
  <si>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</si>
  <si>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</si>
  <si>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</si>
  <si>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</si>
  <si>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</si>
  <si>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</si>
  <si>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</si>
  <si>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</si>
  <si>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</si>
  <si>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</si>
  <si>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</si>
  <si>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</si>
  <si>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</si>
  <si>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</si>
  <si>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</si>
  <si>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</si>
  <si>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</si>
  <si>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</si>
  <si>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</si>
  <si>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</si>
  <si>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</si>
  <si>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</si>
  <si>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</si>
  <si>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</si>
  <si>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</si>
  <si>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</si>
  <si>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</si>
  <si>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</si>
  <si>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</si>
  <si>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</si>
  <si>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</si>
  <si>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</si>
  <si>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</si>
  <si>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</si>
  <si>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</si>
  <si>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</si>
  <si>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</si>
  <si>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</si>
  <si>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</si>
  <si>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</si>
  <si>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</si>
  <si>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</si>
  <si>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</si>
  <si>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</si>
  <si>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CONFIDENTIAL AND PROPRIETARY</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</si>
  <si>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</si>
  <si>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</si>
  <si>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</si>
  <si>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</si>
  <si>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</si>
  <si>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</si>
  <si>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</si>
  <si>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</si>
  <si>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</si>
  <si>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</si>
  <si>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</si>
  <si>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</si>
  <si>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</si>
  <si>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</si>
  <si>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</si>
  <si>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</si>
  <si>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</si>
  <si>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</si>
  <si>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</si>
  <si>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</si>
  <si>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</si>
  <si>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</si>
  <si>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</si>
  <si>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</si>
  <si>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</si>
  <si>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</si>
  <si>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</si>
  <si>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</si>
  <si>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</si>
  <si>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</si>
  <si>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</si>
  <si>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</si>
  <si>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</si>
  <si>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</si>
  <si>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</si>
  <si>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</si>
  <si>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</si>
  <si>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</si>
  <si>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</si>
  <si>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</si>
  <si>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</si>
  <si>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</si>
  <si>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</si>
  <si>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</si>
  <si>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</si>
  <si>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</si>
  <si>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</si>
  <si>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</si>
  <si>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</si>
  <si>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</si>
  <si>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</si>
  <si>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</si>
  <si>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</si>
  <si>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</si>
  <si>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</si>
  <si>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</si>
  <si>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</si>
  <si>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</si>
  <si>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</si>
  <si>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</si>
  <si>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</si>
  <si>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</si>
  <si>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</si>
  <si>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</si>
  <si>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See 'Laudromat Broiler Detail' Tab</t>
  </si>
  <si>
    <t>see 'Thermostat Detail' Tab</t>
  </si>
  <si>
    <t>See 'Pipe Insulation' Tab</t>
  </si>
  <si>
    <t>Exhibit 1.5B_R Peoples Gas EEPS_Adjustable_Savings_Goal_Template.xlsx, Behavior Tab</t>
  </si>
  <si>
    <t>Exhibit 1.5B_R Peoples Gas EEPS_Adjustable_Savings_Goal_Template.xlsx, Food Equipment Tab</t>
  </si>
  <si>
    <t>Exhibit 1.5B_R Peoples Gas EEPS_Adjustable_Savings_Goal_Template.xlsx, Laundromat Broiler Detail Tab</t>
  </si>
  <si>
    <t>Exhibit 1.5B_R Peoples Gas EEPS_Adjustable_Savings_Goal_Template.xlsx, Thermostat Detail Tab</t>
  </si>
  <si>
    <t>Exhibit 1.5B_R Peoples Gas EEPS_Adjustable_Savings_Goal_Template.xlsx, Unit Savings Calculations Tab</t>
  </si>
  <si>
    <t>Exhibit 1.5B_R Peoples Gas EEPS_Adjustable_Savings_Goal_Template.xlsx,Pipe Insulation Detail Tab</t>
  </si>
  <si>
    <t>ΔkWhwater = ΔWater (gallons) / 1,000,000 * Ewater supply</t>
  </si>
  <si>
    <t>ΔWater (gallons) = (WBASE -WENERGYSTAR®)*HOURSDay *DaysYear</t>
  </si>
  <si>
    <t>ΔWater (gallons)</t>
  </si>
  <si>
    <t>ΔkWhwater</t>
  </si>
  <si>
    <t>WBASE</t>
  </si>
  <si>
    <t>WENERGYSTAR</t>
  </si>
  <si>
    <t>Ewater supply</t>
  </si>
  <si>
    <t>DaysYear</t>
  </si>
  <si>
    <t>gal/hr</t>
  </si>
  <si>
    <t>gal/hr (Avg Efficient)</t>
  </si>
  <si>
    <t>(kWh/Million Gallons)</t>
  </si>
  <si>
    <t>ΔTherms = (EFLH * CAPInput * (AFUE(eff) / AFUE(base) -1)) / 100000</t>
  </si>
  <si>
    <t>CAPInput</t>
  </si>
  <si>
    <t>ΔTherms = ((EFLH * CAPInput)/(1-Derating_eff) * (((AFUE_eff * (1-Derating_eff)) / (AFUE_base * (1-Derating_base))) - 1)) / 100000</t>
  </si>
  <si>
    <t>ΔTherm = ((Cexist / Rexist – Cnew / Rnew) * L * ΔT * 8,766) / ηDHW /100,000</t>
  </si>
  <si>
    <t>Cnew</t>
  </si>
  <si>
    <t>ΔTherms = (1/ UEFBASE - 1/UEFEFFICIENT) * (GPD * Household * 365.25 * γWater * (TOUT – TIN) * 1.0 )/100,000</t>
  </si>
  <si>
    <t>UEFbase</t>
  </si>
  <si>
    <t>UEFef</t>
  </si>
  <si>
    <t>ADJAirSealingGasHeat</t>
  </si>
  <si>
    <t>5.6.6</t>
  </si>
  <si>
    <t>5.6.5</t>
  </si>
  <si>
    <t>ADJ_WallHeat</t>
  </si>
  <si>
    <t>ΔTherms = ((((1/R_old - 1/R_wall) * A_wall * (1-Framing_factor_wall)) * 24 * HDD) / (ηHeat * 100,000 Btu/therm) * ADJWallHeat</t>
  </si>
  <si>
    <t>R_wall</t>
  </si>
  <si>
    <t>R_attic</t>
  </si>
  <si>
    <t>ADJ_AtticGasHeat</t>
  </si>
  <si>
    <t>ΔTherms =  (1/R_old - 1/R_Rim) * A_Rim * (1-Framing_factor_Rim) * HDD * 24 * ADJ_BasementHeat / (ηHeat * 100,000 Btu/therm)</t>
  </si>
  <si>
    <t>R_Rim</t>
  </si>
  <si>
    <t>Framing_factor_Rim</t>
  </si>
  <si>
    <t>ADJ_BasementHeat</t>
  </si>
  <si>
    <t>Index</t>
  </si>
  <si>
    <t>Volume</t>
  </si>
  <si>
    <t>End Use</t>
  </si>
  <si>
    <t>Measure Name</t>
  </si>
  <si>
    <t>Measure Code</t>
  </si>
  <si>
    <t>Change Type</t>
  </si>
  <si>
    <t>Explanation</t>
  </si>
  <si>
    <t>Impact on Savings</t>
  </si>
  <si>
    <t>Volume 1: Overview</t>
  </si>
  <si>
    <t>N/A</t>
  </si>
  <si>
    <t>Revision</t>
  </si>
  <si>
    <t>New</t>
  </si>
  <si>
    <t>Volume 2: C&amp;I</t>
  </si>
  <si>
    <t>4.1.4 Livestock Waterer</t>
  </si>
  <si>
    <t>4.1.4</t>
  </si>
  <si>
    <t>4.2 Food Service Equipment</t>
  </si>
  <si>
    <t>Dependent on inputs</t>
  </si>
  <si>
    <t>Increase</t>
  </si>
  <si>
    <t>4.2.6 ENERGY STAR Dishwasher</t>
  </si>
  <si>
    <t>4.2.6</t>
  </si>
  <si>
    <t>4.2.8 ENERGY STAR Griddle</t>
  </si>
  <si>
    <t>4.2.8</t>
  </si>
  <si>
    <t>4.2.10</t>
  </si>
  <si>
    <t>4.2.11 High Efficiency Pre-Rinse Spray Valve</t>
  </si>
  <si>
    <t>4.3 Hot Water</t>
  </si>
  <si>
    <t>Updated baseline and ee ratings to UEF</t>
  </si>
  <si>
    <t>4.3.2 Low Flow Faucet Aerators</t>
  </si>
  <si>
    <t>4.3.3 Low Flow Showerheads</t>
  </si>
  <si>
    <t>4.3.4 Commercial Pool Covers</t>
  </si>
  <si>
    <t>4.3.4</t>
  </si>
  <si>
    <t>4.3.5 Tankless Water Heater</t>
  </si>
  <si>
    <t>4.3.5</t>
  </si>
  <si>
    <t>4.3.6 Ozone Laundry</t>
  </si>
  <si>
    <t>4.3.7</t>
  </si>
  <si>
    <t>4.4 HVAC</t>
  </si>
  <si>
    <t>4.4 HVAC End Use</t>
  </si>
  <si>
    <t>Update to select building type heating and cooling EFLH assumptions that have been transitioned and calibrated to OpenStudio by the Modeling Subcommittee.</t>
  </si>
  <si>
    <t>Errata</t>
  </si>
  <si>
    <t>Decrease</t>
  </si>
  <si>
    <t>4.4.6 Electric Chiller</t>
  </si>
  <si>
    <t>4.4.6</t>
  </si>
  <si>
    <t>Increase lifetime savings</t>
  </si>
  <si>
    <t>4.4.9</t>
  </si>
  <si>
    <t>4.4.10 High Efficiency Boiler</t>
  </si>
  <si>
    <t>4.4.11 High Efficiency Furnace</t>
  </si>
  <si>
    <t>4.4.13 Package Terminal Air Conditioner (PTAC) and Package Terminal Heat Pump (PTHP)</t>
  </si>
  <si>
    <t>4.4.13</t>
  </si>
  <si>
    <t>4.4.15 Single-Package and Split System Unitary Air Conditioners</t>
  </si>
  <si>
    <t>4.4.15</t>
  </si>
  <si>
    <t>4.4.17 Variable Speed Drives for HVAC Pumps and Cooling Tower Fans</t>
  </si>
  <si>
    <t>4.4.17</t>
  </si>
  <si>
    <t>Update to measure life.</t>
  </si>
  <si>
    <t>4.4.25</t>
  </si>
  <si>
    <t>CI-HVC-PRGA-V03-190101</t>
  </si>
  <si>
    <t>4.4.26</t>
  </si>
  <si>
    <t>Measure cost update.</t>
  </si>
  <si>
    <t>4.4.27 Energy Recovery Ventilator</t>
  </si>
  <si>
    <t>4.4.27</t>
  </si>
  <si>
    <t>4.4.30 Notched V Belts for HVAC Systems</t>
  </si>
  <si>
    <t>4.4.30</t>
  </si>
  <si>
    <t>4.4.32 Combined Heat and Power</t>
  </si>
  <si>
    <t>4.4.32</t>
  </si>
  <si>
    <t>4.4.33</t>
  </si>
  <si>
    <t>4.4.34 Destratification Fan</t>
  </si>
  <si>
    <t>4.4.34</t>
  </si>
  <si>
    <t>Updated savings factor to 10.2%</t>
  </si>
  <si>
    <t>New Measure</t>
  </si>
  <si>
    <t>4.4.41 Advanced Rooftop Controls</t>
  </si>
  <si>
    <t>4.4.41</t>
  </si>
  <si>
    <t>4.4.42</t>
  </si>
  <si>
    <t>4.4.44</t>
  </si>
  <si>
    <t>4.4.45</t>
  </si>
  <si>
    <t>4.5 Lighting</t>
  </si>
  <si>
    <t>4.5.1 Commercial Compact Fluorescent Lamp</t>
  </si>
  <si>
    <t>4.5.1</t>
  </si>
  <si>
    <t>4.5.3 High Performance and Reduced Wattage T8 Fixtures and Lamps</t>
  </si>
  <si>
    <t>4.5.3</t>
  </si>
  <si>
    <t>4.5.4 LED Bulbs and Fixtures</t>
  </si>
  <si>
    <t>4.5.4</t>
  </si>
  <si>
    <t>Update to measure cost.</t>
  </si>
  <si>
    <t>4.5.7 Lighting Power Density</t>
  </si>
  <si>
    <t>4.5.7</t>
  </si>
  <si>
    <t>Updated costs.</t>
  </si>
  <si>
    <t>4.5.12 T5 Fixtures and Lamps</t>
  </si>
  <si>
    <t>4.5.12</t>
  </si>
  <si>
    <t>4.5.14 Commercial Specialty Compact Fluorescent Lamp</t>
  </si>
  <si>
    <t>4.5.14</t>
  </si>
  <si>
    <t>4.6 Refrigeration</t>
  </si>
  <si>
    <t>4.6.3 Door Heater Controls for Cooler or Freezer</t>
  </si>
  <si>
    <t>4.6.3</t>
  </si>
  <si>
    <t>4.6.11 Q-Sync Motors for Reach-in Coolers/Freezers</t>
  </si>
  <si>
    <t>4.6.11</t>
  </si>
  <si>
    <t>New measure</t>
  </si>
  <si>
    <t>4.6.12</t>
  </si>
  <si>
    <t>4.7 Compressed Air</t>
  </si>
  <si>
    <t>4.7.1 VSD Air Compressor</t>
  </si>
  <si>
    <t>4.7.1</t>
  </si>
  <si>
    <t>4.7.2 Compressed Air Low Pressure Drop Filters</t>
  </si>
  <si>
    <t>4.7.2</t>
  </si>
  <si>
    <t>4.7.3 Compressed Air No-Loss Condensate Drains</t>
  </si>
  <si>
    <t>4.7.3</t>
  </si>
  <si>
    <t>4.8 Miscellaneous</t>
  </si>
  <si>
    <t>4.8.2 Roof Insulation for C&amp;I Facilities</t>
  </si>
  <si>
    <t>4.8.2</t>
  </si>
  <si>
    <t>4.8.7 Advanced Power Strip – Tier 1 Commercial</t>
  </si>
  <si>
    <t>4.8.7</t>
  </si>
  <si>
    <t>Volume 3: Residential</t>
  </si>
  <si>
    <t>5.1 Appliances</t>
  </si>
  <si>
    <t>5.1.2 ENERGY STAR Clothes Washer</t>
  </si>
  <si>
    <t>5.1.2</t>
  </si>
  <si>
    <t>5.1.3 ENERGY STAR Dehumidifier</t>
  </si>
  <si>
    <t>5.1.3</t>
  </si>
  <si>
    <t>5.1.4 ENERGY STAR Dishwasher</t>
  </si>
  <si>
    <t>5.1.4</t>
  </si>
  <si>
    <t>5.1.6 ENERGY STAR and CEE Tier 2 Refrigerator</t>
  </si>
  <si>
    <t>5.1.6</t>
  </si>
  <si>
    <t>5.1.10 ENERGY STAR Clothes Dryer</t>
  </si>
  <si>
    <t>5.1.10</t>
  </si>
  <si>
    <t>5.1.12 Ozone Laundry</t>
  </si>
  <si>
    <t>5.1.12</t>
  </si>
  <si>
    <t>5.2 Consumer Electronics</t>
  </si>
  <si>
    <t>5.2.1 Advanced Power Strip – Tier 1</t>
  </si>
  <si>
    <t>5.2.1</t>
  </si>
  <si>
    <t>5.2.2 Advanced Power Strip – Residential Audio Visual</t>
  </si>
  <si>
    <t>5.2.2</t>
  </si>
  <si>
    <t>5.3 HVAC</t>
  </si>
  <si>
    <t>5.3.1 Air Source Heat Pump</t>
  </si>
  <si>
    <t>5.3.1</t>
  </si>
  <si>
    <t>5.3.4 Duct Insulation and Sealing</t>
  </si>
  <si>
    <t>5.3.5 Furnace Blower Motor</t>
  </si>
  <si>
    <t>5.3.5</t>
  </si>
  <si>
    <t>Updated savings calcs with new algorithm methodology.</t>
  </si>
  <si>
    <t>5.3.7 Gas High Efficiency Furnace</t>
  </si>
  <si>
    <t>5.3.8 Ground Source Heat Pump</t>
  </si>
  <si>
    <t>5.3.8</t>
  </si>
  <si>
    <t>5.3.10</t>
  </si>
  <si>
    <t>5.3.11 Programmable Thermostats</t>
  </si>
  <si>
    <t>5.3.12 Ductless Heat Pumps</t>
  </si>
  <si>
    <t>5.3.12</t>
  </si>
  <si>
    <t>5.3.13 Residential Furnace Tune-Up</t>
  </si>
  <si>
    <t>5.3.16 Advanced Thermostats</t>
  </si>
  <si>
    <t>5.4 Hot Water</t>
  </si>
  <si>
    <t>Updated algorithm with pre and post insulation circumference factor.</t>
  </si>
  <si>
    <t>Updated algorithm with UEFbase and UEFeff values</t>
  </si>
  <si>
    <t>5.4.3 Heat Pump Water Heaters</t>
  </si>
  <si>
    <t>5.4.3</t>
  </si>
  <si>
    <t>Update to measure costs.</t>
  </si>
  <si>
    <t>Updated GPM_base values</t>
  </si>
  <si>
    <t>5.4.5 Low Flow Showerheads</t>
  </si>
  <si>
    <t>5.4.8</t>
  </si>
  <si>
    <t>5.4.9 Shower Timer</t>
  </si>
  <si>
    <t>5.4.9</t>
  </si>
  <si>
    <t>5.5 Lighting</t>
  </si>
  <si>
    <t>5.5.1 Compact Fluorescent Lamp</t>
  </si>
  <si>
    <t>5.5.1</t>
  </si>
  <si>
    <t>5.5.2 Specialty Compact Fluorescent Lamp</t>
  </si>
  <si>
    <t>5.5.2</t>
  </si>
  <si>
    <t>5.5.3 ENERGY STAR Torchiere</t>
  </si>
  <si>
    <t>5.5.3</t>
  </si>
  <si>
    <t>5.5.4</t>
  </si>
  <si>
    <t>5.5.5 Interior Hardwired Compact Fluorescent Lamp Fixture</t>
  </si>
  <si>
    <t>5.5.5</t>
  </si>
  <si>
    <t>5.5.6 LED Specialty Lamps</t>
  </si>
  <si>
    <t>5.5.6</t>
  </si>
  <si>
    <t>5.5.8 LED Screw Based Omnidirectional Bulbs</t>
  </si>
  <si>
    <t>5.5.8</t>
  </si>
  <si>
    <t>5.5.9 LED Fixtures</t>
  </si>
  <si>
    <t>5.5.9</t>
  </si>
  <si>
    <t>5.5.10 Holiday String Lighting</t>
  </si>
  <si>
    <t>5.5.10</t>
  </si>
  <si>
    <t>5.6 Shell</t>
  </si>
  <si>
    <t>5.6.1 Airsealing</t>
  </si>
  <si>
    <t>Added gas heating adjustment factor to savings calculation</t>
  </si>
  <si>
    <t>5.6.2 Basement Sidewall Insulation</t>
  </si>
  <si>
    <t>5.6.3</t>
  </si>
  <si>
    <t>5.6.4 Wall Insulation</t>
  </si>
  <si>
    <t>Updated savings algorithm and variable labels. Savings are unaffected with new algorithm.</t>
  </si>
  <si>
    <t>5.6.5 Ceiling/Attic Insulation</t>
  </si>
  <si>
    <t>Updated savings algorithm, variable labels, and TRM section code. Savings are unaffected with new algorithm.</t>
  </si>
  <si>
    <t>5.6.6 Rim/Band Joist Insulation</t>
  </si>
  <si>
    <t>Updated savings algorithm, variable labels, TRM section code, and framing factor. Savings are unaffected with new algorithm, except for framing factor adjustment.</t>
  </si>
  <si>
    <t>5.7 Miscellaneous</t>
  </si>
  <si>
    <t>Volume 4: Cross Cutting Measures and Attachments</t>
  </si>
  <si>
    <t>IL TRM 9/28/2018</t>
  </si>
  <si>
    <t>ΔTherm = ThermHotWash * (%HotWashbase - %HotWashOzone), ThermHotWash = (%FossilDHW * Capacity * IWF * %HotWater * (TOUT - TIN) * 8.33 * 1.0 * Ncycles) / (RE_gas * 100,000)</t>
  </si>
  <si>
    <t>%FossilDHW</t>
  </si>
  <si>
    <t>IWF</t>
  </si>
  <si>
    <t>%HotWater</t>
  </si>
  <si>
    <t>TOUT</t>
  </si>
  <si>
    <t>TIN</t>
  </si>
  <si>
    <t>%HotWashbase</t>
  </si>
  <si>
    <t>%HotWashOzone</t>
  </si>
  <si>
    <t>Updated savings calcs with new algorithm.</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</si>
  <si>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</si>
  <si>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</si>
  <si>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</si>
  <si>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</si>
  <si>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</si>
  <si>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</si>
  <si>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</si>
  <si>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</si>
  <si>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</si>
  <si>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</si>
  <si>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</si>
  <si>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</si>
  <si>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Approved Plan</t>
  </si>
  <si>
    <t>2019 Adjustable Goals</t>
  </si>
  <si>
    <t>Plan Measure Life</t>
  </si>
  <si>
    <t>Adjusted Measure Life</t>
  </si>
  <si>
    <t>** A calculation error was found in the original filing, this was corrected in the Corrected Approved Plan Row and the 2019 Adjustable Goals row</t>
  </si>
  <si>
    <t>*** 2019 Adjustable Goals WAML includes approved plan correction and any TRM changes associated with adjustable goals</t>
  </si>
  <si>
    <t>Corrected Approved Plan</t>
  </si>
  <si>
    <t>Column added by AEG</t>
  </si>
  <si>
    <t>Remaining:</t>
  </si>
  <si>
    <t>Table 1.3: Summary of Measure Revisions</t>
  </si>
  <si>
    <t>Section</t>
  </si>
  <si>
    <t>Impact on Savings (T/F)</t>
  </si>
  <si>
    <t>Overall Measure Impact (T/F)</t>
  </si>
  <si>
    <t>Portfolio Measure (T/F)</t>
  </si>
  <si>
    <t>Portfolio Errata (T/F)</t>
  </si>
  <si>
    <t>Portfolio Revision (T/F)</t>
  </si>
  <si>
    <t>Adjusted (T/F)</t>
  </si>
  <si>
    <t>Notes</t>
  </si>
  <si>
    <t>Reference</t>
  </si>
  <si>
    <t>Link</t>
  </si>
  <si>
    <t>Edits to 2.4 Program Delivery &amp; Baseline Definitions.</t>
  </si>
  <si>
    <t>New section 2.4.1 Default Measure Type for Program Delivery Methods.</t>
  </si>
  <si>
    <t>New section 3.4 Breakthrough Equipment and Devices Savings Assumptions.</t>
  </si>
  <si>
    <t>Updates to Loadshapes: R01, R02, R03, R04, R05, R13, R14, R17, R18</t>
  </si>
  <si>
    <t>New loadshapes: C56, C57, C58</t>
  </si>
  <si>
    <t>Edits to 3.9 Measure Incremental Cost Definition, and 3.10 Discount Rates, Inflation Rates and O&amp;M Costs</t>
  </si>
  <si>
    <t>4.1 Agricultural</t>
  </si>
  <si>
    <t>CI-AGE-LSW1-V03-190101</t>
  </si>
  <si>
    <t>Removal of summer peak demand savings as savings occur in the winter.</t>
  </si>
  <si>
    <t>Decrease demand</t>
  </si>
  <si>
    <t>4.1.5</t>
  </si>
  <si>
    <t>4.1.5 Fan Thermostat Controller</t>
  </si>
  <si>
    <t>CI-AGE-FNTC-V01-200101</t>
  </si>
  <si>
    <t>4.1.6</t>
  </si>
  <si>
    <t>4.1.6 Low Pressure Sprinkler Nozzles</t>
  </si>
  <si>
    <t xml:space="preserve"> CI-AGE-LPSN-V01-200101</t>
  </si>
  <si>
    <t>4.1.7</t>
  </si>
  <si>
    <t>4.1.7 Milk Pre-Cooler</t>
  </si>
  <si>
    <t>CI-AGE-MLKP-V01-200101</t>
  </si>
  <si>
    <t>4.1.8</t>
  </si>
  <si>
    <t>4.1.8 VSD Milk Pump with Plate Cooler Heat Exchanger</t>
  </si>
  <si>
    <t>CI-AGE-VSDM-V01-200101</t>
  </si>
  <si>
    <t>4.1.9</t>
  </si>
  <si>
    <t>4.1.9 Scroll Compressor for Dairy Refrigeration</t>
  </si>
  <si>
    <t>CI-AGE-SCRC-V01-200101</t>
  </si>
  <si>
    <t>4.1.10</t>
  </si>
  <si>
    <t>4.1.10 Dairy Refrigeration Heat Recovery</t>
  </si>
  <si>
    <t>CI-AGE-DRHR-V01-200101</t>
  </si>
  <si>
    <t>4.1.11</t>
  </si>
  <si>
    <t>4.1.11 Commercial LED Grow Lights</t>
  </si>
  <si>
    <t>CI-AGE-GROW-V01-200101</t>
  </si>
  <si>
    <t>CI-FSE-ESDW-V05-190101</t>
  </si>
  <si>
    <t>Changes to secondary water savings for Cook county participants.</t>
  </si>
  <si>
    <t>Decrease for select participants</t>
  </si>
  <si>
    <t>CI-FSE-ESGR-V04-200101</t>
  </si>
  <si>
    <t xml:space="preserve">Added assumptions for double-sided griddles. </t>
  </si>
  <si>
    <t>4.2.10 Ice Maker</t>
  </si>
  <si>
    <t>CI-FSE-ESIM-V03-200101</t>
  </si>
  <si>
    <t>Addition of CEE Tier 2 Advanced criteria. Removal of exclusion for flake and nugget machines.</t>
  </si>
  <si>
    <t>CI-FSE-SPRY-V06-190101</t>
  </si>
  <si>
    <t>CI-FSE-SPRY-V07-200101</t>
  </si>
  <si>
    <t>Update to federal standard. Updated flow rate for DI programs. Updated measure costs. Added KITS.</t>
  </si>
  <si>
    <t>4.2.20</t>
  </si>
  <si>
    <t>4.2.20 Efficient Dipper Wells</t>
  </si>
  <si>
    <t>CI-FSE-EDIP-V01-200101</t>
  </si>
  <si>
    <t>4.3.1 Water Heater</t>
  </si>
  <si>
    <t>CI-HWE-STWH-V04-190101</t>
  </si>
  <si>
    <t>CI-HWE-STWH-V05-200101</t>
  </si>
  <si>
    <t>Combined this measure with 4.3.5 Tankless Water Heater. Clarifications of TOS, NC and unit types.</t>
  </si>
  <si>
    <t>CI-HWE-LFFA-V09-190101</t>
  </si>
  <si>
    <t>Added KITS.</t>
  </si>
  <si>
    <t>No actual input changes</t>
  </si>
  <si>
    <t>CI-HWE-LFSH-V06-190101</t>
  </si>
  <si>
    <t>CI-HWE-LFSH-V07-200101</t>
  </si>
  <si>
    <t>Updated shower temperature with newer source.</t>
  </si>
  <si>
    <t>Decreases</t>
  </si>
  <si>
    <t>CI-HWE-PLCV-V03-200101</t>
  </si>
  <si>
    <t>Addition of loadshape and example calculation</t>
  </si>
  <si>
    <t>Retired</t>
  </si>
  <si>
    <t>Measure retired and merged with 4.3.1 Water Heater</t>
  </si>
  <si>
    <t>CI-HWE-OZLD-V03-190101</t>
  </si>
  <si>
    <t>CI-HWE-OZLD-V04-200101</t>
  </si>
  <si>
    <t>Addition of assumptions for laundromats</t>
  </si>
  <si>
    <t>4.3.7 Mulitfamily Central Domestic Hot Water Plants</t>
  </si>
  <si>
    <t>CI-HWE-MDHW-V04-200101</t>
  </si>
  <si>
    <t>Update to timing of IECC 2018.</t>
  </si>
  <si>
    <t>4.3.9 Heat Recovery Grease Trap Filter</t>
  </si>
  <si>
    <t>CI-HWE-GRTF-V02-200601</t>
  </si>
  <si>
    <t>Clarification of program types and baselines</t>
  </si>
  <si>
    <t>4.3.11</t>
  </si>
  <si>
    <t>4.3.11 Tunnel Washers</t>
  </si>
  <si>
    <t>CI-HWE-TUWA-V01-200101</t>
  </si>
  <si>
    <t xml:space="preserve">New </t>
  </si>
  <si>
    <t>Addition of New Construction EFLH assumptions.</t>
  </si>
  <si>
    <t>Addition of three building types – Auto dealership, Drug Store, Public Sector.</t>
  </si>
  <si>
    <t>CI-HVC-CHIL-V07-200101</t>
  </si>
  <si>
    <t>4.4.9 Air and Water Source Heat Pump Systems</t>
  </si>
  <si>
    <t>CI-HVC-HPSY-V07-200101</t>
  </si>
  <si>
    <t>CI-HVC-BOIL-V07-200101</t>
  </si>
  <si>
    <t>Addition of NC as program type.</t>
  </si>
  <si>
    <t>CI-HVC-FRNC-V09-200101</t>
  </si>
  <si>
    <t>Update to Cooling Run Hour assumptions based on OpenStudio modelling.</t>
  </si>
  <si>
    <t>CI-HVC-PTAC-V10-200101</t>
  </si>
  <si>
    <t>Update to existing efficiency assumption.</t>
  </si>
  <si>
    <t>Decrease for early replacement</t>
  </si>
  <si>
    <t>Correction of example calculation.</t>
  </si>
  <si>
    <t>CI-HVC-SPUA-V07-200101</t>
  </si>
  <si>
    <t>4.4.16 Steam Trap Replacement or Repair</t>
  </si>
  <si>
    <t>CI-HVC-STRE-V06-200101</t>
  </si>
  <si>
    <t xml:space="preserve">Addition of water impacts. </t>
  </si>
  <si>
    <t xml:space="preserve">Addition of instruction to use actual orifice diameter wherever possible. </t>
  </si>
  <si>
    <t>Addition of kWh savings from water supply.</t>
  </si>
  <si>
    <t>CI-HVC-VSDHP-V06-190101</t>
  </si>
  <si>
    <t>Fixing error in ESF/DSF calculation</t>
  </si>
  <si>
    <t>Increase for Cooling Tower Fan</t>
  </si>
  <si>
    <t>CI-HVC-VSDHP-V07-200101</t>
  </si>
  <si>
    <t>Dependent on building type</t>
  </si>
  <si>
    <t>Updates to Heating and Cooling Run Hour table and ESF/DSF based on new OpenStudio results.</t>
  </si>
  <si>
    <t>4.4.18 Small Commercial Programmable  Thermostats</t>
  </si>
  <si>
    <t>CI-HVC-PROG-V03-200101</t>
  </si>
  <si>
    <t>Measure retired and replaced with new measure 4.4.48 Small Commercial Thermostats - Provisional</t>
  </si>
  <si>
    <t>4.4.20</t>
  </si>
  <si>
    <t>4.4.20 High Turndown Burner for Space Heating Boilers</t>
  </si>
  <si>
    <t>CI-HVAC-HTBC-V05-200601</t>
  </si>
  <si>
    <t>Addition of code requirements, clarification on measure life and costs.</t>
  </si>
  <si>
    <t>4.4.23</t>
  </si>
  <si>
    <t>4.4.23 Shut Off Damper for Space Heating Boilers or Furnaces</t>
  </si>
  <si>
    <t>CI-HVC-SODP-V02-200601</t>
  </si>
  <si>
    <t>Clarification on measure life and costs.</t>
  </si>
  <si>
    <t>4.4.25 Small Commercial Programmable Thermostats Adjustments</t>
  </si>
  <si>
    <t>Measure retired.</t>
  </si>
  <si>
    <t>4.4.26 Variable Speed Drives for HVAC Supply and Return Fan</t>
  </si>
  <si>
    <t>CI-HVC-VSDF-V04-190101</t>
  </si>
  <si>
    <t>Change measure life consistent with other VSDs</t>
  </si>
  <si>
    <t>CI-HVC-VSDF-V05-200101</t>
  </si>
  <si>
    <t>Update to Fan Run Hour table with OpenStudio results.</t>
  </si>
  <si>
    <t>CI-HVC-ERVE-V04-200101</t>
  </si>
  <si>
    <t>Update measure costs.</t>
  </si>
  <si>
    <t>CI-HVC-NVBE-V05-200101</t>
  </si>
  <si>
    <t>4.4.31</t>
  </si>
  <si>
    <t>4.4.31 Small Business Furnace Tune-Up</t>
  </si>
  <si>
    <t>CI-HVC-FTUN-V03-200101</t>
  </si>
  <si>
    <t>Measure life updated to 3 years.</t>
  </si>
  <si>
    <t>CI-HVC-CHAP-V04-200101</t>
  </si>
  <si>
    <t>Clarification of Fthermal variable definition.</t>
  </si>
  <si>
    <t>4.4.33 Industrial Air Curtain</t>
  </si>
  <si>
    <t>CI-HVC-AIRC-V03-200101</t>
  </si>
  <si>
    <t>Clarification of code for New Construction.</t>
  </si>
  <si>
    <t>CI-HVC-DSFN-V04-200101</t>
  </si>
  <si>
    <t>Clarification of code for New Construction roof R-value assumption.</t>
  </si>
  <si>
    <t>CI-HVC-ARTC-V02-200101</t>
  </si>
  <si>
    <t>Addition of assumptions for electrically heated building.</t>
  </si>
  <si>
    <t>CI-HVC-ADTH-V02-190101</t>
  </si>
  <si>
    <t>4.4.44 Commercial Ground Source and Ground Water Source Heat Pump</t>
  </si>
  <si>
    <t>CI-HVC-GSHP-V03-200101</t>
  </si>
  <si>
    <t>4.4.45 Adsorbent Air Cleaning</t>
  </si>
  <si>
    <t>CI-HVC-ADAC-V02-200101</t>
  </si>
  <si>
    <t>Restricted to RF applications.</t>
  </si>
  <si>
    <t>Removal of defaults for % reduction of outside air.</t>
  </si>
  <si>
    <t>Removal of gas savings until more data collected.</t>
  </si>
  <si>
    <t>4.4.46</t>
  </si>
  <si>
    <t>4.4.46 Server Room Temperature Set Back</t>
  </si>
  <si>
    <t>CI-HVC-SRSB-V01-200101</t>
  </si>
  <si>
    <t>4.4.47</t>
  </si>
  <si>
    <t>4.4.47 Air Deflectors for Unit Ventilators</t>
  </si>
  <si>
    <t>CI-HVC-ADUV-V01-200101</t>
  </si>
  <si>
    <t>4.4.48</t>
  </si>
  <si>
    <t>4.4.48 Small Commercial Thermostats - Provisional</t>
  </si>
  <si>
    <t>CI-HVC-THST-V01-200101</t>
  </si>
  <si>
    <t>4.5 Lighting End Use</t>
  </si>
  <si>
    <t xml:space="preserve">Addition of footnote to detail source of refrigerated and freezer case waste heat factors. </t>
  </si>
  <si>
    <t>Additional OpenStudio derived outputs.</t>
  </si>
  <si>
    <t xml:space="preserve">Retired </t>
  </si>
  <si>
    <t>Measure removed</t>
  </si>
  <si>
    <t>CI-LTG-T8FX-V08-190101</t>
  </si>
  <si>
    <t>Correction of default midlife adjustment factors.
Remaining useful life to the midlife adjustment is calculated based on 1/3 assumed rated hours.</t>
  </si>
  <si>
    <t>CI-LTG-T8FX-V09-200101</t>
  </si>
  <si>
    <t>Increased lifetime savings</t>
  </si>
  <si>
    <t>CI-LTG-LEDB-V09-200101</t>
  </si>
  <si>
    <t>Applying appropriate TOS and Early Replacement assumptions.
For TOS, baseline is 100% T8 and midlife adjustment is removed. For early replacement, remaining useful life to the mid lifemidlife adjustment is calculated based on 1/3 assumed rated hours.</t>
  </si>
  <si>
    <t>Revision </t>
  </si>
  <si>
    <t>Decreased lifetime savings</t>
  </si>
  <si>
    <t>4.5.6</t>
  </si>
  <si>
    <t>4.5.6 LED Traffic and Pedestrian Signals</t>
  </si>
  <si>
    <t>CI-LTG-LEDT-V02-200601</t>
  </si>
  <si>
    <t>Clarifications to measure life and hour assumptions.</t>
  </si>
  <si>
    <t>CI-LTG-LPDE-V06-200101</t>
  </si>
  <si>
    <t>Correcting LPD values to match final IECC 2018 values.</t>
  </si>
  <si>
    <t>4.5.11</t>
  </si>
  <si>
    <t>4.5.11 Solar Light Tubes</t>
  </si>
  <si>
    <t>CI-LTG-STUB-V03-200101</t>
  </si>
  <si>
    <t>CI-LTG-T5FX-V08-200101</t>
  </si>
  <si>
    <t>For early replacement, remaining useful life to the midlife adjustment is calculated based on 1/3 assumed rated hours.</t>
  </si>
  <si>
    <t>Replaced RF term with EREP.</t>
  </si>
  <si>
    <t>CI-RFG-DHCT-V03-200101</t>
  </si>
  <si>
    <t>Footnote clarifying WHFs</t>
  </si>
  <si>
    <t>4.6.8</t>
  </si>
  <si>
    <t>4.6.8 Refrigeration Economizers</t>
  </si>
  <si>
    <t>CI-RFG-ECON-V06-200101</t>
  </si>
  <si>
    <t>Addition of code requirements.</t>
  </si>
  <si>
    <t>CI-RFG-QMF-V02-200101</t>
  </si>
  <si>
    <t>Added walk-in refrigeration evaporators.</t>
  </si>
  <si>
    <t>4.6.12 Variable Speed Drive for Condenser Fans</t>
  </si>
  <si>
    <t>CI-RFG-VSC-V02-200101</t>
  </si>
  <si>
    <t>Updated cost assumption.</t>
  </si>
  <si>
    <t>Update to savings factors.</t>
  </si>
  <si>
    <t>CI-CPA-VSDA-V03-200101</t>
  </si>
  <si>
    <t>Increase size limit.</t>
  </si>
  <si>
    <t>Clarification of baseline as oil-flooded compressor.</t>
  </si>
  <si>
    <t>Addition of unknown hours.</t>
  </si>
  <si>
    <t>CI-CPA-LPDF-V03-200101</t>
  </si>
  <si>
    <t>Clarification, typo fixes</t>
  </si>
  <si>
    <t>CI-CPA-NCLD-V03-200101</t>
  </si>
  <si>
    <t>Updated Incremental Cost</t>
  </si>
  <si>
    <t>4.7.6</t>
  </si>
  <si>
    <t>4.7.6 Vortex Tube Thermostat</t>
  </si>
  <si>
    <t>CI-CPA-VTEX-V01-200101</t>
  </si>
  <si>
    <t>4.7.7</t>
  </si>
  <si>
    <t>4.7.7 Efficient Desiccant Compressed Air Dryer</t>
  </si>
  <si>
    <t>CI-CPA-DDRY-V01-200101</t>
  </si>
  <si>
    <t>CI-MSC-RINS-V04-200101</t>
  </si>
  <si>
    <t>4.8.3</t>
  </si>
  <si>
    <t>4.8.3 Computer Power Management Software</t>
  </si>
  <si>
    <t>CI-MSC-CPMS-V02-200101</t>
  </si>
  <si>
    <t>Major change based on newer data</t>
  </si>
  <si>
    <t>4.8.6</t>
  </si>
  <si>
    <t>4.8.6 ENERGY STAR Computers</t>
  </si>
  <si>
    <t>CI-MSC-COMP-V02-200101</t>
  </si>
  <si>
    <t xml:space="preserve">Updated ENERGY STAR, 80 Plus and Titanium specs. </t>
  </si>
  <si>
    <t>CI-MSC-APSC-V03-200101</t>
  </si>
  <si>
    <t>Clarification of reference and costs.</t>
  </si>
  <si>
    <t>4.8.12</t>
  </si>
  <si>
    <t>4.8.12 Spring-Loaded Garage Door Hinge</t>
  </si>
  <si>
    <t>CI-MSC-SLDH-V01-200101</t>
  </si>
  <si>
    <t>4.8.13</t>
  </si>
  <si>
    <t>4.8.13 Variable Speed Drives for Process Fans</t>
  </si>
  <si>
    <t>CI-MSC-VSDP-V01-200101</t>
  </si>
  <si>
    <t>4.8.14</t>
  </si>
  <si>
    <t>4.8.14 Low Flow Toilet and Urinals</t>
  </si>
  <si>
    <t>CI-MSC-LFTU-V01-200101</t>
  </si>
  <si>
    <t>4.8.15</t>
  </si>
  <si>
    <t>4.8.15 Smart Irrigation Controls</t>
  </si>
  <si>
    <t>CI-MSC-SIRC-V01-200101</t>
  </si>
  <si>
    <t>4.8.16</t>
  </si>
  <si>
    <t>4.8.16 Commercial Weather Stripping</t>
  </si>
  <si>
    <t>CI-MSC-WTST-V01-200101</t>
  </si>
  <si>
    <t>5.1.1</t>
  </si>
  <si>
    <t>5.1.1 ENERGY STAR Air Purifier</t>
  </si>
  <si>
    <t>RS-APL-ESAP-V03-200601</t>
  </si>
  <si>
    <t>Clarification of Coincidence Factor</t>
  </si>
  <si>
    <t>RS-APL-ESCL-V07-190101</t>
  </si>
  <si>
    <t>RS-APL-ESCL-V08-200101</t>
  </si>
  <si>
    <t xml:space="preserve">Update to # cycles assumption and % electric DHW and % electric dryer. </t>
  </si>
  <si>
    <t>RS-APL-ESDH-V06-190101</t>
  </si>
  <si>
    <t>Recalculation of savings.</t>
  </si>
  <si>
    <t>Dependent on type</t>
  </si>
  <si>
    <t>RS-APL-ESDH-V07-200101</t>
  </si>
  <si>
    <t>Update to Federal Standard and ENERGY STAR criteria.</t>
  </si>
  <si>
    <t>RS-APL-ESDI-V05-190101</t>
  </si>
  <si>
    <t>RS-APL-ESRE-V07-200101</t>
  </si>
  <si>
    <t>Make RUL assumption consistent.</t>
  </si>
  <si>
    <t>RS-APL-ESDR-V03-200101</t>
  </si>
  <si>
    <t>Addition of loadshape.</t>
  </si>
  <si>
    <t>RS-APL-OZNE-V02-200101</t>
  </si>
  <si>
    <t>Addition of multifamily common area assumptions.</t>
  </si>
  <si>
    <t>RS-CEL-SSTR-V05-200101</t>
  </si>
  <si>
    <t>Addition of community distributed kit ISR and update to school ISR.</t>
  </si>
  <si>
    <t>RS-CEL-APS2-V04-200101</t>
  </si>
  <si>
    <t>Update to BaselineEnergy assumption.</t>
  </si>
  <si>
    <t>Update to classification memo.</t>
  </si>
  <si>
    <t>RS-HVC-ASHP-V09-200101</t>
  </si>
  <si>
    <t>Clarification electric resistance deferred replacement cost</t>
  </si>
  <si>
    <t>RS-HVC-DINS-V08-200101</t>
  </si>
  <si>
    <t>Addition of deemed values for system efficiency and %homes with fuel types.</t>
  </si>
  <si>
    <t>RS-HVC-FBMT-V05-200101</t>
  </si>
  <si>
    <t>Removal of TOS and NC – now a retrofit or early replacement measure.</t>
  </si>
  <si>
    <t>Update to lifetime and cost.</t>
  </si>
  <si>
    <t>RS-HVC-GHEF-V09-200101</t>
  </si>
  <si>
    <t>Fixing denominator in example calc - 100067 to 100000 as per algorithm</t>
  </si>
  <si>
    <t>RS-HVC-GSHP-V09-200101</t>
  </si>
  <si>
    <t>5.3.10 HVAC Tune Up</t>
  </si>
  <si>
    <t>RS-HVC-TUNE-V05-200101</t>
  </si>
  <si>
    <t>Update to measure life</t>
  </si>
  <si>
    <t>RS-HVC-PROG-V06-200101</t>
  </si>
  <si>
    <t>Clarification that savings are on household level and should be claimed for one per home.</t>
  </si>
  <si>
    <t>Update to MF/SF split.</t>
  </si>
  <si>
    <t>RS-HVC-DHP-V07-190101</t>
  </si>
  <si>
    <t>Clarification of remaining useful life for electric resistance heat and electric resistance deferred replacement cost</t>
  </si>
  <si>
    <t>RS-HVC-FTUN-V05-200101</t>
  </si>
  <si>
    <t>Fixing typo in algorithm.</t>
  </si>
  <si>
    <t>Measure life update.</t>
  </si>
  <si>
    <t>5.3.15</t>
  </si>
  <si>
    <t>5.3.15 ENERGY STAR Ceiling Fan</t>
  </si>
  <si>
    <t>RS-HVC-CFAN-V03-200101</t>
  </si>
  <si>
    <t>Updates to baseline and efficient standards.</t>
  </si>
  <si>
    <t>RS-HVC-ADTH-V04-200101</t>
  </si>
  <si>
    <t>5.3.18</t>
  </si>
  <si>
    <t>5.3.18 Furnace Filter Alarm</t>
  </si>
  <si>
    <t>RS-HVC-FUWH-V01-200101</t>
  </si>
  <si>
    <t>RS-HWE-HPWH-V08-190101</t>
  </si>
  <si>
    <t>Update to baseline algorithm</t>
  </si>
  <si>
    <t>RS-HWE-HPWH-V09-200101</t>
  </si>
  <si>
    <t>5.4.4 Low Flow Aerators</t>
  </si>
  <si>
    <t>RS-HWE-LFFA-V08-190101</t>
  </si>
  <si>
    <t>RS-HWE-LFFA-V09-200101</t>
  </si>
  <si>
    <t>Decreases dependent on program</t>
  </si>
  <si>
    <t>RS-HWE-LFSH-V07-190101</t>
  </si>
  <si>
    <t>RS-HWE-LFSH-V08-200101</t>
  </si>
  <si>
    <t>Update to school and DI ISR.</t>
  </si>
  <si>
    <t>5.4.6 Water Heater Temperature Setback</t>
  </si>
  <si>
    <t>RS-HWE-TMPS-V07-200101</t>
  </si>
  <si>
    <t>Addition of school instructions kit ISRs</t>
  </si>
  <si>
    <t>5.4.8 Thermostat Restrictor Valve</t>
  </si>
  <si>
    <t>RS-HWE-TRVA-V05-190101</t>
  </si>
  <si>
    <t>Change to DI GPM.</t>
  </si>
  <si>
    <t>RS-DHW-SHTM-V03-190101</t>
  </si>
  <si>
    <t>5.4.10</t>
  </si>
  <si>
    <t>5.4.10 Pool Covers</t>
  </si>
  <si>
    <t>RS-HWE-PLCV-V01-200101</t>
  </si>
  <si>
    <t xml:space="preserve">New measure </t>
  </si>
  <si>
    <t>5.5.4 Exterior Hardired Compact Fluorescent Lamp Fixture</t>
  </si>
  <si>
    <t>RS-LTG-LEDD-V10-200101</t>
  </si>
  <si>
    <t>Decrease lifetime savings</t>
  </si>
  <si>
    <t>RS-LTG-LEDA-V08-200101</t>
  </si>
  <si>
    <t>RS-LTG-LDFX-V02-200101</t>
  </si>
  <si>
    <t>RS-LTG-LEDH-V02-200101</t>
  </si>
  <si>
    <t>Update to leakage assumption</t>
  </si>
  <si>
    <t>5.5.12</t>
  </si>
  <si>
    <t>5.5.12 Connected LED Lamps</t>
  </si>
  <si>
    <t>RS-LTG-LEDC-V01-200101</t>
  </si>
  <si>
    <t>RS-SHL-AIRS-V08-200101</t>
  </si>
  <si>
    <t>Addition of shrink fit window film to Rx section</t>
  </si>
  <si>
    <t>Addition of income eligible adjustment to offset net savings inherent in ADJ variable.</t>
  </si>
  <si>
    <t>Addition of deemed value for system efficiency and %homes.</t>
  </si>
  <si>
    <t>RS-SHL-BINS-V10-200101</t>
  </si>
  <si>
    <t>5.6.3 Floor Insulation Above Crawlspace</t>
  </si>
  <si>
    <t>RS-SHL-FINS-V10-190101</t>
  </si>
  <si>
    <t>Update to default for uninsulated floor.</t>
  </si>
  <si>
    <t>RS-SHL-FINS-V11-200101</t>
  </si>
  <si>
    <t>RS-SHL-WINS-V09-200101</t>
  </si>
  <si>
    <t>RS-SHL-AINS-V02-200101</t>
  </si>
  <si>
    <t>Update to uninsulated R-value assumption.</t>
  </si>
  <si>
    <t>RS-SHL-RINS-V02-200101</t>
  </si>
  <si>
    <t>5.7.2</t>
  </si>
  <si>
    <t>5.7.2 Low Flow Toilets</t>
  </si>
  <si>
    <t>RS-MSC-LFTU-V01-200101</t>
  </si>
  <si>
    <t>Attachment B</t>
  </si>
  <si>
    <t>Effective Useful Life for Custom Measure Guidelines</t>
  </si>
  <si>
    <t xml:space="preserve">Addition of Thermostat Optimization EUL assumption. </t>
  </si>
  <si>
    <t xml:space="preserve">Split C&amp;I and RES measures. </t>
  </si>
  <si>
    <t>Update to Retrocommissioning EUL.</t>
  </si>
  <si>
    <t>Attachment C</t>
  </si>
  <si>
    <t>Framework for Counting Market Transformation Savings in Illinois</t>
  </si>
  <si>
    <t>New section</t>
  </si>
  <si>
    <t>Edits to 3.3.1 LED Lamp and Linear Fluorescents
Baseline treatment, including specific additional
assumptions for Income Eligible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</si>
  <si>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4.4.42 Advanced Thermostats for Small Commercial </t>
  </si>
  <si>
    <t>Update to timing of T12 baseline .</t>
  </si>
  <si>
    <t>Text added to explain savings is 0 post-EISA backstop, assumed now to be 1/1/2022 for Standard A-lamps and 1/1/2025 for specialties and directional,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Agreement to participate in a working group to discuss, undertake necessary research, and develop consensus market forecasts to inform midlife adjustments to be made; and schedule for potential application of any such agreed upon adjustments.</t>
  </si>
  <si>
    <t>Update to loadshape
Fixing baseline EF in example calculation.</t>
  </si>
  <si>
    <t>Update to Res v C&amp;I split, ISR and leakage. 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</si>
  <si>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 to Res v C&amp;I split, ISR and leakage. Text added to explain savings is 0 post-EISA backstop, now 1/1/2022, although Utilitiesreserve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</si>
  <si>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</si>
  <si>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Updated base and EE flow rates</t>
  </si>
  <si>
    <t>Unit Savings Calculations'!$X$145</t>
  </si>
  <si>
    <t>Updated EPG_gas</t>
  </si>
  <si>
    <t>Unit Savings Calculations'!$AF$144</t>
  </si>
  <si>
    <t>EFHL_SBES</t>
  </si>
  <si>
    <t>Updated heating EFLH for various measures</t>
  </si>
  <si>
    <t>Unit Savings Calculations'!W70</t>
  </si>
  <si>
    <t>No new construction measure algorithms</t>
  </si>
  <si>
    <t>No algorithms for new building types</t>
  </si>
  <si>
    <t>Water impacts are electric only</t>
  </si>
  <si>
    <t>Does not affect algorithm</t>
  </si>
  <si>
    <t>No kit aerators (DI only)</t>
  </si>
  <si>
    <t>Updated SF ISR</t>
  </si>
  <si>
    <t>Unit Savings Calculations'!AI27</t>
  </si>
  <si>
    <t>ΔTherms = ((((1/R_old - 1/R_attic) * A_attic * (1-Framing_factor_attic)) * 24 * HDD) / (ηHeat * 100,000 Btu/therm) * ADJAtticGasHeat * IENetCorrection * %GasHeat</t>
  </si>
  <si>
    <t>IENetCorrection</t>
  </si>
  <si>
    <t>%GasHeat</t>
  </si>
  <si>
    <t>Updated algorithm with new variables</t>
  </si>
  <si>
    <t>Algorithm does not assume uninsulated R-value</t>
  </si>
  <si>
    <t>Unit Savings Calculations'!V62</t>
  </si>
  <si>
    <t>Updated heating EFLH</t>
  </si>
  <si>
    <t>Showerhead ISR</t>
  </si>
  <si>
    <t>EFLH adjustment</t>
  </si>
  <si>
    <t>Showerhead, Pre-Rinse Sprayer adjustments</t>
  </si>
  <si>
    <t>EFLH, Pre-Rinse Sprayer adjustments</t>
  </si>
  <si>
    <t>Electric only</t>
  </si>
  <si>
    <t>TRM v7 Energy Savings Goal (Therms)</t>
  </si>
  <si>
    <t>ΔTherms = (((CFM50_existing - CFM50_new)/N_heat) * 60 * 24 * HDD * 0.018) / (ηHeat * 100,000) * ADJAirSealingGasHeat * IENetCorrection</t>
  </si>
  <si>
    <t>Unit Savings Calculations'!V61</t>
  </si>
  <si>
    <t>Showerhead ISR, Attic Insulation, Air Sealing</t>
  </si>
  <si>
    <t>Updated 01/16/2020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</si>
</sst>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65">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u/>
      <sz val="10"/>
      <name val="Calibri"/>
      <family val="2"/>
      <scheme val="minor"/>
    </font>
    <font>
      <i/>
      <sz val="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sz val="10"/>
      <color rgb="FF000000"/>
      <name val="Calibri"/>
      <family val="2"/>
    </font>
    <font>
      <b/>
      <sz val="11"/>
      <color theme="0"/>
      <name val="Calibri"/>
      <family val="2"/>
      <scheme val="minor"/>
    </font>
    <font>
      <b/>
      <sz val="11"/>
      <color rgb="FFFFFFFF"/>
      <name val="Calibri"/>
      <family val="2"/>
      <scheme val="minor"/>
    </font>
    <font>
      <sz val="9"/>
      <color theme="1"/>
      <name val="Calibri"/>
      <family val="2"/>
      <scheme val="minor"/>
    </font>
    <font>
      <b/>
      <sz val="11"/>
      <color rgb="FF000000"/>
      <name val="Calibri"/>
      <family val="2"/>
    </font>
    <font>
      <b/>
      <sz val="11"/>
      <color rgb="FF000000"/>
      <name val="Calibri"/>
      <family val="2"/>
      <scheme val="minor"/>
    </font>
    <font>
      <b/>
      <sz val="11"/>
      <name val="Calibri"/>
      <family val="2"/>
      <scheme val="minor"/>
    </font>
    <font>
      <b/>
      <sz val="9"/>
      <color indexed="81"/>
      <name val="Tahoma"/>
      <charset val="1"/>
    </font>
    <font>
      <sz val="9"/>
      <color indexed="81"/>
      <name val="Tahoma"/>
      <charset val="1"/>
    </font>
  </fonts>
  <fills count="107">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theme="8"/>
        <bgColor rgb="FF000000"/>
      </patternFill>
    </fill>
    <fill>
      <patternFill patternType="solid">
        <fgColor theme="8"/>
        <bgColor indexed="64"/>
      </patternFill>
    </fill>
    <fill>
      <patternFill patternType="solid">
        <fgColor rgb="FF80808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dashed">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s>
  <cellStyleXfs count="51837">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1" fillId="0" borderId="0"/>
    <xf numFmtId="0" fontId="19" fillId="0" borderId="0"/>
    <xf numFmtId="0" fontId="21" fillId="0" borderId="0"/>
    <xf numFmtId="0" fontId="19" fillId="0" borderId="0"/>
    <xf numFmtId="0" fontId="19" fillId="0" borderId="0"/>
    <xf numFmtId="0" fontId="22" fillId="0" borderId="0"/>
    <xf numFmtId="0" fontId="19" fillId="0" borderId="0"/>
    <xf numFmtId="0" fontId="23" fillId="0" borderId="0">
      <alignment vertical="top"/>
    </xf>
    <xf numFmtId="0" fontId="23" fillId="0" borderId="0">
      <alignment vertical="top"/>
    </xf>
    <xf numFmtId="0" fontId="20" fillId="0" borderId="0"/>
    <xf numFmtId="0" fontId="22" fillId="0" borderId="0"/>
    <xf numFmtId="0" fontId="19" fillId="0" borderId="0"/>
    <xf numFmtId="0" fontId="21" fillId="0" borderId="0"/>
    <xf numFmtId="0" fontId="24" fillId="0" borderId="0" applyNumberFormat="0" applyFill="0" applyBorder="0" applyAlignment="0" applyProtection="0"/>
    <xf numFmtId="174" fontId="19" fillId="0" borderId="0">
      <alignment horizontal="left" wrapText="1"/>
    </xf>
    <xf numFmtId="0" fontId="19" fillId="0" borderId="0"/>
    <xf numFmtId="0" fontId="22"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24" fillId="0" borderId="0" applyNumberFormat="0" applyFill="0" applyBorder="0" applyAlignment="0" applyProtection="0"/>
    <xf numFmtId="0" fontId="24" fillId="0" borderId="0" applyNumberFormat="0" applyFill="0" applyBorder="0" applyAlignment="0" applyProtection="0"/>
    <xf numFmtId="0" fontId="19" fillId="0" borderId="0"/>
    <xf numFmtId="0" fontId="25" fillId="0" borderId="0"/>
    <xf numFmtId="0" fontId="19" fillId="0" borderId="0"/>
    <xf numFmtId="0" fontId="19" fillId="0" borderId="0"/>
    <xf numFmtId="0" fontId="21" fillId="0" borderId="0"/>
    <xf numFmtId="165" fontId="26" fillId="0" borderId="0" applyFont="0" applyFill="0" applyBorder="0" applyAlignment="0" applyProtection="0">
      <alignment horizontal="right"/>
    </xf>
    <xf numFmtId="2" fontId="26" fillId="0" borderId="0" applyFont="0" applyFill="0" applyBorder="0" applyAlignment="0" applyProtection="0">
      <alignment horizontal="right"/>
    </xf>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27"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1" fillId="18"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11" fillId="24"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11" fillId="28"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11" fillId="33"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11" fillId="15"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11" fillId="21" borderId="0" applyNumberFormat="0" applyBorder="0" applyAlignment="0" applyProtection="0"/>
    <xf numFmtId="0" fontId="29" fillId="21"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11" fillId="25"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30" fillId="62" borderId="0" applyNumberFormat="0" applyBorder="0" applyAlignment="0" applyProtection="0"/>
    <xf numFmtId="0" fontId="31" fillId="0" borderId="0">
      <alignment horizontal="center" wrapText="1"/>
      <protection locked="0"/>
    </xf>
    <xf numFmtId="0" fontId="32" fillId="0" borderId="0" applyNumberFormat="0" applyProtection="0"/>
    <xf numFmtId="0" fontId="19" fillId="63" borderId="1"/>
    <xf numFmtId="0" fontId="19" fillId="64" borderId="1"/>
    <xf numFmtId="0" fontId="19" fillId="65" borderId="1"/>
    <xf numFmtId="0" fontId="19" fillId="66" borderId="1"/>
    <xf numFmtId="0" fontId="19" fillId="67" borderId="1"/>
    <xf numFmtId="175" fontId="26" fillId="0" borderId="0" applyFont="0" applyFill="0" applyBorder="0" applyAlignment="0" applyProtection="0"/>
    <xf numFmtId="175" fontId="26" fillId="0" borderId="0" applyFont="0" applyFill="0" applyBorder="0" applyAlignment="0" applyProtection="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2" fontId="34" fillId="62" borderId="0" applyAlignment="0">
      <alignment horizontal="right"/>
    </xf>
    <xf numFmtId="0" fontId="31" fillId="0" borderId="25" applyNumberFormat="0" applyFont="0" applyFill="0" applyAlignment="0" applyProtection="0"/>
    <xf numFmtId="176" fontId="19" fillId="0" borderId="26" applyNumberFormat="0" applyFill="0" applyAlignment="0" applyProtection="0"/>
    <xf numFmtId="3" fontId="30" fillId="69" borderId="0" applyNumberFormat="0" applyBorder="0" applyAlignment="0" applyProtection="0"/>
    <xf numFmtId="174" fontId="19" fillId="0" borderId="0" applyFill="0" applyBorder="0" applyAlignment="0"/>
    <xf numFmtId="171" fontId="19" fillId="0" borderId="0" applyFill="0" applyBorder="0" applyAlignment="0"/>
    <xf numFmtId="177" fontId="19" fillId="0" borderId="0" applyFill="0" applyBorder="0" applyAlignment="0"/>
    <xf numFmtId="178" fontId="19" fillId="0" borderId="0" applyFill="0" applyBorder="0" applyAlignment="0"/>
    <xf numFmtId="179"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3" fontId="26" fillId="0" borderId="0" applyNumberFormat="0" applyFill="0" applyBorder="0"/>
    <xf numFmtId="3" fontId="26" fillId="0" borderId="0" applyNumberFormat="0" applyFill="0" applyBorder="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25" fillId="0" borderId="0"/>
    <xf numFmtId="0" fontId="37" fillId="71"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26" fillId="0" borderId="0" applyNumberFormat="0" applyFill="0" applyBorder="0" applyProtection="0">
      <alignment horizontal="center" wrapText="1"/>
    </xf>
    <xf numFmtId="0" fontId="26" fillId="0" borderId="0" applyNumberFormat="0" applyFill="0" applyBorder="0" applyProtection="0">
      <alignment horizontal="center" wrapText="1"/>
    </xf>
    <xf numFmtId="4" fontId="30" fillId="73" borderId="30" applyNumberFormat="0" applyProtection="0">
      <alignment horizontal="right" wrapText="1"/>
    </xf>
    <xf numFmtId="41"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8" fillId="0" borderId="0" applyFont="0" applyFill="0" applyBorder="0" applyAlignment="0" applyProtection="0"/>
    <xf numFmtId="43" fontId="23" fillId="0" borderId="0" applyFont="0" applyFill="0" applyBorder="0" applyAlignment="0" applyProtection="0">
      <alignment vertical="top"/>
    </xf>
    <xf numFmtId="43" fontId="19" fillId="0" borderId="0" applyFont="0" applyFill="0" applyBorder="0" applyAlignment="0" applyProtection="0"/>
    <xf numFmtId="43" fontId="8"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26" fillId="0" borderId="0" applyFont="0" applyFill="0" applyBorder="0" applyAlignment="0" applyProtection="0">
      <alignment horizontal="right"/>
    </xf>
    <xf numFmtId="0" fontId="47" fillId="0" borderId="10" applyBorder="0" applyProtection="0"/>
    <xf numFmtId="0" fontId="48" fillId="0" borderId="0" applyNumberFormat="0" applyAlignment="0">
      <alignment horizontal="left"/>
    </xf>
    <xf numFmtId="182" fontId="31" fillId="0" borderId="0" applyFont="0" applyFill="0" applyBorder="0" applyAlignment="0" applyProtection="0">
      <protection locked="0"/>
    </xf>
    <xf numFmtId="171"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4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6"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2"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5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166" fontId="26" fillId="0" borderId="0"/>
    <xf numFmtId="183" fontId="19"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53"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5" fontId="19" fillId="0" borderId="0" applyFont="0" applyFill="0" applyBorder="0" applyAlignment="0" applyProtection="0"/>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0" fontId="26" fillId="0" borderId="0" applyNumberFormat="0" applyAlignment="0">
      <alignment horizontal="center"/>
    </xf>
    <xf numFmtId="186" fontId="19" fillId="0" borderId="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187" fontId="19" fillId="0" borderId="0" applyFont="0" applyFill="0" applyBorder="0" applyAlignment="0" applyProtection="0"/>
    <xf numFmtId="14" fontId="23" fillId="0" borderId="0" applyFill="0" applyBorder="0" applyAlignment="0"/>
    <xf numFmtId="0" fontId="58" fillId="62" borderId="0" applyNumberFormat="0" applyBorder="0" applyAlignment="0" applyProtection="0"/>
    <xf numFmtId="0" fontId="59" fillId="0" borderId="0">
      <alignment horizontal="left" vertical="top" wrapText="1"/>
    </xf>
    <xf numFmtId="188" fontId="19" fillId="0" borderId="0" applyFont="0" applyFill="0" applyBorder="0" applyAlignment="0" applyProtection="0"/>
    <xf numFmtId="189" fontId="19" fillId="0" borderId="0" applyFont="0" applyFill="0" applyBorder="0" applyAlignment="0" applyProtection="0"/>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60" fillId="0" borderId="0" applyNumberFormat="0" applyAlignment="0">
      <alignment horizontal="left"/>
    </xf>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2" fontId="19" fillId="0" borderId="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91"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8" fontId="52" fillId="77" borderId="0" applyNumberFormat="0" applyFont="0" applyAlignment="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77" borderId="1"/>
    <xf numFmtId="38" fontId="26" fillId="69" borderId="0" applyNumberFormat="0" applyBorder="0" applyAlignment="0" applyProtection="0"/>
    <xf numFmtId="38" fontId="26" fillId="69" borderId="0" applyNumberFormat="0" applyBorder="0" applyAlignment="0" applyProtection="0"/>
    <xf numFmtId="38" fontId="26" fillId="69" borderId="0" applyNumberFormat="0" applyBorder="0" applyAlignment="0" applyProtection="0"/>
    <xf numFmtId="0" fontId="38" fillId="68" borderId="31">
      <alignment vertical="top" wrapText="1"/>
    </xf>
    <xf numFmtId="0" fontId="67" fillId="0" borderId="32" applyNumberFormat="0" applyAlignment="0" applyProtection="0">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4" fontId="68" fillId="69"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69" fillId="0" borderId="33" applyNumberFormat="0" applyFill="0" applyAlignment="0" applyProtection="0"/>
    <xf numFmtId="0" fontId="9" fillId="0" borderId="21" applyNumberFormat="0" applyFill="0" applyAlignment="0" applyProtection="0"/>
    <xf numFmtId="0" fontId="71" fillId="0" borderId="0" applyNumberFormat="0" applyFill="0" applyBorder="0" applyAlignment="0" applyProtection="0"/>
    <xf numFmtId="0" fontId="72" fillId="0" borderId="34" applyNumberFormat="0" applyFill="0" applyAlignment="0" applyProtection="0"/>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9" fillId="0" borderId="33" applyNumberFormat="0" applyFill="0" applyAlignment="0" applyProtection="0"/>
    <xf numFmtId="0" fontId="72" fillId="0" borderId="3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35" applyNumberFormat="0" applyFill="0" applyAlignment="0" applyProtection="0"/>
    <xf numFmtId="0" fontId="67" fillId="0" borderId="0" applyNumberFormat="0" applyFill="0" applyBorder="0" applyAlignment="0" applyProtection="0"/>
    <xf numFmtId="0" fontId="74" fillId="0" borderId="35" applyNumberFormat="0" applyFill="0" applyAlignment="0" applyProtection="0"/>
    <xf numFmtId="0" fontId="73" fillId="0" borderId="35" applyNumberFormat="0" applyFill="0" applyAlignment="0" applyProtection="0"/>
    <xf numFmtId="0" fontId="75" fillId="0" borderId="35" applyNumberFormat="0" applyFill="0" applyAlignment="0" applyProtection="0"/>
    <xf numFmtId="0" fontId="67" fillId="0" borderId="0" applyNumberFormat="0" applyFill="0" applyBorder="0" applyAlignment="0" applyProtection="0"/>
    <xf numFmtId="0" fontId="73" fillId="0" borderId="35" applyNumberFormat="0" applyFill="0" applyAlignment="0" applyProtection="0"/>
    <xf numFmtId="0" fontId="74" fillId="0" borderId="35"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6" fillId="0" borderId="36"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10" fillId="0" borderId="22"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26" fillId="0" borderId="0" applyNumberFormat="0" applyFont="0" applyFill="0" applyBorder="0" applyProtection="0">
      <alignment horizontal="center" vertical="top" wrapText="1"/>
    </xf>
    <xf numFmtId="0" fontId="78" fillId="0" borderId="0"/>
    <xf numFmtId="0" fontId="78" fillId="0" borderId="0"/>
    <xf numFmtId="0" fontId="19" fillId="0" borderId="0"/>
    <xf numFmtId="0" fontId="79" fillId="0" borderId="25">
      <alignment horizontal="center"/>
    </xf>
    <xf numFmtId="0" fontId="79" fillId="0" borderId="0">
      <alignment horizontal="center"/>
    </xf>
    <xf numFmtId="0" fontId="80" fillId="0" borderId="0">
      <alignment vertical="center"/>
    </xf>
    <xf numFmtId="0" fontId="81" fillId="0" borderId="0"/>
    <xf numFmtId="0" fontId="81" fillId="0" borderId="6" applyFill="0" applyBorder="0" applyProtection="0">
      <alignment horizontal="center" wrapText="1"/>
    </xf>
    <xf numFmtId="0" fontId="81" fillId="0" borderId="0" applyFill="0" applyBorder="0" applyProtection="0">
      <alignment horizontal="left" vertical="top" wrapText="1"/>
    </xf>
    <xf numFmtId="176" fontId="82" fillId="0" borderId="0">
      <protection hidden="1"/>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0" fontId="26" fillId="78" borderId="1" applyNumberFormat="0" applyBorder="0" applyAlignment="0" applyProtection="0"/>
    <xf numFmtId="10" fontId="26" fillId="78" borderId="1" applyNumberFormat="0" applyBorder="0" applyAlignment="0" applyProtection="0"/>
    <xf numFmtId="10" fontId="26" fillId="78" borderId="1" applyNumberFormat="0" applyBorder="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169" fontId="89" fillId="0" borderId="0" applyAlignment="0">
      <protection locked="0"/>
    </xf>
    <xf numFmtId="169" fontId="89" fillId="0" borderId="0" applyAlignment="0">
      <protection locked="0"/>
    </xf>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19" fillId="0" borderId="1" applyNumberFormat="0">
      <alignment horizontal="left" wrapText="1"/>
      <protection locked="0"/>
    </xf>
    <xf numFmtId="0" fontId="19" fillId="0" borderId="1" applyNumberFormat="0">
      <alignment horizontal="left" wrapText="1"/>
      <protection locked="0"/>
    </xf>
    <xf numFmtId="0" fontId="19" fillId="79" borderId="1" applyFont="0" applyFill="0" applyBorder="0" applyAlignment="0" applyProtection="0">
      <alignment horizontal="center"/>
      <protection locked="0"/>
    </xf>
    <xf numFmtId="0" fontId="19" fillId="78" borderId="1" applyNumberFormat="0" applyProtection="0">
      <alignment vertical="center" wrapText="1"/>
    </xf>
    <xf numFmtId="0" fontId="19" fillId="78" borderId="1" applyNumberFormat="0" applyProtection="0">
      <alignment vertical="center" wrapText="1"/>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9" fontId="30" fillId="69" borderId="0" applyNumberFormat="0" applyFont="0" applyBorder="0" applyAlignment="0">
      <protection locked="0"/>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9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6" fontId="78" fillId="80" borderId="39" applyNumberFormat="0" applyAlignment="0" applyProtection="0">
      <alignment horizontal="left"/>
    </xf>
    <xf numFmtId="197" fontId="96" fillId="0" borderId="0" applyFont="0" applyFill="0" applyBorder="0" applyProtection="0">
      <alignment horizontal="right"/>
    </xf>
    <xf numFmtId="198" fontId="81" fillId="0" borderId="0" applyFont="0" applyFill="0" applyBorder="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37" fontId="98" fillId="0" borderId="0"/>
    <xf numFmtId="0" fontId="19" fillId="0" borderId="40">
      <alignment horizontal="center"/>
    </xf>
    <xf numFmtId="0" fontId="82" fillId="0" borderId="0"/>
    <xf numFmtId="0" fontId="19" fillId="69" borderId="1" applyNumberFormat="0" applyAlignment="0"/>
    <xf numFmtId="0" fontId="19" fillId="69" borderId="1" applyNumberFormat="0" applyAlignment="0"/>
    <xf numFmtId="199" fontId="9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44" fillId="0" borderId="0"/>
    <xf numFmtId="0" fontId="44" fillId="0" borderId="0"/>
    <xf numFmtId="0" fontId="44" fillId="0" borderId="0"/>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5"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21" fillId="0" borderId="0"/>
    <xf numFmtId="0" fontId="43"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174" fontId="19" fillId="0" borderId="0">
      <alignment horizontal="left" wrapText="1"/>
    </xf>
    <xf numFmtId="0" fontId="23" fillId="0" borderId="0">
      <alignment vertical="top"/>
    </xf>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19" fillId="0" borderId="0"/>
    <xf numFmtId="0" fontId="8" fillId="0" borderId="0"/>
    <xf numFmtId="0" fontId="19" fillId="0" borderId="0">
      <alignment wrapText="1"/>
    </xf>
    <xf numFmtId="0" fontId="8" fillId="0" borderId="0"/>
    <xf numFmtId="0" fontId="19"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42"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23" fillId="0" borderId="0">
      <alignment vertical="top"/>
    </xf>
    <xf numFmtId="0" fontId="19" fillId="0" borderId="0"/>
    <xf numFmtId="0" fontId="19" fillId="0" borderId="0"/>
    <xf numFmtId="0" fontId="19" fillId="0" borderId="0"/>
    <xf numFmtId="0" fontId="101" fillId="0" borderId="0"/>
    <xf numFmtId="0" fontId="19" fillId="0" borderId="0"/>
    <xf numFmtId="0" fontId="101" fillId="0" borderId="0"/>
    <xf numFmtId="0" fontId="46" fillId="0" borderId="0"/>
    <xf numFmtId="0" fontId="8" fillId="0" borderId="0"/>
    <xf numFmtId="0" fontId="8" fillId="0" borderId="0"/>
    <xf numFmtId="0" fontId="8" fillId="0" borderId="0"/>
    <xf numFmtId="0" fontId="8" fillId="0" borderId="0"/>
    <xf numFmtId="0" fontId="8" fillId="0" borderId="0"/>
    <xf numFmtId="0" fontId="102"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alignment wrapText="1"/>
    </xf>
    <xf numFmtId="0" fontId="51" fillId="0" borderId="0"/>
    <xf numFmtId="0" fontId="19" fillId="0" borderId="0"/>
    <xf numFmtId="0" fontId="5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alignment vertical="top"/>
    </xf>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2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19" fillId="0" borderId="0"/>
    <xf numFmtId="0" fontId="8" fillId="0" borderId="0"/>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8" fillId="0" borderId="0"/>
    <xf numFmtId="0" fontId="12" fillId="0" borderId="0"/>
    <xf numFmtId="0" fontId="19" fillId="0" borderId="0"/>
    <xf numFmtId="0" fontId="19" fillId="0" borderId="0"/>
    <xf numFmtId="0" fontId="1"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1" fillId="0" borderId="0"/>
    <xf numFmtId="0" fontId="19"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8" fillId="0" borderId="0"/>
    <xf numFmtId="0" fontId="101" fillId="0" borderId="0"/>
    <xf numFmtId="0" fontId="8" fillId="0" borderId="0"/>
    <xf numFmtId="0" fontId="8" fillId="0" borderId="0"/>
    <xf numFmtId="0" fontId="8" fillId="0" borderId="0"/>
    <xf numFmtId="0" fontId="10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04" fillId="0" borderId="0"/>
    <xf numFmtId="0" fontId="19" fillId="0" borderId="0"/>
    <xf numFmtId="0" fontId="19"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8" fillId="0" borderId="0"/>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applyNumberFormat="0" applyFont="0" applyFill="0" applyBorder="0" applyAlignment="0" applyProtection="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51"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8" fillId="0" borderId="0"/>
    <xf numFmtId="0" fontId="8"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81" borderId="1" applyNumberFormat="0" applyFont="0" applyBorder="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200" fontId="106" fillId="74" borderId="28">
      <alignment horizontal="right"/>
    </xf>
    <xf numFmtId="49" fontId="107" fillId="82" borderId="0" applyFont="0" applyFill="0" applyBorder="0" applyAlignment="0">
      <alignment horizontal="right"/>
    </xf>
    <xf numFmtId="0" fontId="30" fillId="0" borderId="6" applyFill="0" applyProtection="0">
      <alignment horizontal="right" wrapText="1"/>
    </xf>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0" fontId="111" fillId="83" borderId="0">
      <alignment horizontal="center"/>
    </xf>
    <xf numFmtId="0" fontId="112" fillId="62" borderId="0">
      <alignment horizontal="right"/>
    </xf>
    <xf numFmtId="0" fontId="112" fillId="62" borderId="0">
      <alignment horizontal="right"/>
    </xf>
    <xf numFmtId="0" fontId="113" fillId="84" borderId="12"/>
    <xf numFmtId="0" fontId="114" fillId="62" borderId="12"/>
    <xf numFmtId="0" fontId="114" fillId="62" borderId="12"/>
    <xf numFmtId="0" fontId="115" fillId="84" borderId="0" applyBorder="0">
      <alignment horizontal="centerContinuous"/>
    </xf>
    <xf numFmtId="0" fontId="116" fillId="0" borderId="0" applyFill="0" applyBorder="0" applyProtection="0">
      <alignment horizontal="left"/>
    </xf>
    <xf numFmtId="0" fontId="117" fillId="0" borderId="0" applyFill="0" applyBorder="0" applyProtection="0">
      <alignment horizontal="left"/>
    </xf>
    <xf numFmtId="14" fontId="31" fillId="0" borderId="0">
      <alignment horizontal="center" wrapText="1"/>
      <protection locked="0"/>
    </xf>
    <xf numFmtId="0" fontId="26" fillId="0" borderId="0"/>
    <xf numFmtId="0" fontId="26" fillId="0" borderId="0"/>
    <xf numFmtId="179" fontId="19" fillId="0" borderId="0" applyFont="0" applyFill="0" applyBorder="0" applyAlignment="0" applyProtection="0"/>
    <xf numFmtId="202" fontId="19" fillId="0" borderId="0" applyFont="0" applyFill="0" applyBorder="0" applyAlignment="0" applyProtection="0"/>
    <xf numFmtId="202"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NumberFormat="0" applyFont="0" applyFill="0" applyBorder="0" applyAlignment="0" applyProtection="0"/>
    <xf numFmtId="9" fontId="19" fillId="0" borderId="0" applyFont="0" applyFill="0" applyBorder="0" applyAlignment="0" applyProtection="0"/>
    <xf numFmtId="9" fontId="19"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203" fontId="31" fillId="0" borderId="0" applyFont="0" applyFill="0" applyBorder="0" applyProtection="0">
      <alignment horizontal="right"/>
    </xf>
    <xf numFmtId="204" fontId="81" fillId="0" borderId="0" applyFont="0" applyFill="0" applyBorder="0" applyProtection="0">
      <alignment horizontal="center"/>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52" fillId="0" borderId="0" applyFill="0" applyBorder="0">
      <alignment vertical="top"/>
    </xf>
    <xf numFmtId="0" fontId="19"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205" fontId="26" fillId="0" borderId="0" applyFont="0" applyFill="0" applyBorder="0" applyAlignment="0" applyProtection="0"/>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38" fontId="19" fillId="0" borderId="0" applyFill="0" applyBorder="0">
      <alignment horizontal="center" vertical="top"/>
    </xf>
    <xf numFmtId="38" fontId="19" fillId="0" borderId="0" applyFill="0" applyBorder="0">
      <alignment horizontal="center" vertical="top"/>
    </xf>
    <xf numFmtId="0" fontId="21" fillId="0" borderId="0" applyProtection="0"/>
    <xf numFmtId="0" fontId="120" fillId="86" borderId="0" applyNumberFormat="0" applyFont="0" applyBorder="0" applyAlignment="0">
      <alignment horizontal="center"/>
    </xf>
    <xf numFmtId="0" fontId="121" fillId="0" borderId="0" applyNumberFormat="0" applyFill="0" applyBorder="0" applyAlignment="0" applyProtection="0">
      <alignment horizontal="left"/>
    </xf>
    <xf numFmtId="38" fontId="121" fillId="0" borderId="0"/>
    <xf numFmtId="0" fontId="58" fillId="0" borderId="0" applyFill="0" applyBorder="0" applyProtection="0">
      <alignment horizontal="left" wrapText="1"/>
    </xf>
    <xf numFmtId="3" fontId="30" fillId="73" borderId="30" applyNumberFormat="0" applyFill="0" applyBorder="0" applyProtection="0">
      <alignment horizontal="left"/>
    </xf>
    <xf numFmtId="0" fontId="89" fillId="87" borderId="0" applyNumberFormat="0" applyFont="0" applyBorder="0" applyAlignment="0" applyProtection="0"/>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2" fillId="68" borderId="0" applyAlignment="0"/>
    <xf numFmtId="0" fontId="123" fillId="0" borderId="0" applyNumberFormat="0" applyFill="0" applyBorder="0" applyAlignment="0">
      <alignment horizontal="center"/>
    </xf>
    <xf numFmtId="0" fontId="19" fillId="88" borderId="0"/>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0" fontId="124" fillId="0" borderId="1">
      <alignment horizontal="center"/>
    </xf>
    <xf numFmtId="0" fontId="20"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21" fillId="0" borderId="0"/>
    <xf numFmtId="0" fontId="21" fillId="0" borderId="0"/>
    <xf numFmtId="0" fontId="124" fillId="0" borderId="0">
      <alignment horizontal="center" vertical="center"/>
    </xf>
    <xf numFmtId="0" fontId="125" fillId="90" borderId="0" applyNumberFormat="0" applyFill="0">
      <alignment horizontal="left" vertical="center"/>
    </xf>
    <xf numFmtId="0" fontId="126" fillId="0" borderId="10"/>
    <xf numFmtId="40" fontId="127" fillId="0" borderId="0" applyBorder="0">
      <alignment horizontal="right"/>
    </xf>
    <xf numFmtId="0" fontId="19" fillId="0" borderId="0"/>
    <xf numFmtId="0" fontId="128" fillId="0" borderId="0" applyFill="0" applyBorder="0" applyProtection="0">
      <alignment horizontal="center" vertical="center"/>
    </xf>
    <xf numFmtId="0" fontId="128" fillId="0" borderId="0" applyFill="0" applyBorder="0" applyProtection="0"/>
    <xf numFmtId="0" fontId="38" fillId="0" borderId="0" applyFill="0" applyBorder="0" applyProtection="0">
      <alignment horizontal="left"/>
    </xf>
    <xf numFmtId="0" fontId="129" fillId="0" borderId="0" applyFill="0" applyBorder="0" applyProtection="0">
      <alignment horizontal="left" vertical="top"/>
    </xf>
    <xf numFmtId="0" fontId="38" fillId="78" borderId="1" applyNumberFormat="0" applyAlignment="0">
      <alignment horizontal="center"/>
    </xf>
    <xf numFmtId="0" fontId="23" fillId="40" borderId="28">
      <alignment horizontal="left"/>
    </xf>
    <xf numFmtId="49" fontId="19" fillId="0" borderId="0" applyFont="0" applyFill="0" applyBorder="0" applyAlignment="0" applyProtection="0"/>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49" fontId="23" fillId="0" borderId="0" applyFill="0" applyBorder="0" applyAlignment="0"/>
    <xf numFmtId="206" fontId="19" fillId="0" borderId="0" applyFill="0" applyBorder="0" applyAlignment="0"/>
    <xf numFmtId="207" fontId="19" fillId="0" borderId="0" applyFill="0" applyBorder="0" applyAlignment="0"/>
    <xf numFmtId="0" fontId="19" fillId="0" borderId="0" applyFont="0" applyFill="0" applyBorder="0" applyAlignment="0" applyProtection="0"/>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40" fontId="130" fillId="0" borderId="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3" fillId="91" borderId="0" applyNumberFormat="0" applyFont="0" applyBorder="0" applyAlignment="0">
      <alignment wrapText="1"/>
    </xf>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209" fontId="89" fillId="0" borderId="0" applyFont="0" applyFill="0" applyBorder="0" applyAlignment="0" applyProtection="0"/>
    <xf numFmtId="210" fontId="136" fillId="0" borderId="0" applyFont="0" applyFill="0" applyBorder="0" applyAlignment="0" applyProtection="0"/>
    <xf numFmtId="0" fontId="137" fillId="70" borderId="0">
      <alignment horizontal="center"/>
    </xf>
    <xf numFmtId="211" fontId="136" fillId="0" borderId="0" applyFont="0" applyFill="0" applyBorder="0" applyAlignment="0" applyProtection="0"/>
    <xf numFmtId="212" fontId="136" fillId="0" borderId="0" applyFont="0" applyFill="0" applyBorder="0" applyAlignment="0" applyProtection="0"/>
    <xf numFmtId="213" fontId="19" fillId="0" borderId="0" applyFont="0" applyFill="0" applyBorder="0" applyAlignment="0" applyProtection="0"/>
    <xf numFmtId="214" fontId="19"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48" applyNumberFormat="0" applyBorder="0">
      <alignment wrapText="1"/>
    </xf>
    <xf numFmtId="176" fontId="21" fillId="0" borderId="0">
      <alignment vertical="top" wrapText="1"/>
    </xf>
    <xf numFmtId="1" fontId="19" fillId="0" borderId="0" applyFont="0" applyFill="0" applyBorder="0" applyAlignment="0" applyProtection="0"/>
    <xf numFmtId="176" fontId="31" fillId="0" borderId="0" applyFont="0" applyFill="0" applyBorder="0" applyProtection="0">
      <alignment horizontal="right"/>
    </xf>
    <xf numFmtId="215" fontId="113" fillId="82" borderId="0" applyFont="0" applyFill="0"/>
  </cellStyleXfs>
  <cellXfs count="552">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167" fontId="12" fillId="0" borderId="0" xfId="2" applyNumberFormat="1" applyFont="1" applyFill="1" applyAlignment="1">
      <alignment horizontal="left"/>
    </xf>
    <xf numFmtId="0" fontId="12" fillId="0" borderId="0" xfId="0" applyFont="1" applyFill="1"/>
    <xf numFmtId="43" fontId="12" fillId="0" borderId="0" xfId="1" applyFont="1" applyAlignment="1">
      <alignment horizontal="center"/>
    </xf>
    <xf numFmtId="0" fontId="12" fillId="0" borderId="0" xfId="0" applyFont="1" applyAlignment="1">
      <alignment horizontal="right"/>
    </xf>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8" fillId="37" borderId="1" xfId="0" applyFont="1" applyFill="1" applyBorder="1" applyAlignment="1">
      <alignment horizontal="center"/>
    </xf>
    <xf numFmtId="168" fontId="12" fillId="34" borderId="0" xfId="1" applyNumberFormat="1" applyFont="1" applyFill="1"/>
    <xf numFmtId="0" fontId="140"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8"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8" fillId="94" borderId="1" xfId="0" applyFont="1" applyFill="1" applyBorder="1" applyAlignment="1">
      <alignment horizontal="center" wrapText="1"/>
    </xf>
    <xf numFmtId="0" fontId="18"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8" fillId="94" borderId="1" xfId="0" applyFont="1" applyFill="1" applyBorder="1" applyAlignment="1">
      <alignment horizontal="center" vertical="center" wrapText="1"/>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8" fillId="0" borderId="0" xfId="0" applyFont="1"/>
    <xf numFmtId="0" fontId="18" fillId="34" borderId="0" xfId="0" applyFont="1" applyFill="1" applyBorder="1" applyAlignment="1"/>
    <xf numFmtId="0" fontId="18" fillId="96" borderId="0" xfId="0" applyFont="1" applyFill="1"/>
    <xf numFmtId="0" fontId="18" fillId="96" borderId="0" xfId="0" applyFont="1" applyFill="1" applyBorder="1" applyAlignment="1"/>
    <xf numFmtId="43" fontId="141" fillId="0" borderId="1" xfId="1" applyFont="1" applyBorder="1"/>
    <xf numFmtId="170" fontId="141" fillId="0" borderId="1" xfId="0" applyNumberFormat="1" applyFont="1" applyBorder="1"/>
    <xf numFmtId="0" fontId="142" fillId="0" borderId="0" xfId="4" applyFont="1"/>
    <xf numFmtId="0" fontId="12" fillId="0" borderId="24" xfId="0" applyFont="1" applyBorder="1"/>
    <xf numFmtId="43" fontId="18" fillId="0" borderId="1" xfId="1" applyFont="1" applyBorder="1"/>
    <xf numFmtId="168" fontId="12" fillId="0" borderId="1" xfId="1" applyNumberFormat="1" applyFont="1" applyBorder="1"/>
    <xf numFmtId="0" fontId="12" fillId="96" borderId="0" xfId="0" applyFont="1" applyFill="1"/>
    <xf numFmtId="43" fontId="12" fillId="97" borderId="49" xfId="0" applyNumberFormat="1" applyFont="1" applyFill="1" applyBorder="1"/>
    <xf numFmtId="43" fontId="12" fillId="97" borderId="31" xfId="0" applyNumberFormat="1" applyFont="1" applyFill="1" applyBorder="1"/>
    <xf numFmtId="43" fontId="12" fillId="97" borderId="50" xfId="0" applyNumberFormat="1" applyFont="1" applyFill="1" applyBorder="1"/>
    <xf numFmtId="168" fontId="12" fillId="0" borderId="54" xfId="0" applyNumberFormat="1" applyFont="1" applyBorder="1"/>
    <xf numFmtId="168" fontId="12" fillId="0" borderId="1" xfId="0" applyNumberFormat="1" applyFont="1" applyBorder="1"/>
    <xf numFmtId="168" fontId="12" fillId="0" borderId="5" xfId="0" applyNumberFormat="1" applyFont="1" applyBorder="1"/>
    <xf numFmtId="0" fontId="12" fillId="97" borderId="55" xfId="0" applyFont="1" applyFill="1" applyBorder="1"/>
    <xf numFmtId="168" fontId="12" fillId="0" borderId="56" xfId="0" applyNumberFormat="1" applyFont="1" applyBorder="1"/>
    <xf numFmtId="0" fontId="12" fillId="97" borderId="57" xfId="0" applyFont="1" applyFill="1" applyBorder="1"/>
    <xf numFmtId="43" fontId="12" fillId="0" borderId="52" xfId="1" applyNumberFormat="1" applyFont="1" applyBorder="1"/>
    <xf numFmtId="43" fontId="12" fillId="0" borderId="2" xfId="1" applyNumberFormat="1" applyFont="1" applyBorder="1"/>
    <xf numFmtId="43" fontId="12" fillId="0" borderId="14" xfId="1" applyNumberFormat="1" applyFont="1" applyBorder="1"/>
    <xf numFmtId="0" fontId="12" fillId="94" borderId="53" xfId="0" applyFont="1" applyFill="1" applyBorder="1"/>
    <xf numFmtId="168" fontId="12" fillId="0" borderId="54" xfId="1" applyNumberFormat="1" applyFont="1" applyBorder="1"/>
    <xf numFmtId="168" fontId="12" fillId="0" borderId="5" xfId="1" applyNumberFormat="1" applyFont="1" applyBorder="1"/>
    <xf numFmtId="0" fontId="12" fillId="94" borderId="55" xfId="0" applyFont="1" applyFill="1" applyBorder="1"/>
    <xf numFmtId="0" fontId="12" fillId="0" borderId="54" xfId="0" applyFont="1" applyBorder="1"/>
    <xf numFmtId="9" fontId="12" fillId="0" borderId="54" xfId="3" applyFont="1" applyBorder="1"/>
    <xf numFmtId="9" fontId="12" fillId="0" borderId="1" xfId="3" applyFont="1" applyBorder="1"/>
    <xf numFmtId="9" fontId="12" fillId="34" borderId="5" xfId="3" applyFont="1" applyFill="1" applyBorder="1"/>
    <xf numFmtId="1" fontId="12" fillId="0" borderId="54"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8" xfId="0" applyFont="1" applyFill="1" applyBorder="1" applyAlignment="1">
      <alignment horizontal="center" wrapText="1"/>
    </xf>
    <xf numFmtId="0" fontId="12" fillId="94" borderId="59" xfId="0" applyFont="1" applyFill="1" applyBorder="1" applyAlignment="1">
      <alignment horizontal="center" wrapText="1"/>
    </xf>
    <xf numFmtId="0" fontId="12" fillId="94" borderId="56" xfId="0" applyFont="1" applyFill="1" applyBorder="1" applyAlignment="1">
      <alignment horizontal="center" wrapText="1"/>
    </xf>
    <xf numFmtId="0" fontId="18" fillId="94" borderId="57" xfId="0" applyFont="1" applyFill="1" applyBorder="1" applyAlignment="1">
      <alignment wrapText="1"/>
    </xf>
    <xf numFmtId="0" fontId="12" fillId="94" borderId="60" xfId="0" applyFont="1" applyFill="1" applyBorder="1"/>
    <xf numFmtId="0" fontId="12" fillId="94" borderId="61" xfId="0" applyFont="1" applyFill="1" applyBorder="1"/>
    <xf numFmtId="0" fontId="18" fillId="94" borderId="62" xfId="0" applyFont="1" applyFill="1" applyBorder="1"/>
    <xf numFmtId="0" fontId="12" fillId="0" borderId="0" xfId="0" applyFont="1" applyBorder="1" applyAlignment="1"/>
    <xf numFmtId="43" fontId="12" fillId="97" borderId="50" xfId="0" applyNumberFormat="1" applyFont="1" applyFill="1" applyBorder="1" applyAlignment="1"/>
    <xf numFmtId="0" fontId="12" fillId="97" borderId="51" xfId="0" applyFont="1" applyFill="1" applyBorder="1" applyAlignment="1"/>
    <xf numFmtId="168" fontId="12" fillId="0" borderId="14" xfId="0" applyNumberFormat="1" applyFont="1" applyBorder="1" applyAlignment="1"/>
    <xf numFmtId="0" fontId="12" fillId="97" borderId="53" xfId="0" applyFont="1" applyFill="1" applyBorder="1" applyAlignment="1"/>
    <xf numFmtId="168" fontId="12" fillId="0" borderId="5" xfId="0" applyNumberFormat="1" applyFont="1" applyBorder="1" applyAlignment="1"/>
    <xf numFmtId="0" fontId="12" fillId="97" borderId="55" xfId="0" applyFont="1" applyFill="1" applyBorder="1" applyAlignment="1"/>
    <xf numFmtId="43" fontId="12" fillId="0" borderId="56" xfId="0" applyNumberFormat="1" applyFont="1" applyBorder="1" applyAlignment="1"/>
    <xf numFmtId="0" fontId="12" fillId="97" borderId="57"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3"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5"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9" xfId="0" applyNumberFormat="1" applyFont="1" applyFill="1" applyBorder="1" applyAlignment="1"/>
    <xf numFmtId="2" fontId="12" fillId="94" borderId="56" xfId="0" applyNumberFormat="1" applyFont="1" applyFill="1" applyBorder="1" applyAlignment="1"/>
    <xf numFmtId="0" fontId="18" fillId="94" borderId="57"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0" fontId="18" fillId="13" borderId="1" xfId="1" applyNumberFormat="1" applyFont="1" applyFill="1" applyBorder="1" applyAlignment="1">
      <alignment horizontal="center" vertical="center" wrapText="1"/>
    </xf>
    <xf numFmtId="0" fontId="12" fillId="98" borderId="1" xfId="0" applyFont="1" applyFill="1" applyBorder="1" applyAlignment="1">
      <alignment horizontal="left"/>
    </xf>
    <xf numFmtId="0" fontId="13" fillId="98" borderId="1" xfId="0" applyFont="1" applyFill="1" applyBorder="1" applyAlignment="1">
      <alignment horizontal="left"/>
    </xf>
    <xf numFmtId="1" fontId="12" fillId="98" borderId="1" xfId="0" applyNumberFormat="1" applyFont="1" applyFill="1" applyBorder="1" applyAlignment="1">
      <alignment horizontal="center"/>
    </xf>
    <xf numFmtId="168" fontId="12" fillId="98" borderId="1" xfId="1" applyNumberFormat="1" applyFont="1" applyFill="1" applyBorder="1" applyAlignment="1">
      <alignment horizontal="center"/>
    </xf>
    <xf numFmtId="0" fontId="12" fillId="98" borderId="1" xfId="0" applyFont="1" applyFill="1" applyBorder="1" applyAlignment="1">
      <alignment horizontal="center"/>
    </xf>
    <xf numFmtId="169" fontId="12" fillId="98" borderId="1" xfId="5" applyNumberFormat="1" applyFont="1" applyFill="1" applyBorder="1" applyAlignment="1">
      <alignment horizontal="center"/>
    </xf>
    <xf numFmtId="9" fontId="12" fillId="98" borderId="1" xfId="5" applyFont="1" applyFill="1" applyBorder="1" applyAlignment="1">
      <alignment horizontal="center"/>
    </xf>
    <xf numFmtId="10" fontId="12" fillId="98" borderId="1" xfId="5" applyNumberFormat="1" applyFont="1" applyFill="1" applyBorder="1" applyAlignment="1">
      <alignment horizontal="center"/>
    </xf>
    <xf numFmtId="9" fontId="13" fillId="98" borderId="1" xfId="3" applyFont="1" applyFill="1" applyBorder="1" applyAlignment="1">
      <alignment horizontal="left"/>
    </xf>
    <xf numFmtId="0" fontId="13" fillId="98" borderId="1" xfId="0" applyFont="1" applyFill="1" applyBorder="1" applyAlignment="1"/>
    <xf numFmtId="10" fontId="13" fillId="98" borderId="1" xfId="0" applyNumberFormat="1" applyFont="1" applyFill="1" applyBorder="1" applyAlignment="1">
      <alignment horizontal="left"/>
    </xf>
    <xf numFmtId="9" fontId="13" fillId="98" borderId="1" xfId="0" applyNumberFormat="1" applyFont="1" applyFill="1" applyBorder="1" applyAlignment="1">
      <alignment horizontal="left"/>
    </xf>
    <xf numFmtId="43" fontId="12" fillId="98" borderId="1" xfId="1" applyFont="1" applyFill="1" applyBorder="1" applyAlignment="1">
      <alignment horizontal="center"/>
    </xf>
    <xf numFmtId="167" fontId="12" fillId="98" borderId="1" xfId="2" applyNumberFormat="1" applyFont="1" applyFill="1" applyBorder="1" applyAlignment="1">
      <alignment horizontal="left"/>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4" fillId="34" borderId="1" xfId="0" applyFont="1" applyFill="1" applyBorder="1"/>
    <xf numFmtId="0" fontId="143" fillId="13" borderId="1" xfId="0" applyNumberFormat="1" applyFont="1" applyFill="1" applyBorder="1" applyAlignment="1">
      <alignment horizontal="center"/>
    </xf>
    <xf numFmtId="0" fontId="143" fillId="13" borderId="1" xfId="1" applyNumberFormat="1" applyFont="1" applyFill="1" applyBorder="1" applyAlignment="1">
      <alignment horizontal="center"/>
    </xf>
    <xf numFmtId="0" fontId="143"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5"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3" xfId="35353" applyFont="1" applyFill="1" applyBorder="1" applyAlignment="1"/>
    <xf numFmtId="168" fontId="12" fillId="3" borderId="24" xfId="0" applyNumberFormat="1" applyFont="1" applyFill="1" applyBorder="1"/>
    <xf numFmtId="0" fontId="143" fillId="99" borderId="1" xfId="0" applyNumberFormat="1" applyFont="1" applyFill="1" applyBorder="1" applyAlignment="1">
      <alignment horizontal="center"/>
    </xf>
    <xf numFmtId="0" fontId="143" fillId="99" borderId="1" xfId="1" applyNumberFormat="1" applyFont="1" applyFill="1" applyBorder="1" applyAlignment="1">
      <alignment horizontal="center"/>
    </xf>
    <xf numFmtId="0" fontId="13" fillId="99" borderId="1" xfId="0" applyFont="1" applyFill="1" applyBorder="1"/>
    <xf numFmtId="9" fontId="13" fillId="3" borderId="63" xfId="3" applyFont="1" applyFill="1" applyBorder="1" applyAlignment="1">
      <alignment horizontal="center"/>
    </xf>
    <xf numFmtId="9" fontId="13" fillId="3" borderId="64"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6" fillId="100" borderId="1" xfId="0" applyNumberFormat="1" applyFont="1" applyFill="1" applyBorder="1"/>
    <xf numFmtId="0" fontId="146" fillId="100" borderId="1" xfId="0" applyFont="1" applyFill="1" applyBorder="1" applyAlignment="1">
      <alignment horizontal="left" wrapText="1"/>
    </xf>
    <xf numFmtId="167" fontId="12" fillId="34" borderId="1" xfId="14654" applyNumberFormat="1" applyFont="1" applyFill="1" applyBorder="1"/>
    <xf numFmtId="0" fontId="146" fillId="100" borderId="63" xfId="35353" applyFont="1" applyFill="1" applyBorder="1" applyAlignment="1"/>
    <xf numFmtId="166" fontId="12" fillId="34" borderId="1" xfId="14654" applyNumberFormat="1" applyFont="1" applyFill="1" applyBorder="1"/>
    <xf numFmtId="0" fontId="146" fillId="100" borderId="5" xfId="35353" applyFont="1" applyFill="1" applyBorder="1" applyAlignment="1"/>
    <xf numFmtId="168" fontId="12" fillId="34" borderId="1" xfId="0" applyNumberFormat="1" applyFont="1" applyFill="1" applyBorder="1"/>
    <xf numFmtId="0" fontId="146" fillId="100" borderId="1" xfId="35353" applyFont="1" applyFill="1" applyBorder="1" applyAlignment="1">
      <alignment horizontal="right"/>
    </xf>
    <xf numFmtId="0" fontId="146" fillId="100" borderId="1" xfId="35353" quotePrefix="1" applyFont="1" applyFill="1" applyBorder="1" applyAlignment="1">
      <alignment horizontal="right"/>
    </xf>
    <xf numFmtId="0" fontId="145" fillId="34" borderId="0" xfId="0" applyFont="1" applyFill="1"/>
    <xf numFmtId="0" fontId="18" fillId="13" borderId="1" xfId="0" applyFont="1" applyFill="1" applyBorder="1" applyAlignment="1">
      <alignment horizontal="center" vertical="center"/>
    </xf>
    <xf numFmtId="0" fontId="143" fillId="13" borderId="1" xfId="0" applyFont="1" applyFill="1" applyBorder="1" applyAlignment="1">
      <alignment horizontal="center" wrapText="1"/>
    </xf>
    <xf numFmtId="43" fontId="12" fillId="34" borderId="0" xfId="1" applyFont="1" applyFill="1"/>
    <xf numFmtId="0" fontId="18" fillId="34" borderId="0" xfId="0" applyFont="1" applyFill="1"/>
    <xf numFmtId="0" fontId="0" fillId="0" borderId="0" xfId="0" applyFont="1"/>
    <xf numFmtId="171" fontId="12" fillId="0" borderId="0" xfId="1" applyNumberFormat="1" applyFont="1" applyAlignment="1">
      <alignment horizontal="right"/>
    </xf>
    <xf numFmtId="171" fontId="13" fillId="34" borderId="1" xfId="1" applyNumberFormat="1" applyFont="1" applyFill="1" applyBorder="1" applyAlignment="1">
      <alignment horizontal="right"/>
    </xf>
    <xf numFmtId="0" fontId="147" fillId="10" borderId="0" xfId="0" applyFont="1" applyFill="1"/>
    <xf numFmtId="0" fontId="1" fillId="10" borderId="0" xfId="0" applyFont="1" applyFill="1" applyAlignment="1"/>
    <xf numFmtId="0" fontId="1" fillId="0" borderId="0" xfId="0" applyFont="1" applyAlignment="1">
      <alignment wrapText="1"/>
    </xf>
    <xf numFmtId="0" fontId="148" fillId="0" borderId="8" xfId="0" applyFont="1" applyBorder="1" applyAlignment="1">
      <alignment wrapText="1"/>
    </xf>
    <xf numFmtId="0" fontId="148" fillId="0" borderId="7" xfId="0" applyFont="1" applyBorder="1" applyAlignment="1">
      <alignment horizontal="center" vertical="center" wrapText="1"/>
    </xf>
    <xf numFmtId="0" fontId="148" fillId="2" borderId="1" xfId="0"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5" borderId="1"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8" fillId="0" borderId="3" xfId="0" applyFont="1" applyBorder="1" applyAlignment="1">
      <alignment horizontal="center" vertical="center" wrapText="1"/>
    </xf>
    <xf numFmtId="0" fontId="149" fillId="0" borderId="3" xfId="0" applyFont="1" applyBorder="1" applyAlignment="1">
      <alignment horizontal="center" vertical="center" wrapText="1"/>
    </xf>
    <xf numFmtId="0" fontId="149" fillId="2" borderId="1" xfId="0" applyFont="1" applyFill="1" applyBorder="1" applyAlignment="1">
      <alignment horizontal="center" vertical="center" wrapText="1"/>
    </xf>
    <xf numFmtId="0" fontId="149" fillId="4" borderId="1"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5" borderId="1" xfId="0" applyFont="1" applyFill="1" applyBorder="1" applyAlignment="1">
      <alignment horizontal="center" vertical="center" wrapText="1"/>
    </xf>
    <xf numFmtId="0" fontId="149" fillId="5" borderId="3" xfId="0" applyFont="1" applyFill="1" applyBorder="1" applyAlignment="1">
      <alignment horizontal="center" vertical="center" wrapText="1"/>
    </xf>
    <xf numFmtId="0" fontId="149" fillId="6" borderId="1" xfId="0" applyFont="1" applyFill="1" applyBorder="1" applyAlignment="1">
      <alignment horizontal="center" vertical="center" wrapText="1"/>
    </xf>
    <xf numFmtId="0" fontId="149" fillId="12" borderId="1" xfId="0" applyFont="1" applyFill="1" applyBorder="1" applyAlignment="1">
      <alignment horizontal="center" vertical="center" wrapText="1"/>
    </xf>
    <xf numFmtId="0" fontId="149" fillId="11" borderId="1" xfId="0" applyFont="1" applyFill="1" applyBorder="1" applyAlignment="1">
      <alignment horizontal="center" vertical="center" wrapText="1"/>
    </xf>
    <xf numFmtId="0" fontId="147" fillId="0" borderId="0" xfId="0" applyFont="1" applyAlignment="1">
      <alignment horizontal="center" vertical="center" wrapText="1"/>
    </xf>
    <xf numFmtId="0" fontId="148"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8" fillId="0" borderId="1" xfId="0" applyNumberFormat="1" applyFont="1" applyBorder="1" applyAlignment="1">
      <alignment horizontal="center" vertical="center" wrapText="1"/>
    </xf>
    <xf numFmtId="3" fontId="148" fillId="0" borderId="1" xfId="0" applyNumberFormat="1" applyFont="1" applyBorder="1" applyAlignment="1">
      <alignment vertical="center" wrapText="1"/>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3" fontId="148" fillId="0" borderId="5" xfId="0" applyNumberFormat="1" applyFont="1" applyBorder="1" applyAlignment="1">
      <alignment horizontal="center" vertical="center" wrapText="1"/>
    </xf>
    <xf numFmtId="0" fontId="0" fillId="0" borderId="0" xfId="0" applyFont="1" applyAlignment="1">
      <alignment vertical="center"/>
    </xf>
    <xf numFmtId="0" fontId="148" fillId="0" borderId="11" xfId="0" applyFont="1" applyBorder="1" applyAlignment="1">
      <alignment vertical="center"/>
    </xf>
    <xf numFmtId="3" fontId="148" fillId="2" borderId="11" xfId="0" applyNumberFormat="1" applyFont="1" applyFill="1" applyBorder="1" applyAlignment="1">
      <alignment horizontal="center" vertical="center"/>
    </xf>
    <xf numFmtId="3" fontId="148" fillId="4" borderId="11" xfId="0" applyNumberFormat="1" applyFont="1" applyFill="1" applyBorder="1" applyAlignment="1">
      <alignment horizontal="center" vertical="center"/>
    </xf>
    <xf numFmtId="3" fontId="148" fillId="0" borderId="11" xfId="0" applyNumberFormat="1" applyFont="1" applyBorder="1" applyAlignment="1">
      <alignment vertical="center"/>
    </xf>
    <xf numFmtId="3" fontId="148" fillId="9" borderId="11" xfId="0" applyNumberFormat="1" applyFont="1" applyFill="1" applyBorder="1" applyAlignment="1">
      <alignment vertical="center"/>
    </xf>
    <xf numFmtId="3" fontId="148" fillId="5" borderId="11" xfId="0" applyNumberFormat="1" applyFont="1" applyFill="1" applyBorder="1" applyAlignment="1">
      <alignment horizontal="center" vertical="center"/>
    </xf>
    <xf numFmtId="3" fontId="148" fillId="6" borderId="11" xfId="0" applyNumberFormat="1" applyFont="1" applyFill="1" applyBorder="1" applyAlignment="1">
      <alignment horizontal="center" vertical="center"/>
    </xf>
    <xf numFmtId="3" fontId="148" fillId="12" borderId="11" xfId="0" applyNumberFormat="1" applyFont="1" applyFill="1" applyBorder="1" applyAlignment="1">
      <alignment horizontal="center" vertical="center"/>
    </xf>
    <xf numFmtId="3" fontId="148"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16" xfId="0" applyFont="1" applyFill="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7" fillId="3" borderId="13" xfId="0" applyFont="1" applyFill="1" applyBorder="1" applyAlignment="1">
      <alignment horizontal="center" vertical="center" wrapText="1"/>
    </xf>
    <xf numFmtId="0" fontId="147" fillId="2" borderId="3"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8" fillId="11" borderId="3"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9" fillId="0" borderId="1" xfId="0" applyFont="1" applyBorder="1" applyAlignment="1" applyProtection="1">
      <alignment horizontal="center" vertical="center" wrapText="1"/>
    </xf>
    <xf numFmtId="0" fontId="149" fillId="3" borderId="1"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0" fontId="149" fillId="4" borderId="1"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51" fillId="12" borderId="1" xfId="0" applyFont="1" applyFill="1" applyBorder="1" applyAlignment="1" applyProtection="1">
      <alignment horizontal="center" vertical="center" wrapText="1"/>
    </xf>
    <xf numFmtId="0" fontId="151" fillId="11" borderId="3" xfId="0" applyFont="1" applyFill="1" applyBorder="1" applyAlignment="1" applyProtection="1">
      <alignment horizontal="center" vertical="center" wrapText="1"/>
    </xf>
    <xf numFmtId="0" fontId="151" fillId="3" borderId="1" xfId="0" applyFont="1" applyFill="1" applyBorder="1" applyAlignment="1">
      <alignment horizontal="center" vertical="center" wrapText="1"/>
    </xf>
    <xf numFmtId="0" fontId="151" fillId="2" borderId="3" xfId="0" applyFont="1" applyFill="1" applyBorder="1" applyAlignment="1">
      <alignment horizontal="center" vertical="center" wrapText="1"/>
    </xf>
    <xf numFmtId="0" fontId="149" fillId="0" borderId="16" xfId="0" applyFont="1" applyFill="1" applyBorder="1" applyAlignment="1">
      <alignment horizontal="center" vertical="center" wrapText="1"/>
    </xf>
    <xf numFmtId="0" fontId="149"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165" fontId="1" fillId="0" borderId="1" xfId="0" applyNumberFormat="1" applyFont="1" applyBorder="1" applyAlignment="1">
      <alignment wrapText="1"/>
    </xf>
    <xf numFmtId="3" fontId="1" fillId="0" borderId="3" xfId="0" applyNumberFormat="1" applyFont="1" applyBorder="1" applyAlignment="1">
      <alignment horizontal="center" wrapText="1"/>
    </xf>
    <xf numFmtId="0" fontId="1" fillId="0" borderId="3" xfId="0" applyFont="1" applyBorder="1" applyAlignment="1"/>
    <xf numFmtId="0" fontId="1" fillId="0" borderId="16" xfId="0" applyFont="1" applyFill="1" applyBorder="1" applyAlignment="1">
      <alignment wrapText="1"/>
    </xf>
    <xf numFmtId="0" fontId="1" fillId="0" borderId="16" xfId="0" applyFont="1" applyFill="1" applyBorder="1"/>
    <xf numFmtId="0" fontId="1" fillId="0" borderId="2" xfId="0" applyFont="1" applyBorder="1"/>
    <xf numFmtId="0" fontId="1" fillId="0" borderId="2" xfId="0" applyFont="1" applyBorder="1" applyAlignment="1">
      <alignment horizontal="center"/>
    </xf>
    <xf numFmtId="3" fontId="1" fillId="0" borderId="2" xfId="0" applyNumberFormat="1" applyFont="1" applyBorder="1"/>
    <xf numFmtId="164" fontId="1" fillId="0" borderId="2" xfId="0" applyNumberFormat="1" applyFont="1" applyBorder="1"/>
    <xf numFmtId="3" fontId="1" fillId="0" borderId="2" xfId="0" applyNumberFormat="1" applyFont="1" applyBorder="1" applyAlignment="1">
      <alignment horizontal="center"/>
    </xf>
    <xf numFmtId="165" fontId="1" fillId="0" borderId="2" xfId="0" applyNumberFormat="1" applyFont="1" applyBorder="1"/>
    <xf numFmtId="0" fontId="1" fillId="0" borderId="2" xfId="0" applyFont="1" applyBorder="1" applyAlignment="1">
      <alignment wrapText="1"/>
    </xf>
    <xf numFmtId="0" fontId="1" fillId="0" borderId="8" xfId="0" applyFont="1" applyBorder="1"/>
    <xf numFmtId="0" fontId="148" fillId="0" borderId="11" xfId="0" applyFont="1" applyBorder="1"/>
    <xf numFmtId="0" fontId="1" fillId="0" borderId="11" xfId="0" applyFont="1" applyBorder="1"/>
    <xf numFmtId="0" fontId="1" fillId="8" borderId="17" xfId="0" applyFont="1" applyFill="1" applyBorder="1" applyAlignment="1">
      <alignment horizontal="center"/>
    </xf>
    <xf numFmtId="0" fontId="1" fillId="8" borderId="18" xfId="0" applyFont="1" applyFill="1" applyBorder="1"/>
    <xf numFmtId="0" fontId="1" fillId="8" borderId="19" xfId="0" applyFont="1" applyFill="1" applyBorder="1"/>
    <xf numFmtId="3" fontId="1" fillId="2" borderId="11" xfId="0" applyNumberFormat="1" applyFont="1" applyFill="1" applyBorder="1" applyAlignment="1">
      <alignment horizontal="center"/>
    </xf>
    <xf numFmtId="3" fontId="148" fillId="2" borderId="11" xfId="0" applyNumberFormat="1" applyFont="1" applyFill="1" applyBorder="1" applyAlignment="1">
      <alignment horizontal="center"/>
    </xf>
    <xf numFmtId="0" fontId="1" fillId="9" borderId="17" xfId="0" applyFont="1" applyFill="1" applyBorder="1"/>
    <xf numFmtId="0" fontId="1" fillId="9" borderId="18" xfId="0" applyFont="1" applyFill="1" applyBorder="1"/>
    <xf numFmtId="0" fontId="1" fillId="9" borderId="19" xfId="0" applyFont="1" applyFill="1" applyBorder="1"/>
    <xf numFmtId="3" fontId="148" fillId="34" borderId="11" xfId="0" applyNumberFormat="1" applyFont="1" applyFill="1" applyBorder="1" applyAlignment="1">
      <alignment horizontal="center"/>
    </xf>
    <xf numFmtId="3" fontId="148" fillId="4" borderId="11" xfId="0" applyNumberFormat="1" applyFont="1" applyFill="1" applyBorder="1" applyAlignment="1">
      <alignment horizontal="center"/>
    </xf>
    <xf numFmtId="3" fontId="148" fillId="5" borderId="11" xfId="0" applyNumberFormat="1" applyFont="1" applyFill="1" applyBorder="1" applyAlignment="1">
      <alignment horizontal="center"/>
    </xf>
    <xf numFmtId="3" fontId="148" fillId="6" borderId="11" xfId="0" applyNumberFormat="1" applyFont="1" applyFill="1" applyBorder="1" applyAlignment="1">
      <alignment horizontal="center"/>
    </xf>
    <xf numFmtId="3" fontId="148" fillId="12" borderId="11" xfId="0" applyNumberFormat="1" applyFont="1" applyFill="1" applyBorder="1" applyAlignment="1">
      <alignment horizontal="center"/>
    </xf>
    <xf numFmtId="3" fontId="148" fillId="11" borderId="11" xfId="0" applyNumberFormat="1" applyFont="1" applyFill="1" applyBorder="1" applyAlignment="1">
      <alignment horizontal="center"/>
    </xf>
    <xf numFmtId="0" fontId="1" fillId="9" borderId="20"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3" fillId="0" borderId="0" xfId="1" applyNumberFormat="1" applyFont="1"/>
    <xf numFmtId="168" fontId="153"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4" fillId="100" borderId="63" xfId="35353" applyFont="1" applyFill="1" applyBorder="1" applyAlignment="1">
      <alignment horizontal="left" indent="1"/>
    </xf>
    <xf numFmtId="167" fontId="12" fillId="0" borderId="1" xfId="14654" applyNumberFormat="1" applyFont="1" applyBorder="1"/>
    <xf numFmtId="168" fontId="13" fillId="3" borderId="65" xfId="1" applyNumberFormat="1" applyFont="1" applyFill="1" applyBorder="1" applyAlignment="1">
      <alignment horizontal="center"/>
    </xf>
    <xf numFmtId="168" fontId="13" fillId="3" borderId="66" xfId="1" applyNumberFormat="1" applyFont="1" applyFill="1" applyBorder="1" applyAlignment="1">
      <alignment horizontal="center"/>
    </xf>
    <xf numFmtId="0" fontId="13" fillId="3" borderId="66" xfId="0" applyFont="1" applyFill="1" applyBorder="1" applyAlignment="1">
      <alignment horizontal="center"/>
    </xf>
    <xf numFmtId="166" fontId="13" fillId="3" borderId="66" xfId="0" applyNumberFormat="1" applyFont="1" applyFill="1" applyBorder="1" applyAlignment="1">
      <alignment horizontal="center"/>
    </xf>
    <xf numFmtId="166" fontId="13" fillId="3" borderId="67" xfId="0" applyNumberFormat="1" applyFont="1" applyFill="1" applyBorder="1" applyAlignment="1">
      <alignment horizontal="center"/>
    </xf>
    <xf numFmtId="0" fontId="152" fillId="0" borderId="0" xfId="0" applyFont="1" applyAlignment="1">
      <alignment horizontal="right"/>
    </xf>
    <xf numFmtId="2" fontId="155"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0" fontId="1" fillId="0" borderId="68" xfId="0" applyFont="1" applyBorder="1" applyAlignment="1">
      <alignment horizontal="center"/>
    </xf>
    <xf numFmtId="0" fontId="1" fillId="0" borderId="68" xfId="0" applyFont="1" applyBorder="1"/>
    <xf numFmtId="3" fontId="1" fillId="0" borderId="68" xfId="0" applyNumberFormat="1" applyFont="1" applyBorder="1"/>
    <xf numFmtId="164" fontId="1" fillId="0" borderId="68" xfId="0" applyNumberFormat="1" applyFont="1" applyBorder="1"/>
    <xf numFmtId="3" fontId="1" fillId="0" borderId="68" xfId="0" applyNumberFormat="1" applyFont="1" applyBorder="1" applyAlignment="1">
      <alignment horizontal="center"/>
    </xf>
    <xf numFmtId="165" fontId="1" fillId="0" borderId="68" xfId="0" applyNumberFormat="1" applyFont="1" applyBorder="1"/>
    <xf numFmtId="0" fontId="1" fillId="0" borderId="68" xfId="0" applyFont="1" applyBorder="1" applyAlignment="1">
      <alignment wrapText="1"/>
    </xf>
    <xf numFmtId="43" fontId="13" fillId="34" borderId="1" xfId="1" applyNumberFormat="1" applyFont="1" applyFill="1" applyBorder="1" applyAlignment="1">
      <alignment horizontal="right"/>
    </xf>
    <xf numFmtId="220" fontId="13" fillId="34" borderId="1" xfId="1" applyNumberFormat="1" applyFont="1" applyFill="1" applyBorder="1" applyAlignment="1">
      <alignment horizontal="right"/>
    </xf>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8" fillId="0" borderId="1" xfId="1" applyNumberFormat="1" applyFont="1" applyBorder="1"/>
    <xf numFmtId="0" fontId="1" fillId="0" borderId="0" xfId="0" applyFont="1" applyFill="1" applyBorder="1" applyAlignment="1">
      <alignment vertical="center" wrapText="1"/>
    </xf>
    <xf numFmtId="3" fontId="0" fillId="0" borderId="0" xfId="0" applyNumberFormat="1" applyFont="1"/>
    <xf numFmtId="0" fontId="1" fillId="0" borderId="1" xfId="0" applyFont="1" applyFill="1" applyBorder="1" applyAlignment="1">
      <alignment vertical="center"/>
    </xf>
    <xf numFmtId="0" fontId="1" fillId="0" borderId="3" xfId="0" applyFont="1" applyFill="1" applyBorder="1" applyAlignment="1">
      <alignment vertical="center"/>
    </xf>
    <xf numFmtId="0" fontId="1" fillId="0" borderId="1" xfId="0" applyFont="1" applyBorder="1" applyAlignment="1"/>
    <xf numFmtId="0" fontId="1" fillId="13" borderId="1" xfId="0" applyFont="1" applyFill="1" applyBorder="1" applyAlignment="1">
      <alignment wrapText="1"/>
    </xf>
    <xf numFmtId="165" fontId="1" fillId="13" borderId="1" xfId="0" applyNumberFormat="1" applyFont="1" applyFill="1" applyBorder="1" applyAlignment="1">
      <alignment wrapText="1"/>
    </xf>
    <xf numFmtId="3" fontId="1" fillId="13" borderId="1" xfId="0" applyNumberFormat="1" applyFont="1" applyFill="1" applyBorder="1" applyAlignment="1">
      <alignment horizontal="center" wrapText="1"/>
    </xf>
    <xf numFmtId="3" fontId="1" fillId="13" borderId="1" xfId="0" applyNumberFormat="1" applyFont="1" applyFill="1" applyBorder="1" applyAlignment="1">
      <alignment wrapText="1"/>
    </xf>
    <xf numFmtId="164" fontId="1" fillId="13" borderId="1" xfId="0" applyNumberFormat="1" applyFont="1" applyFill="1" applyBorder="1" applyAlignment="1">
      <alignment wrapText="1"/>
    </xf>
    <xf numFmtId="0" fontId="12" fillId="0" borderId="0" xfId="0" applyFont="1" applyFill="1" applyAlignment="1">
      <alignment horizontal="left"/>
    </xf>
    <xf numFmtId="0" fontId="0" fillId="0" borderId="0" xfId="0" applyFill="1"/>
    <xf numFmtId="168" fontId="12" fillId="0" borderId="69" xfId="0" applyNumberFormat="1" applyFont="1" applyBorder="1"/>
    <xf numFmtId="43" fontId="12" fillId="0" borderId="70" xfId="1" applyNumberFormat="1" applyFont="1" applyBorder="1"/>
    <xf numFmtId="43" fontId="12" fillId="0" borderId="71" xfId="1" applyNumberFormat="1" applyFont="1" applyBorder="1"/>
    <xf numFmtId="43" fontId="12" fillId="0" borderId="72" xfId="1" applyNumberFormat="1" applyFont="1" applyBorder="1"/>
    <xf numFmtId="168" fontId="12" fillId="0" borderId="75" xfId="0" applyNumberFormat="1" applyFont="1" applyBorder="1"/>
    <xf numFmtId="168" fontId="12" fillId="0" borderId="76" xfId="0" applyNumberFormat="1" applyFont="1" applyBorder="1"/>
    <xf numFmtId="168" fontId="12" fillId="0" borderId="77" xfId="0" applyNumberFormat="1" applyFont="1" applyBorder="1"/>
    <xf numFmtId="0" fontId="12" fillId="102" borderId="0" xfId="0" applyFont="1" applyFill="1" applyBorder="1" applyAlignment="1"/>
    <xf numFmtId="0" fontId="12" fillId="102" borderId="0" xfId="0" applyFont="1" applyFill="1" applyBorder="1"/>
    <xf numFmtId="0" fontId="12" fillId="102" borderId="55" xfId="0" applyFont="1" applyFill="1" applyBorder="1"/>
    <xf numFmtId="0" fontId="12" fillId="102" borderId="74" xfId="0" applyFont="1" applyFill="1" applyBorder="1"/>
    <xf numFmtId="0" fontId="12" fillId="102" borderId="53" xfId="0" applyFont="1" applyFill="1" applyBorder="1"/>
    <xf numFmtId="0" fontId="12" fillId="102" borderId="73" xfId="0" applyFont="1" applyFill="1" applyBorder="1"/>
    <xf numFmtId="168" fontId="12" fillId="0" borderId="70" xfId="1" applyNumberFormat="1" applyFont="1" applyBorder="1"/>
    <xf numFmtId="168" fontId="12" fillId="0" borderId="71" xfId="1" applyNumberFormat="1" applyFont="1" applyBorder="1"/>
    <xf numFmtId="168" fontId="12" fillId="0" borderId="72" xfId="1" applyNumberFormat="1" applyFont="1" applyBorder="1"/>
    <xf numFmtId="168" fontId="12" fillId="0" borderId="14" xfId="1" applyNumberFormat="1" applyFont="1" applyBorder="1"/>
    <xf numFmtId="168" fontId="12" fillId="0" borderId="2" xfId="1" applyNumberFormat="1" applyFont="1" applyBorder="1"/>
    <xf numFmtId="168" fontId="12" fillId="0" borderId="52" xfId="1" applyNumberFormat="1" applyFont="1" applyBorder="1"/>
    <xf numFmtId="0" fontId="12" fillId="102" borderId="51" xfId="0" applyFont="1" applyFill="1" applyBorder="1"/>
    <xf numFmtId="0" fontId="13" fillId="102" borderId="1" xfId="0" applyFont="1" applyFill="1" applyBorder="1" applyAlignment="1">
      <alignment horizontal="left"/>
    </xf>
    <xf numFmtId="0" fontId="18" fillId="13" borderId="1" xfId="0" applyFont="1" applyFill="1" applyBorder="1" applyAlignment="1">
      <alignment horizontal="center"/>
    </xf>
    <xf numFmtId="171" fontId="13" fillId="102" borderId="1" xfId="1" applyNumberFormat="1" applyFont="1" applyFill="1" applyBorder="1" applyAlignment="1">
      <alignment horizontal="right"/>
    </xf>
    <xf numFmtId="43" fontId="13" fillId="102" borderId="1" xfId="1" applyNumberFormat="1" applyFont="1" applyFill="1" applyBorder="1" applyAlignment="1">
      <alignment horizontal="right"/>
    </xf>
    <xf numFmtId="9" fontId="0" fillId="0" borderId="0" xfId="3" applyFont="1"/>
    <xf numFmtId="168" fontId="12" fillId="34" borderId="0" xfId="1" applyNumberFormat="1" applyFont="1" applyFill="1" applyAlignment="1"/>
    <xf numFmtId="168" fontId="12" fillId="0" borderId="0" xfId="1" applyNumberFormat="1" applyFont="1" applyAlignment="1"/>
    <xf numFmtId="171" fontId="12" fillId="0" borderId="0" xfId="1" applyNumberFormat="1" applyFont="1" applyAlignment="1"/>
    <xf numFmtId="0" fontId="12" fillId="34" borderId="0" xfId="0" applyFont="1" applyFill="1" applyAlignment="1"/>
    <xf numFmtId="166" fontId="12" fillId="34" borderId="0" xfId="0" applyNumberFormat="1" applyFont="1" applyFill="1" applyAlignment="1"/>
    <xf numFmtId="0" fontId="18" fillId="13" borderId="1" xfId="0" applyFont="1" applyFill="1" applyBorder="1" applyAlignment="1">
      <alignment vertical="center"/>
    </xf>
    <xf numFmtId="168" fontId="18" fillId="13" borderId="1" xfId="1" applyNumberFormat="1" applyFont="1" applyFill="1" applyBorder="1" applyAlignment="1">
      <alignment horizontal="center" vertical="center"/>
    </xf>
    <xf numFmtId="9" fontId="18" fillId="13" borderId="1" xfId="3" applyFont="1" applyFill="1" applyBorder="1" applyAlignment="1">
      <alignment horizontal="center" vertical="center"/>
    </xf>
    <xf numFmtId="0" fontId="18" fillId="13" borderId="1" xfId="1" applyNumberFormat="1" applyFont="1" applyFill="1" applyBorder="1" applyAlignment="1">
      <alignment horizontal="center" vertical="center"/>
    </xf>
    <xf numFmtId="0" fontId="18" fillId="13" borderId="2" xfId="0" applyFont="1" applyFill="1" applyBorder="1" applyAlignment="1">
      <alignment horizontal="center"/>
    </xf>
    <xf numFmtId="0" fontId="18" fillId="13" borderId="2" xfId="0" applyFont="1" applyFill="1" applyBorder="1" applyAlignment="1">
      <alignment horizontal="left"/>
    </xf>
    <xf numFmtId="0" fontId="12" fillId="34" borderId="1" xfId="0" applyFont="1" applyFill="1" applyBorder="1" applyAlignment="1"/>
    <xf numFmtId="168" fontId="12" fillId="34" borderId="1" xfId="1" applyNumberFormat="1" applyFont="1" applyFill="1" applyBorder="1" applyAlignment="1"/>
    <xf numFmtId="9" fontId="12" fillId="34" borderId="1" xfId="3" applyFont="1" applyFill="1" applyBorder="1" applyAlignment="1"/>
    <xf numFmtId="171" fontId="12" fillId="34" borderId="1" xfId="1" applyNumberFormat="1" applyFont="1" applyFill="1" applyBorder="1" applyAlignment="1"/>
    <xf numFmtId="0" fontId="13" fillId="34" borderId="1" xfId="0" applyFont="1" applyFill="1" applyBorder="1" applyAlignment="1"/>
    <xf numFmtId="0" fontId="12" fillId="98" borderId="1" xfId="0" applyFont="1" applyFill="1" applyBorder="1" applyAlignment="1"/>
    <xf numFmtId="0" fontId="156" fillId="0" borderId="0" xfId="0" applyFont="1" applyFill="1" applyBorder="1" applyAlignment="1"/>
    <xf numFmtId="9" fontId="12" fillId="0" borderId="0" xfId="3" applyFont="1" applyFill="1" applyBorder="1" applyAlignment="1"/>
    <xf numFmtId="43" fontId="156" fillId="0" borderId="0" xfId="1" applyFont="1" applyFill="1" applyBorder="1" applyAlignment="1"/>
    <xf numFmtId="168" fontId="156" fillId="0" borderId="0" xfId="1" applyNumberFormat="1" applyFont="1" applyFill="1" applyBorder="1" applyAlignment="1"/>
    <xf numFmtId="0" fontId="12" fillId="102" borderId="1" xfId="0" applyFont="1" applyFill="1" applyBorder="1" applyAlignment="1"/>
    <xf numFmtId="9" fontId="12" fillId="98" borderId="1" xfId="3" applyFont="1" applyFill="1" applyBorder="1" applyAlignment="1"/>
    <xf numFmtId="173" fontId="12" fillId="98" borderId="1" xfId="0" applyNumberFormat="1" applyFont="1" applyFill="1" applyBorder="1" applyAlignment="1"/>
    <xf numFmtId="171" fontId="156" fillId="0" borderId="0" xfId="1" applyNumberFormat="1" applyFont="1" applyFill="1" applyBorder="1" applyAlignment="1"/>
    <xf numFmtId="0" fontId="13" fillId="102" borderId="1" xfId="0" applyFont="1" applyFill="1" applyBorder="1" applyAlignment="1"/>
    <xf numFmtId="43" fontId="13" fillId="98" borderId="1" xfId="1" applyNumberFormat="1" applyFont="1" applyFill="1" applyBorder="1" applyAlignment="1"/>
    <xf numFmtId="9" fontId="13" fillId="98" borderId="1" xfId="3" applyFont="1" applyFill="1" applyBorder="1" applyAlignment="1"/>
    <xf numFmtId="168" fontId="13" fillId="98" borderId="1" xfId="1" applyNumberFormat="1" applyFont="1" applyFill="1" applyBorder="1" applyAlignment="1"/>
    <xf numFmtId="169" fontId="13" fillId="98" borderId="1" xfId="3" applyNumberFormat="1" applyFont="1" applyFill="1" applyBorder="1" applyAlignment="1"/>
    <xf numFmtId="3" fontId="13" fillId="102" borderId="1" xfId="3" applyNumberFormat="1" applyFont="1" applyFill="1" applyBorder="1" applyAlignment="1"/>
    <xf numFmtId="168" fontId="13" fillId="102" borderId="1" xfId="1" applyNumberFormat="1" applyFont="1" applyFill="1" applyBorder="1" applyAlignment="1"/>
    <xf numFmtId="3" fontId="13" fillId="102" borderId="1" xfId="0" applyNumberFormat="1" applyFont="1" applyFill="1" applyBorder="1" applyAlignment="1"/>
    <xf numFmtId="9" fontId="13" fillId="98" borderId="1" xfId="0" applyNumberFormat="1" applyFont="1" applyFill="1" applyBorder="1" applyAlignment="1"/>
    <xf numFmtId="9" fontId="13" fillId="102" borderId="1" xfId="3" applyFont="1" applyFill="1" applyBorder="1" applyAlignment="1"/>
    <xf numFmtId="10" fontId="13" fillId="98" borderId="1" xfId="0" applyNumberFormat="1" applyFont="1" applyFill="1" applyBorder="1" applyAlignment="1"/>
    <xf numFmtId="10" fontId="13" fillId="98" borderId="1" xfId="3" applyNumberFormat="1" applyFont="1" applyFill="1" applyBorder="1" applyAlignment="1"/>
    <xf numFmtId="1" fontId="13" fillId="98" borderId="1" xfId="3" applyNumberFormat="1" applyFont="1" applyFill="1" applyBorder="1" applyAlignment="1"/>
    <xf numFmtId="9" fontId="13" fillId="98" borderId="1" xfId="3" applyNumberFormat="1" applyFont="1" applyFill="1" applyBorder="1" applyAlignment="1"/>
    <xf numFmtId="169" fontId="13" fillId="98" borderId="1" xfId="0" applyNumberFormat="1" applyFont="1" applyFill="1" applyBorder="1" applyAlignment="1"/>
    <xf numFmtId="0" fontId="16" fillId="98" borderId="1" xfId="4" applyFont="1" applyFill="1" applyBorder="1" applyAlignment="1"/>
    <xf numFmtId="3" fontId="13" fillId="98" borderId="1" xfId="0" applyNumberFormat="1" applyFont="1" applyFill="1" applyBorder="1" applyAlignment="1"/>
    <xf numFmtId="170" fontId="13" fillId="98" borderId="1" xfId="0" applyNumberFormat="1" applyFont="1" applyFill="1" applyBorder="1" applyAlignment="1"/>
    <xf numFmtId="0" fontId="13" fillId="98" borderId="1" xfId="4" applyFont="1" applyFill="1" applyBorder="1" applyAlignment="1"/>
    <xf numFmtId="0" fontId="17" fillId="98" borderId="1" xfId="0" applyFont="1" applyFill="1" applyBorder="1" applyAlignment="1"/>
    <xf numFmtId="169" fontId="17" fillId="98" borderId="1" xfId="3" applyNumberFormat="1" applyFont="1" applyFill="1" applyBorder="1" applyAlignment="1"/>
    <xf numFmtId="169" fontId="13" fillId="102" borderId="1" xfId="3" applyNumberFormat="1" applyFont="1" applyFill="1" applyBorder="1" applyAlignment="1"/>
    <xf numFmtId="43" fontId="12" fillId="98" borderId="1" xfId="1" applyFont="1" applyFill="1" applyBorder="1" applyAlignment="1"/>
    <xf numFmtId="171" fontId="12" fillId="98" borderId="1" xfId="1" applyNumberFormat="1" applyFont="1" applyFill="1" applyBorder="1" applyAlignment="1"/>
    <xf numFmtId="165" fontId="12" fillId="98" borderId="1" xfId="0" applyNumberFormat="1" applyFont="1" applyFill="1" applyBorder="1" applyAlignment="1"/>
    <xf numFmtId="0" fontId="12" fillId="0" borderId="1" xfId="0" applyFont="1" applyFill="1" applyBorder="1" applyAlignment="1"/>
    <xf numFmtId="0" fontId="12" fillId="98" borderId="1" xfId="0" applyFont="1" applyFill="1" applyBorder="1" applyAlignment="1">
      <alignment vertical="center"/>
    </xf>
    <xf numFmtId="0" fontId="12" fillId="0" borderId="0" xfId="0" applyFont="1" applyFill="1" applyBorder="1" applyAlignment="1"/>
    <xf numFmtId="218" fontId="156" fillId="0" borderId="0" xfId="1" applyNumberFormat="1" applyFont="1" applyFill="1" applyBorder="1" applyAlignment="1"/>
    <xf numFmtId="9" fontId="12" fillId="98" borderId="1" xfId="0" applyNumberFormat="1" applyFont="1" applyFill="1" applyBorder="1" applyAlignment="1"/>
    <xf numFmtId="2" fontId="13" fillId="102" borderId="1" xfId="0" applyNumberFormat="1" applyFont="1" applyFill="1" applyBorder="1" applyAlignment="1"/>
    <xf numFmtId="0" fontId="12" fillId="0" borderId="1" xfId="0" applyFont="1" applyBorder="1" applyAlignment="1"/>
    <xf numFmtId="219" fontId="156" fillId="0" borderId="0" xfId="1" applyNumberFormat="1" applyFont="1" applyFill="1" applyBorder="1" applyAlignment="1"/>
    <xf numFmtId="43" fontId="12" fillId="0" borderId="0" xfId="1" applyNumberFormat="1" applyFont="1" applyAlignment="1"/>
    <xf numFmtId="0" fontId="12" fillId="0" borderId="0" xfId="0" applyFont="1" applyFill="1" applyAlignment="1"/>
    <xf numFmtId="172" fontId="13" fillId="102" borderId="1" xfId="3" applyNumberFormat="1" applyFont="1" applyFill="1" applyBorder="1" applyAlignment="1"/>
    <xf numFmtId="165" fontId="13" fillId="102" borderId="1" xfId="0" applyNumberFormat="1" applyFont="1" applyFill="1" applyBorder="1" applyAlignment="1"/>
    <xf numFmtId="39" fontId="13" fillId="102" borderId="1" xfId="1" applyNumberFormat="1" applyFont="1" applyFill="1" applyBorder="1" applyAlignment="1"/>
    <xf numFmtId="172" fontId="13" fillId="102" borderId="1" xfId="0" applyNumberFormat="1" applyFont="1" applyFill="1" applyBorder="1" applyAlignment="1"/>
    <xf numFmtId="171" fontId="13" fillId="102" borderId="1" xfId="1" quotePrefix="1" applyNumberFormat="1" applyFont="1" applyFill="1" applyBorder="1" applyAlignment="1">
      <alignment horizontal="right"/>
    </xf>
    <xf numFmtId="171" fontId="13" fillId="34" borderId="1" xfId="1" applyNumberFormat="1" applyFont="1" applyFill="1" applyBorder="1" applyAlignment="1"/>
    <xf numFmtId="43" fontId="13" fillId="34" borderId="1" xfId="1" applyNumberFormat="1" applyFont="1" applyFill="1" applyBorder="1" applyAlignment="1"/>
    <xf numFmtId="43" fontId="12" fillId="34" borderId="1" xfId="1" applyFont="1" applyFill="1" applyBorder="1" applyAlignment="1"/>
    <xf numFmtId="0" fontId="0" fillId="34" borderId="0" xfId="0" applyFill="1"/>
    <xf numFmtId="0" fontId="1" fillId="0" borderId="66" xfId="0" applyFont="1" applyBorder="1" applyAlignment="1">
      <alignment vertical="center" wrapText="1"/>
    </xf>
    <xf numFmtId="0" fontId="1" fillId="0" borderId="64" xfId="0" applyFont="1" applyBorder="1" applyAlignment="1">
      <alignment horizontal="center" vertical="center" wrapText="1"/>
    </xf>
    <xf numFmtId="1" fontId="12" fillId="102" borderId="1" xfId="3" applyNumberFormat="1" applyFont="1" applyFill="1" applyBorder="1"/>
    <xf numFmtId="9" fontId="1" fillId="0" borderId="0" xfId="3" applyFont="1" applyAlignment="1">
      <alignment wrapText="1"/>
    </xf>
    <xf numFmtId="0" fontId="1" fillId="0" borderId="78" xfId="0" applyFont="1" applyBorder="1" applyAlignment="1">
      <alignment vertical="center" wrapText="1"/>
    </xf>
    <xf numFmtId="2" fontId="12" fillId="34" borderId="1" xfId="3" applyNumberFormat="1" applyFont="1" applyFill="1" applyBorder="1" applyAlignment="1"/>
    <xf numFmtId="43" fontId="12" fillId="0" borderId="0" xfId="0" applyNumberFormat="1" applyFont="1" applyAlignment="1"/>
    <xf numFmtId="3" fontId="0" fillId="0" borderId="0" xfId="0" applyNumberFormat="1" applyFont="1" applyFill="1"/>
    <xf numFmtId="0" fontId="103" fillId="0" borderId="0" xfId="0" applyFont="1" applyAlignment="1">
      <alignment vertical="center"/>
    </xf>
    <xf numFmtId="0" fontId="0" fillId="34" borderId="1" xfId="0" applyFont="1" applyFill="1" applyBorder="1"/>
    <xf numFmtId="0" fontId="161" fillId="103" borderId="1" xfId="1" applyNumberFormat="1" applyFont="1" applyFill="1" applyBorder="1" applyAlignment="1">
      <alignment horizontal="center" vertical="center" wrapText="1"/>
    </xf>
    <xf numFmtId="43" fontId="158" fillId="104" borderId="1" xfId="1" applyNumberFormat="1" applyFont="1" applyFill="1" applyBorder="1" applyAlignment="1">
      <alignment horizontal="right"/>
    </xf>
    <xf numFmtId="43" fontId="157" fillId="104" borderId="1" xfId="1" applyNumberFormat="1" applyFont="1" applyFill="1" applyBorder="1" applyAlignment="1">
      <alignment horizontal="right"/>
    </xf>
    <xf numFmtId="43" fontId="157" fillId="105" borderId="1" xfId="0" applyNumberFormat="1" applyFont="1" applyFill="1" applyBorder="1"/>
    <xf numFmtId="2" fontId="0" fillId="34" borderId="1" xfId="0" applyNumberFormat="1" applyFont="1" applyFill="1" applyBorder="1"/>
    <xf numFmtId="2" fontId="0" fillId="94" borderId="1" xfId="0" applyNumberFormat="1" applyFont="1" applyFill="1" applyBorder="1"/>
    <xf numFmtId="0" fontId="152" fillId="0" borderId="0" xfId="0" applyFont="1"/>
    <xf numFmtId="0" fontId="155" fillId="101" borderId="0" xfId="0" applyFont="1" applyFill="1"/>
    <xf numFmtId="0" fontId="158" fillId="106" borderId="1" xfId="0" applyFont="1" applyFill="1" applyBorder="1" applyAlignment="1">
      <alignment horizontal="center" vertical="center" wrapText="1"/>
    </xf>
    <xf numFmtId="0" fontId="162" fillId="101" borderId="1" xfId="0"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xf>
    <xf numFmtId="0" fontId="0" fillId="0" borderId="1" xfId="0" applyBorder="1"/>
    <xf numFmtId="0" fontId="103" fillId="0" borderId="1" xfId="0" applyFont="1" applyBorder="1" applyAlignment="1">
      <alignment vertical="center"/>
    </xf>
    <xf numFmtId="0" fontId="155" fillId="0" borderId="1" xfId="0" applyFont="1" applyBorder="1" applyAlignment="1">
      <alignment vertical="center"/>
    </xf>
    <xf numFmtId="165" fontId="12" fillId="98" borderId="1" xfId="0" applyNumberFormat="1" applyFont="1" applyFill="1" applyBorder="1"/>
    <xf numFmtId="0" fontId="12" fillId="6" borderId="1" xfId="0" applyFont="1" applyFill="1" applyBorder="1"/>
    <xf numFmtId="43" fontId="12" fillId="6" borderId="1" xfId="1" applyFont="1" applyFill="1" applyBorder="1" applyAlignment="1"/>
    <xf numFmtId="172" fontId="12" fillId="6" borderId="1" xfId="0" applyNumberFormat="1" applyFont="1" applyFill="1" applyBorder="1"/>
    <xf numFmtId="0" fontId="13" fillId="6" borderId="1" xfId="0" applyFont="1" applyFill="1" applyBorder="1" applyAlignment="1">
      <alignment horizontal="left"/>
    </xf>
    <xf numFmtId="168" fontId="13" fillId="6" borderId="1" xfId="1" applyNumberFormat="1" applyFont="1" applyFill="1" applyBorder="1" applyAlignment="1"/>
    <xf numFmtId="0" fontId="13" fillId="6" borderId="1" xfId="0" applyFont="1" applyFill="1" applyBorder="1"/>
    <xf numFmtId="0" fontId="13" fillId="6" borderId="1" xfId="0" applyFont="1" applyFill="1" applyBorder="1" applyAlignment="1"/>
    <xf numFmtId="9" fontId="13" fillId="6" borderId="1" xfId="0" applyNumberFormat="1" applyFont="1" applyFill="1" applyBorder="1" applyAlignment="1"/>
    <xf numFmtId="43" fontId="13" fillId="6" borderId="1" xfId="1" applyNumberFormat="1" applyFont="1" applyFill="1" applyBorder="1" applyAlignment="1">
      <alignment horizontal="right"/>
    </xf>
    <xf numFmtId="0" fontId="0" fillId="0" borderId="1" xfId="0" quotePrefix="1" applyBorder="1"/>
    <xf numFmtId="0" fontId="148" fillId="2" borderId="5" xfId="0" applyFont="1" applyFill="1" applyBorder="1" applyAlignment="1">
      <alignment horizontal="center" vertical="center" wrapText="1"/>
    </xf>
    <xf numFmtId="171" fontId="13" fillId="6" borderId="1" xfId="1" applyNumberFormat="1" applyFont="1" applyFill="1" applyBorder="1" applyAlignment="1">
      <alignment horizontal="right"/>
    </xf>
    <xf numFmtId="0" fontId="148" fillId="4" borderId="1" xfId="0" applyFont="1" applyFill="1" applyBorder="1" applyAlignment="1">
      <alignment horizontal="center" vertical="center" wrapText="1"/>
    </xf>
    <xf numFmtId="0" fontId="148" fillId="5" borderId="4"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7" borderId="4" xfId="0" applyFont="1" applyFill="1" applyBorder="1" applyAlignment="1">
      <alignment horizontal="center" vertical="center" wrapText="1"/>
    </xf>
    <xf numFmtId="0" fontId="148" fillId="7" borderId="5"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8" fillId="2" borderId="4"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12" borderId="3" xfId="0" applyFont="1" applyFill="1" applyBorder="1" applyAlignment="1">
      <alignment horizontal="center" vertical="center" wrapText="1"/>
    </xf>
    <xf numFmtId="0" fontId="148" fillId="12" borderId="4" xfId="0" applyFont="1" applyFill="1" applyBorder="1" applyAlignment="1">
      <alignment horizontal="center" vertical="center" wrapText="1"/>
    </xf>
    <xf numFmtId="0" fontId="148" fillId="12" borderId="5" xfId="0" applyFont="1" applyFill="1" applyBorder="1" applyAlignment="1">
      <alignment horizontal="center" vertical="center" wrapText="1"/>
    </xf>
    <xf numFmtId="0" fontId="148" fillId="7" borderId="8" xfId="0" applyFont="1" applyFill="1" applyBorder="1" applyAlignment="1">
      <alignment horizontal="center" vertical="center" wrapText="1"/>
    </xf>
    <xf numFmtId="0" fontId="148" fillId="7" borderId="9" xfId="0" applyFont="1" applyFill="1" applyBorder="1" applyAlignment="1">
      <alignment horizontal="center" vertical="center" wrapText="1"/>
    </xf>
    <xf numFmtId="0" fontId="148" fillId="7" borderId="14" xfId="0" applyFont="1" applyFill="1" applyBorder="1" applyAlignment="1">
      <alignment horizontal="center" vertical="center" wrapText="1"/>
    </xf>
    <xf numFmtId="0" fontId="148" fillId="7" borderId="7" xfId="0" applyFont="1" applyFill="1" applyBorder="1" applyAlignment="1">
      <alignment horizontal="center" vertical="center" wrapText="1"/>
    </xf>
    <xf numFmtId="0" fontId="148" fillId="7" borderId="6" xfId="0" applyFont="1" applyFill="1" applyBorder="1" applyAlignment="1">
      <alignment horizontal="center" vertical="center" wrapText="1"/>
    </xf>
    <xf numFmtId="0" fontId="148" fillId="7" borderId="15" xfId="0" applyFont="1" applyFill="1" applyBorder="1" applyAlignment="1">
      <alignment horizontal="center" vertical="center" wrapText="1"/>
    </xf>
    <xf numFmtId="0" fontId="148" fillId="3" borderId="3" xfId="0" applyFont="1" applyFill="1" applyBorder="1" applyAlignment="1">
      <alignment horizontal="center" vertical="center" wrapText="1"/>
    </xf>
    <xf numFmtId="0" fontId="148" fillId="3" borderId="4"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4" xfId="0" applyFont="1" applyFill="1" applyBorder="1" applyAlignment="1">
      <alignment horizontal="center" vertical="center" wrapText="1"/>
    </xf>
    <xf numFmtId="0" fontId="148" fillId="6" borderId="5" xfId="0" applyFont="1" applyFill="1" applyBorder="1" applyAlignment="1">
      <alignment horizontal="center" vertical="center" wrapText="1"/>
    </xf>
    <xf numFmtId="0" fontId="148" fillId="4" borderId="3" xfId="0" applyFont="1" applyFill="1" applyBorder="1" applyAlignment="1">
      <alignment horizontal="center" vertical="center" wrapText="1"/>
    </xf>
    <xf numFmtId="0" fontId="148" fillId="4" borderId="4" xfId="0" applyFont="1" applyFill="1" applyBorder="1" applyAlignment="1">
      <alignment horizontal="center" vertical="center" wrapText="1"/>
    </xf>
    <xf numFmtId="0" fontId="148" fillId="4" borderId="5" xfId="0" applyFont="1" applyFill="1" applyBorder="1" applyAlignment="1">
      <alignment horizontal="center" vertical="center" wrapText="1"/>
    </xf>
    <xf numFmtId="168" fontId="160" fillId="103" borderId="3" xfId="1" applyNumberFormat="1" applyFont="1" applyFill="1" applyBorder="1" applyAlignment="1">
      <alignment horizontal="center" vertical="center" wrapText="1"/>
    </xf>
    <xf numFmtId="168" fontId="160" fillId="103" borderId="4" xfId="1" applyNumberFormat="1" applyFont="1" applyFill="1" applyBorder="1" applyAlignment="1">
      <alignment horizontal="center" vertical="center" wrapText="1"/>
    </xf>
    <xf numFmtId="168" fontId="160" fillId="103" borderId="5" xfId="1" applyNumberFormat="1" applyFont="1" applyFill="1" applyBorder="1" applyAlignment="1">
      <alignment horizontal="center" vertical="center" wrapText="1"/>
    </xf>
    <xf numFmtId="0" fontId="159" fillId="34" borderId="0" xfId="0" applyFont="1" applyFill="1" applyAlignment="1">
      <alignment horizontal="left"/>
    </xf>
    <xf numFmtId="168" fontId="18" fillId="13" borderId="3" xfId="1" applyNumberFormat="1" applyFont="1" applyFill="1" applyBorder="1" applyAlignment="1">
      <alignment horizontal="center"/>
    </xf>
    <xf numFmtId="168" fontId="18" fillId="13" borderId="4" xfId="1" applyNumberFormat="1" applyFont="1" applyFill="1" applyBorder="1" applyAlignment="1">
      <alignment horizontal="center"/>
    </xf>
    <xf numFmtId="168" fontId="18" fillId="13" borderId="5" xfId="1" applyNumberFormat="1" applyFont="1" applyFill="1" applyBorder="1" applyAlignment="1">
      <alignment horizontal="center"/>
    </xf>
    <xf numFmtId="0" fontId="12" fillId="0" borderId="1" xfId="0" applyFont="1" applyBorder="1" applyAlignment="1">
      <alignment horizontal="center" vertical="center"/>
    </xf>
    <xf numFmtId="0" fontId="18" fillId="38" borderId="1" xfId="0" applyFont="1" applyFill="1" applyBorder="1" applyAlignment="1">
      <alignment horizontal="center" vertical="center" wrapText="1"/>
    </xf>
    <xf numFmtId="43" fontId="12" fillId="0" borderId="1" xfId="1" applyFont="1" applyBorder="1" applyAlignment="1">
      <alignment horizontal="center"/>
    </xf>
    <xf numFmtId="43" fontId="12" fillId="34" borderId="1" xfId="1" applyFont="1" applyFill="1" applyBorder="1" applyAlignment="1">
      <alignment horizontal="center"/>
    </xf>
    <xf numFmtId="0" fontId="18" fillId="94" borderId="1" xfId="0" applyFont="1" applyFill="1" applyBorder="1" applyAlignment="1">
      <alignment horizontal="center"/>
    </xf>
    <xf numFmtId="0" fontId="18" fillId="96"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168" fontId="143" fillId="3" borderId="65" xfId="1" applyNumberFormat="1" applyFont="1" applyFill="1" applyBorder="1" applyAlignment="1">
      <alignment horizontal="center"/>
    </xf>
    <xf numFmtId="168" fontId="143" fillId="3" borderId="66" xfId="1" applyNumberFormat="1" applyFont="1" applyFill="1" applyBorder="1" applyAlignment="1">
      <alignment horizontal="center"/>
    </xf>
    <xf numFmtId="168" fontId="143" fillId="3" borderId="67" xfId="1" applyNumberFormat="1" applyFont="1" applyFill="1" applyBorder="1" applyAlignment="1">
      <alignment horizontal="center"/>
    </xf>
    <xf numFmtId="0" fontId="18" fillId="13" borderId="1" xfId="0" applyFont="1" applyFill="1" applyBorder="1" applyAlignment="1">
      <alignment horizontal="center"/>
    </xf>
    <xf numFmtId="0" fontId="18" fillId="34" borderId="0" xfId="0" applyFont="1" applyFill="1" applyBorder="1" applyAlignment="1">
      <alignment horizontal="left"/>
    </xf>
  </cellXfs>
  <cellStyles count="51837">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0" xfId="24853" xr:uid="{00000000-0005-0000-0000-000010610000}"/>
    <cellStyle name="Hyperlink 300" xfId="24854" xr:uid="{00000000-0005-0000-0000-000011610000}"/>
    <cellStyle name="Hyperlink 301" xfId="24855" xr:uid="{00000000-0005-0000-0000-000012610000}"/>
    <cellStyle name="Hyperlink 302" xfId="24856" xr:uid="{00000000-0005-0000-0000-000013610000}"/>
    <cellStyle name="Hyperlink 303" xfId="24857" xr:uid="{00000000-0005-0000-0000-000014610000}"/>
    <cellStyle name="Hyperlink 304" xfId="24858" xr:uid="{00000000-0005-0000-0000-000015610000}"/>
    <cellStyle name="Hyperlink 305" xfId="24859" xr:uid="{00000000-0005-0000-0000-000016610000}"/>
    <cellStyle name="Hyperlink 306" xfId="24860" xr:uid="{00000000-0005-0000-0000-000017610000}"/>
    <cellStyle name="Hyperlink 307" xfId="24861" xr:uid="{00000000-0005-0000-0000-000018610000}"/>
    <cellStyle name="Hyperlink 308" xfId="24862" xr:uid="{00000000-0005-0000-0000-000019610000}"/>
    <cellStyle name="Hyperlink 309" xfId="24863" xr:uid="{00000000-0005-0000-0000-00001A610000}"/>
    <cellStyle name="Hyperlink 31" xfId="24864" xr:uid="{00000000-0005-0000-0000-00001B610000}"/>
    <cellStyle name="Hyperlink 310" xfId="24865" xr:uid="{00000000-0005-0000-0000-00001C610000}"/>
    <cellStyle name="Hyperlink 311" xfId="24866" xr:uid="{00000000-0005-0000-0000-00001D610000}"/>
    <cellStyle name="Hyperlink 312" xfId="24867" xr:uid="{00000000-0005-0000-0000-00001E610000}"/>
    <cellStyle name="Hyperlink 313" xfId="24868" xr:uid="{00000000-0005-0000-0000-00001F610000}"/>
    <cellStyle name="Hyperlink 314" xfId="24869" xr:uid="{00000000-0005-0000-0000-000020610000}"/>
    <cellStyle name="Hyperlink 315" xfId="24870" xr:uid="{00000000-0005-0000-0000-000021610000}"/>
    <cellStyle name="Hyperlink 316" xfId="24871" xr:uid="{00000000-0005-0000-0000-000022610000}"/>
    <cellStyle name="Hyperlink 317" xfId="24872" xr:uid="{00000000-0005-0000-0000-000023610000}"/>
    <cellStyle name="Hyperlink 318" xfId="24873" xr:uid="{00000000-0005-0000-0000-000024610000}"/>
    <cellStyle name="Hyperlink 319" xfId="24874" xr:uid="{00000000-0005-0000-0000-000025610000}"/>
    <cellStyle name="Hyperlink 32" xfId="24875" xr:uid="{00000000-0005-0000-0000-000026610000}"/>
    <cellStyle name="Hyperlink 320" xfId="24876" xr:uid="{00000000-0005-0000-0000-000027610000}"/>
    <cellStyle name="Hyperlink 321" xfId="24877" xr:uid="{00000000-0005-0000-0000-000028610000}"/>
    <cellStyle name="Hyperlink 322" xfId="24878" xr:uid="{00000000-0005-0000-0000-000029610000}"/>
    <cellStyle name="Hyperlink 323" xfId="24879" xr:uid="{00000000-0005-0000-0000-00002A610000}"/>
    <cellStyle name="Hyperlink 324" xfId="24880" xr:uid="{00000000-0005-0000-0000-00002B610000}"/>
    <cellStyle name="Hyperlink 325" xfId="24881" xr:uid="{00000000-0005-0000-0000-00002C610000}"/>
    <cellStyle name="Hyperlink 326" xfId="24882" xr:uid="{00000000-0005-0000-0000-00002D610000}"/>
    <cellStyle name="Hyperlink 327" xfId="24883" xr:uid="{00000000-0005-0000-0000-00002E610000}"/>
    <cellStyle name="Hyperlink 328" xfId="24884" xr:uid="{00000000-0005-0000-0000-00002F610000}"/>
    <cellStyle name="Hyperlink 329" xfId="24885" xr:uid="{00000000-0005-0000-0000-000030610000}"/>
    <cellStyle name="Hyperlink 33" xfId="24886" xr:uid="{00000000-0005-0000-0000-000031610000}"/>
    <cellStyle name="Hyperlink 330" xfId="24887" xr:uid="{00000000-0005-0000-0000-000032610000}"/>
    <cellStyle name="Hyperlink 331" xfId="24888" xr:uid="{00000000-0005-0000-0000-000033610000}"/>
    <cellStyle name="Hyperlink 332" xfId="24889" xr:uid="{00000000-0005-0000-0000-000034610000}"/>
    <cellStyle name="Hyperlink 333" xfId="24890" xr:uid="{00000000-0005-0000-0000-000035610000}"/>
    <cellStyle name="Hyperlink 334" xfId="24891" xr:uid="{00000000-0005-0000-0000-000036610000}"/>
    <cellStyle name="Hyperlink 335" xfId="24892" xr:uid="{00000000-0005-0000-0000-000037610000}"/>
    <cellStyle name="Hyperlink 336" xfId="24893" xr:uid="{00000000-0005-0000-0000-000038610000}"/>
    <cellStyle name="Hyperlink 337" xfId="24894" xr:uid="{00000000-0005-0000-0000-000039610000}"/>
    <cellStyle name="Hyperlink 338" xfId="24895" xr:uid="{00000000-0005-0000-0000-00003A610000}"/>
    <cellStyle name="Hyperlink 339" xfId="24896" xr:uid="{00000000-0005-0000-0000-00003B610000}"/>
    <cellStyle name="Hyperlink 34" xfId="24897" xr:uid="{00000000-0005-0000-0000-00003C610000}"/>
    <cellStyle name="Hyperlink 340" xfId="24898" xr:uid="{00000000-0005-0000-0000-00003D610000}"/>
    <cellStyle name="Hyperlink 341" xfId="24899" xr:uid="{00000000-0005-0000-0000-00003E610000}"/>
    <cellStyle name="Hyperlink 342" xfId="24900" xr:uid="{00000000-0005-0000-0000-00003F610000}"/>
    <cellStyle name="Hyperlink 343" xfId="24901" xr:uid="{00000000-0005-0000-0000-000040610000}"/>
    <cellStyle name="Hyperlink 344" xfId="24902" xr:uid="{00000000-0005-0000-0000-000041610000}"/>
    <cellStyle name="Hyperlink 345" xfId="24903" xr:uid="{00000000-0005-0000-0000-000042610000}"/>
    <cellStyle name="Hyperlink 346" xfId="24904" xr:uid="{00000000-0005-0000-0000-000043610000}"/>
    <cellStyle name="Hyperlink 347" xfId="24905" xr:uid="{00000000-0005-0000-0000-000044610000}"/>
    <cellStyle name="Hyperlink 348" xfId="24906" xr:uid="{00000000-0005-0000-0000-000045610000}"/>
    <cellStyle name="Hyperlink 349" xfId="24907" xr:uid="{00000000-0005-0000-0000-000046610000}"/>
    <cellStyle name="Hyperlink 35" xfId="24908" xr:uid="{00000000-0005-0000-0000-000047610000}"/>
    <cellStyle name="Hyperlink 350" xfId="24909" xr:uid="{00000000-0005-0000-0000-000048610000}"/>
    <cellStyle name="Hyperlink 351" xfId="24910" xr:uid="{00000000-0005-0000-0000-000049610000}"/>
    <cellStyle name="Hyperlink 352" xfId="24911" xr:uid="{00000000-0005-0000-0000-00004A610000}"/>
    <cellStyle name="Hyperlink 353" xfId="24912" xr:uid="{00000000-0005-0000-0000-00004B610000}"/>
    <cellStyle name="Hyperlink 354" xfId="24913" xr:uid="{00000000-0005-0000-0000-00004C610000}"/>
    <cellStyle name="Hyperlink 355" xfId="24914" xr:uid="{00000000-0005-0000-0000-00004D610000}"/>
    <cellStyle name="Hyperlink 356" xfId="24915" xr:uid="{00000000-0005-0000-0000-00004E610000}"/>
    <cellStyle name="Hyperlink 36" xfId="24916" xr:uid="{00000000-0005-0000-0000-00004F610000}"/>
    <cellStyle name="Hyperlink 37" xfId="24917" xr:uid="{00000000-0005-0000-0000-000050610000}"/>
    <cellStyle name="Hyperlink 38" xfId="24918" xr:uid="{00000000-0005-0000-0000-000051610000}"/>
    <cellStyle name="Hyperlink 39" xfId="24919" xr:uid="{00000000-0005-0000-0000-000052610000}"/>
    <cellStyle name="Hyperlink 4" xfId="24920" xr:uid="{00000000-0005-0000-0000-000053610000}"/>
    <cellStyle name="Hyperlink 4 2" xfId="24921" xr:uid="{00000000-0005-0000-0000-000054610000}"/>
    <cellStyle name="Hyperlink 40" xfId="24922" xr:uid="{00000000-0005-0000-0000-000055610000}"/>
    <cellStyle name="Hyperlink 41" xfId="24923" xr:uid="{00000000-0005-0000-0000-000056610000}"/>
    <cellStyle name="Hyperlink 42" xfId="24924" xr:uid="{00000000-0005-0000-0000-000057610000}"/>
    <cellStyle name="Hyperlink 43" xfId="24925" xr:uid="{00000000-0005-0000-0000-000058610000}"/>
    <cellStyle name="Hyperlink 44" xfId="24926" xr:uid="{00000000-0005-0000-0000-000059610000}"/>
    <cellStyle name="Hyperlink 45" xfId="24927" xr:uid="{00000000-0005-0000-0000-00005A610000}"/>
    <cellStyle name="Hyperlink 46" xfId="24928" xr:uid="{00000000-0005-0000-0000-00005B610000}"/>
    <cellStyle name="Hyperlink 47" xfId="24929" xr:uid="{00000000-0005-0000-0000-00005C610000}"/>
    <cellStyle name="Hyperlink 48" xfId="24930" xr:uid="{00000000-0005-0000-0000-00005D610000}"/>
    <cellStyle name="Hyperlink 49" xfId="24931" xr:uid="{00000000-0005-0000-0000-00005E610000}"/>
    <cellStyle name="Hyperlink 5" xfId="24932" xr:uid="{00000000-0005-0000-0000-00005F610000}"/>
    <cellStyle name="Hyperlink 50" xfId="24933" xr:uid="{00000000-0005-0000-0000-000060610000}"/>
    <cellStyle name="Hyperlink 51" xfId="24934" xr:uid="{00000000-0005-0000-0000-000061610000}"/>
    <cellStyle name="Hyperlink 52" xfId="24935" xr:uid="{00000000-0005-0000-0000-000062610000}"/>
    <cellStyle name="Hyperlink 53" xfId="24936" xr:uid="{00000000-0005-0000-0000-000063610000}"/>
    <cellStyle name="Hyperlink 54" xfId="24937" xr:uid="{00000000-0005-0000-0000-000064610000}"/>
    <cellStyle name="Hyperlink 55" xfId="24938" xr:uid="{00000000-0005-0000-0000-000065610000}"/>
    <cellStyle name="Hyperlink 56" xfId="24939" xr:uid="{00000000-0005-0000-0000-000066610000}"/>
    <cellStyle name="Hyperlink 57" xfId="24940" xr:uid="{00000000-0005-0000-0000-000067610000}"/>
    <cellStyle name="Hyperlink 58" xfId="24941" xr:uid="{00000000-0005-0000-0000-000068610000}"/>
    <cellStyle name="Hyperlink 59" xfId="24942" xr:uid="{00000000-0005-0000-0000-000069610000}"/>
    <cellStyle name="Hyperlink 6" xfId="24943" xr:uid="{00000000-0005-0000-0000-00006A610000}"/>
    <cellStyle name="Hyperlink 60" xfId="24944" xr:uid="{00000000-0005-0000-0000-00006B610000}"/>
    <cellStyle name="Hyperlink 61" xfId="24945" xr:uid="{00000000-0005-0000-0000-00006C610000}"/>
    <cellStyle name="Hyperlink 62" xfId="24946" xr:uid="{00000000-0005-0000-0000-00006D610000}"/>
    <cellStyle name="Hyperlink 63" xfId="24947" xr:uid="{00000000-0005-0000-0000-00006E610000}"/>
    <cellStyle name="Hyperlink 64" xfId="24948" xr:uid="{00000000-0005-0000-0000-00006F610000}"/>
    <cellStyle name="Hyperlink 65" xfId="24949" xr:uid="{00000000-0005-0000-0000-000070610000}"/>
    <cellStyle name="Hyperlink 66" xfId="24950" xr:uid="{00000000-0005-0000-0000-000071610000}"/>
    <cellStyle name="Hyperlink 67" xfId="24951" xr:uid="{00000000-0005-0000-0000-000072610000}"/>
    <cellStyle name="Hyperlink 68" xfId="24952" xr:uid="{00000000-0005-0000-0000-000073610000}"/>
    <cellStyle name="Hyperlink 69" xfId="24953" xr:uid="{00000000-0005-0000-0000-000074610000}"/>
    <cellStyle name="Hyperlink 7" xfId="24954" xr:uid="{00000000-0005-0000-0000-000075610000}"/>
    <cellStyle name="Hyperlink 70" xfId="24955" xr:uid="{00000000-0005-0000-0000-000076610000}"/>
    <cellStyle name="Hyperlink 71" xfId="24956" xr:uid="{00000000-0005-0000-0000-000077610000}"/>
    <cellStyle name="Hyperlink 72" xfId="24957" xr:uid="{00000000-0005-0000-0000-000078610000}"/>
    <cellStyle name="Hyperlink 73" xfId="24958" xr:uid="{00000000-0005-0000-0000-000079610000}"/>
    <cellStyle name="Hyperlink 74" xfId="24959" xr:uid="{00000000-0005-0000-0000-00007A610000}"/>
    <cellStyle name="Hyperlink 75" xfId="24960" xr:uid="{00000000-0005-0000-0000-00007B610000}"/>
    <cellStyle name="Hyperlink 76" xfId="24961" xr:uid="{00000000-0005-0000-0000-00007C610000}"/>
    <cellStyle name="Hyperlink 77" xfId="24962" xr:uid="{00000000-0005-0000-0000-00007D610000}"/>
    <cellStyle name="Hyperlink 78" xfId="24963" xr:uid="{00000000-0005-0000-0000-00007E610000}"/>
    <cellStyle name="Hyperlink 79" xfId="24964" xr:uid="{00000000-0005-0000-0000-00007F610000}"/>
    <cellStyle name="Hyperlink 8" xfId="24965" xr:uid="{00000000-0005-0000-0000-000080610000}"/>
    <cellStyle name="Hyperlink 80" xfId="24966" xr:uid="{00000000-0005-0000-0000-000081610000}"/>
    <cellStyle name="Hyperlink 81" xfId="24967" xr:uid="{00000000-0005-0000-0000-000082610000}"/>
    <cellStyle name="Hyperlink 82" xfId="24968" xr:uid="{00000000-0005-0000-0000-000083610000}"/>
    <cellStyle name="Hyperlink 83" xfId="24969" xr:uid="{00000000-0005-0000-0000-000084610000}"/>
    <cellStyle name="Hyperlink 84" xfId="24970" xr:uid="{00000000-0005-0000-0000-000085610000}"/>
    <cellStyle name="Hyperlink 85" xfId="24971" xr:uid="{00000000-0005-0000-0000-000086610000}"/>
    <cellStyle name="Hyperlink 86" xfId="24972" xr:uid="{00000000-0005-0000-0000-000087610000}"/>
    <cellStyle name="Hyperlink 87" xfId="24973" xr:uid="{00000000-0005-0000-0000-000088610000}"/>
    <cellStyle name="Hyperlink 88" xfId="24974" xr:uid="{00000000-0005-0000-0000-000089610000}"/>
    <cellStyle name="Hyperlink 89" xfId="24975" xr:uid="{00000000-0005-0000-0000-00008A610000}"/>
    <cellStyle name="Hyperlink 9" xfId="24976" xr:uid="{00000000-0005-0000-0000-00008B610000}"/>
    <cellStyle name="Hyperlink 90" xfId="24977" xr:uid="{00000000-0005-0000-0000-00008C610000}"/>
    <cellStyle name="Hyperlink 91" xfId="24978" xr:uid="{00000000-0005-0000-0000-00008D610000}"/>
    <cellStyle name="Hyperlink 92" xfId="24979" xr:uid="{00000000-0005-0000-0000-00008E610000}"/>
    <cellStyle name="Hyperlink 93" xfId="24980" xr:uid="{00000000-0005-0000-0000-00008F610000}"/>
    <cellStyle name="Hyperlink 94" xfId="24981" xr:uid="{00000000-0005-0000-0000-000090610000}"/>
    <cellStyle name="Hyperlink 95" xfId="24982" xr:uid="{00000000-0005-0000-0000-000091610000}"/>
    <cellStyle name="Hyperlink 96" xfId="24983" xr:uid="{00000000-0005-0000-0000-000092610000}"/>
    <cellStyle name="Hyperlink 97" xfId="24984" xr:uid="{00000000-0005-0000-0000-000093610000}"/>
    <cellStyle name="Hyperlink 98" xfId="24985" xr:uid="{00000000-0005-0000-0000-000094610000}"/>
    <cellStyle name="Hyperlink 99" xfId="24986" xr:uid="{00000000-0005-0000-0000-000095610000}"/>
    <cellStyle name="Input [yellow]" xfId="24987" xr:uid="{00000000-0005-0000-0000-000096610000}"/>
    <cellStyle name="Input [yellow] 2" xfId="24988" xr:uid="{00000000-0005-0000-0000-000097610000}"/>
    <cellStyle name="Input [yellow] 3" xfId="24989" xr:uid="{00000000-0005-0000-0000-000098610000}"/>
    <cellStyle name="Input 10" xfId="24990" xr:uid="{00000000-0005-0000-0000-000099610000}"/>
    <cellStyle name="Input 10 10" xfId="24991" xr:uid="{00000000-0005-0000-0000-00009A610000}"/>
    <cellStyle name="Input 10 11" xfId="24992" xr:uid="{00000000-0005-0000-0000-00009B610000}"/>
    <cellStyle name="Input 10 12" xfId="24993" xr:uid="{00000000-0005-0000-0000-00009C610000}"/>
    <cellStyle name="Input 10 13" xfId="24994" xr:uid="{00000000-0005-0000-0000-00009D610000}"/>
    <cellStyle name="Input 10 2" xfId="24995" xr:uid="{00000000-0005-0000-0000-00009E610000}"/>
    <cellStyle name="Input 10 2 10" xfId="24996" xr:uid="{00000000-0005-0000-0000-00009F610000}"/>
    <cellStyle name="Input 10 2 10 2" xfId="24997" xr:uid="{00000000-0005-0000-0000-0000A0610000}"/>
    <cellStyle name="Input 10 2 10 3" xfId="24998" xr:uid="{00000000-0005-0000-0000-0000A1610000}"/>
    <cellStyle name="Input 10 2 10 4" xfId="24999" xr:uid="{00000000-0005-0000-0000-0000A2610000}"/>
    <cellStyle name="Input 10 2 10 5" xfId="25000" xr:uid="{00000000-0005-0000-0000-0000A3610000}"/>
    <cellStyle name="Input 10 2 10 6" xfId="25001" xr:uid="{00000000-0005-0000-0000-0000A4610000}"/>
    <cellStyle name="Input 10 2 11" xfId="25002" xr:uid="{00000000-0005-0000-0000-0000A5610000}"/>
    <cellStyle name="Input 10 2 12" xfId="25003" xr:uid="{00000000-0005-0000-0000-0000A6610000}"/>
    <cellStyle name="Input 10 2 13" xfId="25004" xr:uid="{00000000-0005-0000-0000-0000A7610000}"/>
    <cellStyle name="Input 10 2 14" xfId="25005" xr:uid="{00000000-0005-0000-0000-0000A8610000}"/>
    <cellStyle name="Input 10 2 2" xfId="25006" xr:uid="{00000000-0005-0000-0000-0000A9610000}"/>
    <cellStyle name="Input 10 2 2 10" xfId="25007" xr:uid="{00000000-0005-0000-0000-0000AA610000}"/>
    <cellStyle name="Input 10 2 2 11" xfId="25008" xr:uid="{00000000-0005-0000-0000-0000AB610000}"/>
    <cellStyle name="Input 10 2 2 12" xfId="25009" xr:uid="{00000000-0005-0000-0000-0000AC610000}"/>
    <cellStyle name="Input 10 2 2 13" xfId="25010" xr:uid="{00000000-0005-0000-0000-0000AD610000}"/>
    <cellStyle name="Input 10 2 2 2" xfId="25011" xr:uid="{00000000-0005-0000-0000-0000AE610000}"/>
    <cellStyle name="Input 10 2 2 2 2" xfId="25012" xr:uid="{00000000-0005-0000-0000-0000AF610000}"/>
    <cellStyle name="Input 10 2 2 2 2 2" xfId="25013" xr:uid="{00000000-0005-0000-0000-0000B0610000}"/>
    <cellStyle name="Input 10 2 2 2 2 2 2" xfId="25014" xr:uid="{00000000-0005-0000-0000-0000B1610000}"/>
    <cellStyle name="Input 10 2 2 2 2 2 3" xfId="25015" xr:uid="{00000000-0005-0000-0000-0000B2610000}"/>
    <cellStyle name="Input 10 2 2 2 2 2 4" xfId="25016" xr:uid="{00000000-0005-0000-0000-0000B3610000}"/>
    <cellStyle name="Input 10 2 2 2 2 2 5" xfId="25017" xr:uid="{00000000-0005-0000-0000-0000B4610000}"/>
    <cellStyle name="Input 10 2 2 2 2 2 6" xfId="25018" xr:uid="{00000000-0005-0000-0000-0000B5610000}"/>
    <cellStyle name="Input 10 2 2 2 2 3" xfId="25019" xr:uid="{00000000-0005-0000-0000-0000B6610000}"/>
    <cellStyle name="Input 10 2 2 2 2 4" xfId="25020" xr:uid="{00000000-0005-0000-0000-0000B7610000}"/>
    <cellStyle name="Input 10 2 2 2 2 5" xfId="25021" xr:uid="{00000000-0005-0000-0000-0000B8610000}"/>
    <cellStyle name="Input 10 2 2 2 2 6" xfId="25022" xr:uid="{00000000-0005-0000-0000-0000B9610000}"/>
    <cellStyle name="Input 10 2 2 2 3" xfId="25023" xr:uid="{00000000-0005-0000-0000-0000BA610000}"/>
    <cellStyle name="Input 10 2 2 2 3 2" xfId="25024" xr:uid="{00000000-0005-0000-0000-0000BB610000}"/>
    <cellStyle name="Input 10 2 2 2 3 2 2" xfId="25025" xr:uid="{00000000-0005-0000-0000-0000BC610000}"/>
    <cellStyle name="Input 10 2 2 2 3 2 3" xfId="25026" xr:uid="{00000000-0005-0000-0000-0000BD610000}"/>
    <cellStyle name="Input 10 2 2 2 3 2 4" xfId="25027" xr:uid="{00000000-0005-0000-0000-0000BE610000}"/>
    <cellStyle name="Input 10 2 2 2 3 2 5" xfId="25028" xr:uid="{00000000-0005-0000-0000-0000BF610000}"/>
    <cellStyle name="Input 10 2 2 2 3 2 6" xfId="25029" xr:uid="{00000000-0005-0000-0000-0000C0610000}"/>
    <cellStyle name="Input 10 2 2 2 3 3" xfId="25030" xr:uid="{00000000-0005-0000-0000-0000C1610000}"/>
    <cellStyle name="Input 10 2 2 2 3 4" xfId="25031" xr:uid="{00000000-0005-0000-0000-0000C2610000}"/>
    <cellStyle name="Input 10 2 2 2 3 5" xfId="25032" xr:uid="{00000000-0005-0000-0000-0000C3610000}"/>
    <cellStyle name="Input 10 2 2 2 3 6" xfId="25033" xr:uid="{00000000-0005-0000-0000-0000C4610000}"/>
    <cellStyle name="Input 10 2 2 2 4" xfId="25034" xr:uid="{00000000-0005-0000-0000-0000C5610000}"/>
    <cellStyle name="Input 10 2 2 2 4 2" xfId="25035" xr:uid="{00000000-0005-0000-0000-0000C6610000}"/>
    <cellStyle name="Input 10 2 2 2 4 3" xfId="25036" xr:uid="{00000000-0005-0000-0000-0000C7610000}"/>
    <cellStyle name="Input 10 2 2 2 4 4" xfId="25037" xr:uid="{00000000-0005-0000-0000-0000C8610000}"/>
    <cellStyle name="Input 10 2 2 2 4 5" xfId="25038" xr:uid="{00000000-0005-0000-0000-0000C9610000}"/>
    <cellStyle name="Input 10 2 2 2 4 6" xfId="25039" xr:uid="{00000000-0005-0000-0000-0000CA610000}"/>
    <cellStyle name="Input 10 2 2 2 5" xfId="25040" xr:uid="{00000000-0005-0000-0000-0000CB610000}"/>
    <cellStyle name="Input 10 2 2 2 6" xfId="25041" xr:uid="{00000000-0005-0000-0000-0000CC610000}"/>
    <cellStyle name="Input 10 2 2 2 7" xfId="25042" xr:uid="{00000000-0005-0000-0000-0000CD610000}"/>
    <cellStyle name="Input 10 2 2 2 8" xfId="25043" xr:uid="{00000000-0005-0000-0000-0000CE610000}"/>
    <cellStyle name="Input 10 2 2 3" xfId="25044" xr:uid="{00000000-0005-0000-0000-0000CF610000}"/>
    <cellStyle name="Input 10 2 2 3 2" xfId="25045" xr:uid="{00000000-0005-0000-0000-0000D0610000}"/>
    <cellStyle name="Input 10 2 2 3 2 2" xfId="25046" xr:uid="{00000000-0005-0000-0000-0000D1610000}"/>
    <cellStyle name="Input 10 2 2 3 2 2 2" xfId="25047" xr:uid="{00000000-0005-0000-0000-0000D2610000}"/>
    <cellStyle name="Input 10 2 2 3 2 2 3" xfId="25048" xr:uid="{00000000-0005-0000-0000-0000D3610000}"/>
    <cellStyle name="Input 10 2 2 3 2 2 4" xfId="25049" xr:uid="{00000000-0005-0000-0000-0000D4610000}"/>
    <cellStyle name="Input 10 2 2 3 2 2 5" xfId="25050" xr:uid="{00000000-0005-0000-0000-0000D5610000}"/>
    <cellStyle name="Input 10 2 2 3 2 2 6" xfId="25051" xr:uid="{00000000-0005-0000-0000-0000D6610000}"/>
    <cellStyle name="Input 10 2 2 3 2 3" xfId="25052" xr:uid="{00000000-0005-0000-0000-0000D7610000}"/>
    <cellStyle name="Input 10 2 2 3 2 4" xfId="25053" xr:uid="{00000000-0005-0000-0000-0000D8610000}"/>
    <cellStyle name="Input 10 2 2 3 2 5" xfId="25054" xr:uid="{00000000-0005-0000-0000-0000D9610000}"/>
    <cellStyle name="Input 10 2 2 3 2 6" xfId="25055" xr:uid="{00000000-0005-0000-0000-0000DA610000}"/>
    <cellStyle name="Input 10 2 2 3 3" xfId="25056" xr:uid="{00000000-0005-0000-0000-0000DB610000}"/>
    <cellStyle name="Input 10 2 2 3 3 2" xfId="25057" xr:uid="{00000000-0005-0000-0000-0000DC610000}"/>
    <cellStyle name="Input 10 2 2 3 3 2 2" xfId="25058" xr:uid="{00000000-0005-0000-0000-0000DD610000}"/>
    <cellStyle name="Input 10 2 2 3 3 2 3" xfId="25059" xr:uid="{00000000-0005-0000-0000-0000DE610000}"/>
    <cellStyle name="Input 10 2 2 3 3 2 4" xfId="25060" xr:uid="{00000000-0005-0000-0000-0000DF610000}"/>
    <cellStyle name="Input 10 2 2 3 3 2 5" xfId="25061" xr:uid="{00000000-0005-0000-0000-0000E0610000}"/>
    <cellStyle name="Input 10 2 2 3 3 2 6" xfId="25062" xr:uid="{00000000-0005-0000-0000-0000E1610000}"/>
    <cellStyle name="Input 10 2 2 3 3 3" xfId="25063" xr:uid="{00000000-0005-0000-0000-0000E2610000}"/>
    <cellStyle name="Input 10 2 2 3 3 4" xfId="25064" xr:uid="{00000000-0005-0000-0000-0000E3610000}"/>
    <cellStyle name="Input 10 2 2 3 3 5" xfId="25065" xr:uid="{00000000-0005-0000-0000-0000E4610000}"/>
    <cellStyle name="Input 10 2 2 3 3 6" xfId="25066" xr:uid="{00000000-0005-0000-0000-0000E5610000}"/>
    <cellStyle name="Input 10 2 2 3 4" xfId="25067" xr:uid="{00000000-0005-0000-0000-0000E6610000}"/>
    <cellStyle name="Input 10 2 2 3 4 2" xfId="25068" xr:uid="{00000000-0005-0000-0000-0000E7610000}"/>
    <cellStyle name="Input 10 2 2 3 4 3" xfId="25069" xr:uid="{00000000-0005-0000-0000-0000E8610000}"/>
    <cellStyle name="Input 10 2 2 3 4 4" xfId="25070" xr:uid="{00000000-0005-0000-0000-0000E9610000}"/>
    <cellStyle name="Input 10 2 2 3 4 5" xfId="25071" xr:uid="{00000000-0005-0000-0000-0000EA610000}"/>
    <cellStyle name="Input 10 2 2 3 4 6" xfId="25072" xr:uid="{00000000-0005-0000-0000-0000EB610000}"/>
    <cellStyle name="Input 10 2 2 3 5" xfId="25073" xr:uid="{00000000-0005-0000-0000-0000EC610000}"/>
    <cellStyle name="Input 10 2 2 3 6" xfId="25074" xr:uid="{00000000-0005-0000-0000-0000ED610000}"/>
    <cellStyle name="Input 10 2 2 3 7" xfId="25075" xr:uid="{00000000-0005-0000-0000-0000EE610000}"/>
    <cellStyle name="Input 10 2 2 3 8" xfId="25076" xr:uid="{00000000-0005-0000-0000-0000EF610000}"/>
    <cellStyle name="Input 10 2 2 4" xfId="25077" xr:uid="{00000000-0005-0000-0000-0000F0610000}"/>
    <cellStyle name="Input 10 2 2 4 2" xfId="25078" xr:uid="{00000000-0005-0000-0000-0000F1610000}"/>
    <cellStyle name="Input 10 2 2 4 2 2" xfId="25079" xr:uid="{00000000-0005-0000-0000-0000F2610000}"/>
    <cellStyle name="Input 10 2 2 4 2 2 2" xfId="25080" xr:uid="{00000000-0005-0000-0000-0000F3610000}"/>
    <cellStyle name="Input 10 2 2 4 2 2 3" xfId="25081" xr:uid="{00000000-0005-0000-0000-0000F4610000}"/>
    <cellStyle name="Input 10 2 2 4 2 2 4" xfId="25082" xr:uid="{00000000-0005-0000-0000-0000F5610000}"/>
    <cellStyle name="Input 10 2 2 4 2 2 5" xfId="25083" xr:uid="{00000000-0005-0000-0000-0000F6610000}"/>
    <cellStyle name="Input 10 2 2 4 2 2 6" xfId="25084" xr:uid="{00000000-0005-0000-0000-0000F7610000}"/>
    <cellStyle name="Input 10 2 2 4 2 3" xfId="25085" xr:uid="{00000000-0005-0000-0000-0000F8610000}"/>
    <cellStyle name="Input 10 2 2 4 2 4" xfId="25086" xr:uid="{00000000-0005-0000-0000-0000F9610000}"/>
    <cellStyle name="Input 10 2 2 4 2 5" xfId="25087" xr:uid="{00000000-0005-0000-0000-0000FA610000}"/>
    <cellStyle name="Input 10 2 2 4 2 6" xfId="25088" xr:uid="{00000000-0005-0000-0000-0000FB610000}"/>
    <cellStyle name="Input 10 2 2 4 3" xfId="25089" xr:uid="{00000000-0005-0000-0000-0000FC610000}"/>
    <cellStyle name="Input 10 2 2 4 3 2" xfId="25090" xr:uid="{00000000-0005-0000-0000-0000FD610000}"/>
    <cellStyle name="Input 10 2 2 4 3 2 2" xfId="25091" xr:uid="{00000000-0005-0000-0000-0000FE610000}"/>
    <cellStyle name="Input 10 2 2 4 3 2 3" xfId="25092" xr:uid="{00000000-0005-0000-0000-0000FF610000}"/>
    <cellStyle name="Input 10 2 2 4 3 2 4" xfId="25093" xr:uid="{00000000-0005-0000-0000-000000620000}"/>
    <cellStyle name="Input 10 2 2 4 3 2 5" xfId="25094" xr:uid="{00000000-0005-0000-0000-000001620000}"/>
    <cellStyle name="Input 10 2 2 4 3 2 6" xfId="25095" xr:uid="{00000000-0005-0000-0000-000002620000}"/>
    <cellStyle name="Input 10 2 2 4 3 3" xfId="25096" xr:uid="{00000000-0005-0000-0000-000003620000}"/>
    <cellStyle name="Input 10 2 2 4 3 4" xfId="25097" xr:uid="{00000000-0005-0000-0000-000004620000}"/>
    <cellStyle name="Input 10 2 2 4 3 5" xfId="25098" xr:uid="{00000000-0005-0000-0000-000005620000}"/>
    <cellStyle name="Input 10 2 2 4 3 6" xfId="25099" xr:uid="{00000000-0005-0000-0000-000006620000}"/>
    <cellStyle name="Input 10 2 2 4 4" xfId="25100" xr:uid="{00000000-0005-0000-0000-000007620000}"/>
    <cellStyle name="Input 10 2 2 4 4 2" xfId="25101" xr:uid="{00000000-0005-0000-0000-000008620000}"/>
    <cellStyle name="Input 10 2 2 4 4 3" xfId="25102" xr:uid="{00000000-0005-0000-0000-000009620000}"/>
    <cellStyle name="Input 10 2 2 4 4 4" xfId="25103" xr:uid="{00000000-0005-0000-0000-00000A620000}"/>
    <cellStyle name="Input 10 2 2 4 4 5" xfId="25104" xr:uid="{00000000-0005-0000-0000-00000B620000}"/>
    <cellStyle name="Input 10 2 2 4 4 6" xfId="25105" xr:uid="{00000000-0005-0000-0000-00000C620000}"/>
    <cellStyle name="Input 10 2 2 4 5" xfId="25106" xr:uid="{00000000-0005-0000-0000-00000D620000}"/>
    <cellStyle name="Input 10 2 2 4 6" xfId="25107" xr:uid="{00000000-0005-0000-0000-00000E620000}"/>
    <cellStyle name="Input 10 2 2 4 7" xfId="25108" xr:uid="{00000000-0005-0000-0000-00000F620000}"/>
    <cellStyle name="Input 10 2 2 4 8" xfId="25109" xr:uid="{00000000-0005-0000-0000-000010620000}"/>
    <cellStyle name="Input 10 2 2 5" xfId="25110" xr:uid="{00000000-0005-0000-0000-000011620000}"/>
    <cellStyle name="Input 10 2 2 5 2" xfId="25111" xr:uid="{00000000-0005-0000-0000-000012620000}"/>
    <cellStyle name="Input 10 2 2 5 2 2" xfId="25112" xr:uid="{00000000-0005-0000-0000-000013620000}"/>
    <cellStyle name="Input 10 2 2 5 2 2 2" xfId="25113" xr:uid="{00000000-0005-0000-0000-000014620000}"/>
    <cellStyle name="Input 10 2 2 5 2 2 3" xfId="25114" xr:uid="{00000000-0005-0000-0000-000015620000}"/>
    <cellStyle name="Input 10 2 2 5 2 2 4" xfId="25115" xr:uid="{00000000-0005-0000-0000-000016620000}"/>
    <cellStyle name="Input 10 2 2 5 2 2 5" xfId="25116" xr:uid="{00000000-0005-0000-0000-000017620000}"/>
    <cellStyle name="Input 10 2 2 5 2 2 6" xfId="25117" xr:uid="{00000000-0005-0000-0000-000018620000}"/>
    <cellStyle name="Input 10 2 2 5 2 3" xfId="25118" xr:uid="{00000000-0005-0000-0000-000019620000}"/>
    <cellStyle name="Input 10 2 2 5 2 4" xfId="25119" xr:uid="{00000000-0005-0000-0000-00001A620000}"/>
    <cellStyle name="Input 10 2 2 5 2 5" xfId="25120" xr:uid="{00000000-0005-0000-0000-00001B620000}"/>
    <cellStyle name="Input 10 2 2 5 2 6" xfId="25121" xr:uid="{00000000-0005-0000-0000-00001C620000}"/>
    <cellStyle name="Input 10 2 2 5 3" xfId="25122" xr:uid="{00000000-0005-0000-0000-00001D620000}"/>
    <cellStyle name="Input 10 2 2 5 3 2" xfId="25123" xr:uid="{00000000-0005-0000-0000-00001E620000}"/>
    <cellStyle name="Input 10 2 2 5 3 2 2" xfId="25124" xr:uid="{00000000-0005-0000-0000-00001F620000}"/>
    <cellStyle name="Input 10 2 2 5 3 2 3" xfId="25125" xr:uid="{00000000-0005-0000-0000-000020620000}"/>
    <cellStyle name="Input 10 2 2 5 3 2 4" xfId="25126" xr:uid="{00000000-0005-0000-0000-000021620000}"/>
    <cellStyle name="Input 10 2 2 5 3 2 5" xfId="25127" xr:uid="{00000000-0005-0000-0000-000022620000}"/>
    <cellStyle name="Input 10 2 2 5 3 2 6" xfId="25128" xr:uid="{00000000-0005-0000-0000-000023620000}"/>
    <cellStyle name="Input 10 2 2 5 3 3" xfId="25129" xr:uid="{00000000-0005-0000-0000-000024620000}"/>
    <cellStyle name="Input 10 2 2 5 3 4" xfId="25130" xr:uid="{00000000-0005-0000-0000-000025620000}"/>
    <cellStyle name="Input 10 2 2 5 3 5" xfId="25131" xr:uid="{00000000-0005-0000-0000-000026620000}"/>
    <cellStyle name="Input 10 2 2 5 3 6" xfId="25132" xr:uid="{00000000-0005-0000-0000-000027620000}"/>
    <cellStyle name="Input 10 2 2 5 4" xfId="25133" xr:uid="{00000000-0005-0000-0000-000028620000}"/>
    <cellStyle name="Input 10 2 2 5 4 2" xfId="25134" xr:uid="{00000000-0005-0000-0000-000029620000}"/>
    <cellStyle name="Input 10 2 2 5 4 3" xfId="25135" xr:uid="{00000000-0005-0000-0000-00002A620000}"/>
    <cellStyle name="Input 10 2 2 5 4 4" xfId="25136" xr:uid="{00000000-0005-0000-0000-00002B620000}"/>
    <cellStyle name="Input 10 2 2 5 4 5" xfId="25137" xr:uid="{00000000-0005-0000-0000-00002C620000}"/>
    <cellStyle name="Input 10 2 2 5 4 6" xfId="25138" xr:uid="{00000000-0005-0000-0000-00002D620000}"/>
    <cellStyle name="Input 10 2 2 5 5" xfId="25139" xr:uid="{00000000-0005-0000-0000-00002E620000}"/>
    <cellStyle name="Input 10 2 2 5 6" xfId="25140" xr:uid="{00000000-0005-0000-0000-00002F620000}"/>
    <cellStyle name="Input 10 2 2 5 7" xfId="25141" xr:uid="{00000000-0005-0000-0000-000030620000}"/>
    <cellStyle name="Input 10 2 2 5 8" xfId="25142" xr:uid="{00000000-0005-0000-0000-000031620000}"/>
    <cellStyle name="Input 10 2 2 6" xfId="25143" xr:uid="{00000000-0005-0000-0000-000032620000}"/>
    <cellStyle name="Input 10 2 2 6 2" xfId="25144" xr:uid="{00000000-0005-0000-0000-000033620000}"/>
    <cellStyle name="Input 10 2 2 6 2 2" xfId="25145" xr:uid="{00000000-0005-0000-0000-000034620000}"/>
    <cellStyle name="Input 10 2 2 6 2 2 2" xfId="25146" xr:uid="{00000000-0005-0000-0000-000035620000}"/>
    <cellStyle name="Input 10 2 2 6 2 2 3" xfId="25147" xr:uid="{00000000-0005-0000-0000-000036620000}"/>
    <cellStyle name="Input 10 2 2 6 2 2 4" xfId="25148" xr:uid="{00000000-0005-0000-0000-000037620000}"/>
    <cellStyle name="Input 10 2 2 6 2 2 5" xfId="25149" xr:uid="{00000000-0005-0000-0000-000038620000}"/>
    <cellStyle name="Input 10 2 2 6 2 2 6" xfId="25150" xr:uid="{00000000-0005-0000-0000-000039620000}"/>
    <cellStyle name="Input 10 2 2 6 2 3" xfId="25151" xr:uid="{00000000-0005-0000-0000-00003A620000}"/>
    <cellStyle name="Input 10 2 2 6 2 4" xfId="25152" xr:uid="{00000000-0005-0000-0000-00003B620000}"/>
    <cellStyle name="Input 10 2 2 6 2 5" xfId="25153" xr:uid="{00000000-0005-0000-0000-00003C620000}"/>
    <cellStyle name="Input 10 2 2 6 2 6" xfId="25154" xr:uid="{00000000-0005-0000-0000-00003D620000}"/>
    <cellStyle name="Input 10 2 2 6 3" xfId="25155" xr:uid="{00000000-0005-0000-0000-00003E620000}"/>
    <cellStyle name="Input 10 2 2 6 3 2" xfId="25156" xr:uid="{00000000-0005-0000-0000-00003F620000}"/>
    <cellStyle name="Input 10 2 2 6 3 2 2" xfId="25157" xr:uid="{00000000-0005-0000-0000-000040620000}"/>
    <cellStyle name="Input 10 2 2 6 3 2 3" xfId="25158" xr:uid="{00000000-0005-0000-0000-000041620000}"/>
    <cellStyle name="Input 10 2 2 6 3 2 4" xfId="25159" xr:uid="{00000000-0005-0000-0000-000042620000}"/>
    <cellStyle name="Input 10 2 2 6 3 2 5" xfId="25160" xr:uid="{00000000-0005-0000-0000-000043620000}"/>
    <cellStyle name="Input 10 2 2 6 3 2 6" xfId="25161" xr:uid="{00000000-0005-0000-0000-000044620000}"/>
    <cellStyle name="Input 10 2 2 6 3 3" xfId="25162" xr:uid="{00000000-0005-0000-0000-000045620000}"/>
    <cellStyle name="Input 10 2 2 6 3 4" xfId="25163" xr:uid="{00000000-0005-0000-0000-000046620000}"/>
    <cellStyle name="Input 10 2 2 6 3 5" xfId="25164" xr:uid="{00000000-0005-0000-0000-000047620000}"/>
    <cellStyle name="Input 10 2 2 6 3 6" xfId="25165" xr:uid="{00000000-0005-0000-0000-000048620000}"/>
    <cellStyle name="Input 10 2 2 6 4" xfId="25166" xr:uid="{00000000-0005-0000-0000-000049620000}"/>
    <cellStyle name="Input 10 2 2 6 4 2" xfId="25167" xr:uid="{00000000-0005-0000-0000-00004A620000}"/>
    <cellStyle name="Input 10 2 2 6 4 3" xfId="25168" xr:uid="{00000000-0005-0000-0000-00004B620000}"/>
    <cellStyle name="Input 10 2 2 6 4 4" xfId="25169" xr:uid="{00000000-0005-0000-0000-00004C620000}"/>
    <cellStyle name="Input 10 2 2 6 4 5" xfId="25170" xr:uid="{00000000-0005-0000-0000-00004D620000}"/>
    <cellStyle name="Input 10 2 2 6 4 6" xfId="25171" xr:uid="{00000000-0005-0000-0000-00004E620000}"/>
    <cellStyle name="Input 10 2 2 6 5" xfId="25172" xr:uid="{00000000-0005-0000-0000-00004F620000}"/>
    <cellStyle name="Input 10 2 2 6 6" xfId="25173" xr:uid="{00000000-0005-0000-0000-000050620000}"/>
    <cellStyle name="Input 10 2 2 6 7" xfId="25174" xr:uid="{00000000-0005-0000-0000-000051620000}"/>
    <cellStyle name="Input 10 2 2 6 8" xfId="25175" xr:uid="{00000000-0005-0000-0000-000052620000}"/>
    <cellStyle name="Input 10 2 2 7" xfId="25176" xr:uid="{00000000-0005-0000-0000-000053620000}"/>
    <cellStyle name="Input 10 2 2 7 2" xfId="25177" xr:uid="{00000000-0005-0000-0000-000054620000}"/>
    <cellStyle name="Input 10 2 2 7 2 2" xfId="25178" xr:uid="{00000000-0005-0000-0000-000055620000}"/>
    <cellStyle name="Input 10 2 2 7 2 3" xfId="25179" xr:uid="{00000000-0005-0000-0000-000056620000}"/>
    <cellStyle name="Input 10 2 2 7 2 4" xfId="25180" xr:uid="{00000000-0005-0000-0000-000057620000}"/>
    <cellStyle name="Input 10 2 2 7 2 5" xfId="25181" xr:uid="{00000000-0005-0000-0000-000058620000}"/>
    <cellStyle name="Input 10 2 2 7 2 6" xfId="25182" xr:uid="{00000000-0005-0000-0000-000059620000}"/>
    <cellStyle name="Input 10 2 2 7 3" xfId="25183" xr:uid="{00000000-0005-0000-0000-00005A620000}"/>
    <cellStyle name="Input 10 2 2 7 4" xfId="25184" xr:uid="{00000000-0005-0000-0000-00005B620000}"/>
    <cellStyle name="Input 10 2 2 7 5" xfId="25185" xr:uid="{00000000-0005-0000-0000-00005C620000}"/>
    <cellStyle name="Input 10 2 2 7 6" xfId="25186" xr:uid="{00000000-0005-0000-0000-00005D620000}"/>
    <cellStyle name="Input 10 2 2 8" xfId="25187" xr:uid="{00000000-0005-0000-0000-00005E620000}"/>
    <cellStyle name="Input 10 2 2 8 2" xfId="25188" xr:uid="{00000000-0005-0000-0000-00005F620000}"/>
    <cellStyle name="Input 10 2 2 8 2 2" xfId="25189" xr:uid="{00000000-0005-0000-0000-000060620000}"/>
    <cellStyle name="Input 10 2 2 8 2 3" xfId="25190" xr:uid="{00000000-0005-0000-0000-000061620000}"/>
    <cellStyle name="Input 10 2 2 8 2 4" xfId="25191" xr:uid="{00000000-0005-0000-0000-000062620000}"/>
    <cellStyle name="Input 10 2 2 8 2 5" xfId="25192" xr:uid="{00000000-0005-0000-0000-000063620000}"/>
    <cellStyle name="Input 10 2 2 8 2 6" xfId="25193" xr:uid="{00000000-0005-0000-0000-000064620000}"/>
    <cellStyle name="Input 10 2 2 8 3" xfId="25194" xr:uid="{00000000-0005-0000-0000-000065620000}"/>
    <cellStyle name="Input 10 2 2 8 4" xfId="25195" xr:uid="{00000000-0005-0000-0000-000066620000}"/>
    <cellStyle name="Input 10 2 2 8 5" xfId="25196" xr:uid="{00000000-0005-0000-0000-000067620000}"/>
    <cellStyle name="Input 10 2 2 8 6" xfId="25197" xr:uid="{00000000-0005-0000-0000-000068620000}"/>
    <cellStyle name="Input 10 2 2 9" xfId="25198" xr:uid="{00000000-0005-0000-0000-000069620000}"/>
    <cellStyle name="Input 10 2 2 9 2" xfId="25199" xr:uid="{00000000-0005-0000-0000-00006A620000}"/>
    <cellStyle name="Input 10 2 2 9 3" xfId="25200" xr:uid="{00000000-0005-0000-0000-00006B620000}"/>
    <cellStyle name="Input 10 2 2 9 4" xfId="25201" xr:uid="{00000000-0005-0000-0000-00006C620000}"/>
    <cellStyle name="Input 10 2 2 9 5" xfId="25202" xr:uid="{00000000-0005-0000-0000-00006D620000}"/>
    <cellStyle name="Input 10 2 2 9 6" xfId="25203" xr:uid="{00000000-0005-0000-0000-00006E620000}"/>
    <cellStyle name="Input 10 2 3" xfId="25204" xr:uid="{00000000-0005-0000-0000-00006F620000}"/>
    <cellStyle name="Input 10 2 3 2" xfId="25205" xr:uid="{00000000-0005-0000-0000-000070620000}"/>
    <cellStyle name="Input 10 2 3 2 2" xfId="25206" xr:uid="{00000000-0005-0000-0000-000071620000}"/>
    <cellStyle name="Input 10 2 3 2 2 2" xfId="25207" xr:uid="{00000000-0005-0000-0000-000072620000}"/>
    <cellStyle name="Input 10 2 3 2 2 3" xfId="25208" xr:uid="{00000000-0005-0000-0000-000073620000}"/>
    <cellStyle name="Input 10 2 3 2 2 4" xfId="25209" xr:uid="{00000000-0005-0000-0000-000074620000}"/>
    <cellStyle name="Input 10 2 3 2 2 5" xfId="25210" xr:uid="{00000000-0005-0000-0000-000075620000}"/>
    <cellStyle name="Input 10 2 3 2 2 6" xfId="25211" xr:uid="{00000000-0005-0000-0000-000076620000}"/>
    <cellStyle name="Input 10 2 3 2 3" xfId="25212" xr:uid="{00000000-0005-0000-0000-000077620000}"/>
    <cellStyle name="Input 10 2 3 2 4" xfId="25213" xr:uid="{00000000-0005-0000-0000-000078620000}"/>
    <cellStyle name="Input 10 2 3 2 5" xfId="25214" xr:uid="{00000000-0005-0000-0000-000079620000}"/>
    <cellStyle name="Input 10 2 3 2 6" xfId="25215" xr:uid="{00000000-0005-0000-0000-00007A620000}"/>
    <cellStyle name="Input 10 2 3 3" xfId="25216" xr:uid="{00000000-0005-0000-0000-00007B620000}"/>
    <cellStyle name="Input 10 2 3 3 2" xfId="25217" xr:uid="{00000000-0005-0000-0000-00007C620000}"/>
    <cellStyle name="Input 10 2 3 3 2 2" xfId="25218" xr:uid="{00000000-0005-0000-0000-00007D620000}"/>
    <cellStyle name="Input 10 2 3 3 2 3" xfId="25219" xr:uid="{00000000-0005-0000-0000-00007E620000}"/>
    <cellStyle name="Input 10 2 3 3 2 4" xfId="25220" xr:uid="{00000000-0005-0000-0000-00007F620000}"/>
    <cellStyle name="Input 10 2 3 3 2 5" xfId="25221" xr:uid="{00000000-0005-0000-0000-000080620000}"/>
    <cellStyle name="Input 10 2 3 3 2 6" xfId="25222" xr:uid="{00000000-0005-0000-0000-000081620000}"/>
    <cellStyle name="Input 10 2 3 3 3" xfId="25223" xr:uid="{00000000-0005-0000-0000-000082620000}"/>
    <cellStyle name="Input 10 2 3 3 4" xfId="25224" xr:uid="{00000000-0005-0000-0000-000083620000}"/>
    <cellStyle name="Input 10 2 3 3 5" xfId="25225" xr:uid="{00000000-0005-0000-0000-000084620000}"/>
    <cellStyle name="Input 10 2 3 3 6" xfId="25226" xr:uid="{00000000-0005-0000-0000-000085620000}"/>
    <cellStyle name="Input 10 2 3 4" xfId="25227" xr:uid="{00000000-0005-0000-0000-000086620000}"/>
    <cellStyle name="Input 10 2 3 4 2" xfId="25228" xr:uid="{00000000-0005-0000-0000-000087620000}"/>
    <cellStyle name="Input 10 2 3 4 3" xfId="25229" xr:uid="{00000000-0005-0000-0000-000088620000}"/>
    <cellStyle name="Input 10 2 3 4 4" xfId="25230" xr:uid="{00000000-0005-0000-0000-000089620000}"/>
    <cellStyle name="Input 10 2 3 4 5" xfId="25231" xr:uid="{00000000-0005-0000-0000-00008A620000}"/>
    <cellStyle name="Input 10 2 3 4 6" xfId="25232" xr:uid="{00000000-0005-0000-0000-00008B620000}"/>
    <cellStyle name="Input 10 2 3 5" xfId="25233" xr:uid="{00000000-0005-0000-0000-00008C620000}"/>
    <cellStyle name="Input 10 2 3 6" xfId="25234" xr:uid="{00000000-0005-0000-0000-00008D620000}"/>
    <cellStyle name="Input 10 2 3 7" xfId="25235" xr:uid="{00000000-0005-0000-0000-00008E620000}"/>
    <cellStyle name="Input 10 2 3 8" xfId="25236" xr:uid="{00000000-0005-0000-0000-00008F620000}"/>
    <cellStyle name="Input 10 2 4" xfId="25237" xr:uid="{00000000-0005-0000-0000-000090620000}"/>
    <cellStyle name="Input 10 2 4 2" xfId="25238" xr:uid="{00000000-0005-0000-0000-000091620000}"/>
    <cellStyle name="Input 10 2 4 2 2" xfId="25239" xr:uid="{00000000-0005-0000-0000-000092620000}"/>
    <cellStyle name="Input 10 2 4 2 2 2" xfId="25240" xr:uid="{00000000-0005-0000-0000-000093620000}"/>
    <cellStyle name="Input 10 2 4 2 2 3" xfId="25241" xr:uid="{00000000-0005-0000-0000-000094620000}"/>
    <cellStyle name="Input 10 2 4 2 2 4" xfId="25242" xr:uid="{00000000-0005-0000-0000-000095620000}"/>
    <cellStyle name="Input 10 2 4 2 2 5" xfId="25243" xr:uid="{00000000-0005-0000-0000-000096620000}"/>
    <cellStyle name="Input 10 2 4 2 2 6" xfId="25244" xr:uid="{00000000-0005-0000-0000-000097620000}"/>
    <cellStyle name="Input 10 2 4 2 3" xfId="25245" xr:uid="{00000000-0005-0000-0000-000098620000}"/>
    <cellStyle name="Input 10 2 4 2 4" xfId="25246" xr:uid="{00000000-0005-0000-0000-000099620000}"/>
    <cellStyle name="Input 10 2 4 2 5" xfId="25247" xr:uid="{00000000-0005-0000-0000-00009A620000}"/>
    <cellStyle name="Input 10 2 4 2 6" xfId="25248" xr:uid="{00000000-0005-0000-0000-00009B620000}"/>
    <cellStyle name="Input 10 2 4 3" xfId="25249" xr:uid="{00000000-0005-0000-0000-00009C620000}"/>
    <cellStyle name="Input 10 2 4 3 2" xfId="25250" xr:uid="{00000000-0005-0000-0000-00009D620000}"/>
    <cellStyle name="Input 10 2 4 3 2 2" xfId="25251" xr:uid="{00000000-0005-0000-0000-00009E620000}"/>
    <cellStyle name="Input 10 2 4 3 2 3" xfId="25252" xr:uid="{00000000-0005-0000-0000-00009F620000}"/>
    <cellStyle name="Input 10 2 4 3 2 4" xfId="25253" xr:uid="{00000000-0005-0000-0000-0000A0620000}"/>
    <cellStyle name="Input 10 2 4 3 2 5" xfId="25254" xr:uid="{00000000-0005-0000-0000-0000A1620000}"/>
    <cellStyle name="Input 10 2 4 3 2 6" xfId="25255" xr:uid="{00000000-0005-0000-0000-0000A2620000}"/>
    <cellStyle name="Input 10 2 4 3 3" xfId="25256" xr:uid="{00000000-0005-0000-0000-0000A3620000}"/>
    <cellStyle name="Input 10 2 4 3 4" xfId="25257" xr:uid="{00000000-0005-0000-0000-0000A4620000}"/>
    <cellStyle name="Input 10 2 4 3 5" xfId="25258" xr:uid="{00000000-0005-0000-0000-0000A5620000}"/>
    <cellStyle name="Input 10 2 4 3 6" xfId="25259" xr:uid="{00000000-0005-0000-0000-0000A6620000}"/>
    <cellStyle name="Input 10 2 4 4" xfId="25260" xr:uid="{00000000-0005-0000-0000-0000A7620000}"/>
    <cellStyle name="Input 10 2 4 4 2" xfId="25261" xr:uid="{00000000-0005-0000-0000-0000A8620000}"/>
    <cellStyle name="Input 10 2 4 4 3" xfId="25262" xr:uid="{00000000-0005-0000-0000-0000A9620000}"/>
    <cellStyle name="Input 10 2 4 4 4" xfId="25263" xr:uid="{00000000-0005-0000-0000-0000AA620000}"/>
    <cellStyle name="Input 10 2 4 4 5" xfId="25264" xr:uid="{00000000-0005-0000-0000-0000AB620000}"/>
    <cellStyle name="Input 10 2 4 4 6" xfId="25265" xr:uid="{00000000-0005-0000-0000-0000AC620000}"/>
    <cellStyle name="Input 10 2 4 5" xfId="25266" xr:uid="{00000000-0005-0000-0000-0000AD620000}"/>
    <cellStyle name="Input 10 2 4 6" xfId="25267" xr:uid="{00000000-0005-0000-0000-0000AE620000}"/>
    <cellStyle name="Input 10 2 4 7" xfId="25268" xr:uid="{00000000-0005-0000-0000-0000AF620000}"/>
    <cellStyle name="Input 10 2 4 8" xfId="25269" xr:uid="{00000000-0005-0000-0000-0000B0620000}"/>
    <cellStyle name="Input 10 2 5" xfId="25270" xr:uid="{00000000-0005-0000-0000-0000B1620000}"/>
    <cellStyle name="Input 10 2 5 2" xfId="25271" xr:uid="{00000000-0005-0000-0000-0000B2620000}"/>
    <cellStyle name="Input 10 2 5 2 2" xfId="25272" xr:uid="{00000000-0005-0000-0000-0000B3620000}"/>
    <cellStyle name="Input 10 2 5 2 2 2" xfId="25273" xr:uid="{00000000-0005-0000-0000-0000B4620000}"/>
    <cellStyle name="Input 10 2 5 2 2 3" xfId="25274" xr:uid="{00000000-0005-0000-0000-0000B5620000}"/>
    <cellStyle name="Input 10 2 5 2 2 4" xfId="25275" xr:uid="{00000000-0005-0000-0000-0000B6620000}"/>
    <cellStyle name="Input 10 2 5 2 2 5" xfId="25276" xr:uid="{00000000-0005-0000-0000-0000B7620000}"/>
    <cellStyle name="Input 10 2 5 2 2 6" xfId="25277" xr:uid="{00000000-0005-0000-0000-0000B8620000}"/>
    <cellStyle name="Input 10 2 5 2 3" xfId="25278" xr:uid="{00000000-0005-0000-0000-0000B9620000}"/>
    <cellStyle name="Input 10 2 5 2 4" xfId="25279" xr:uid="{00000000-0005-0000-0000-0000BA620000}"/>
    <cellStyle name="Input 10 2 5 2 5" xfId="25280" xr:uid="{00000000-0005-0000-0000-0000BB620000}"/>
    <cellStyle name="Input 10 2 5 2 6" xfId="25281" xr:uid="{00000000-0005-0000-0000-0000BC620000}"/>
    <cellStyle name="Input 10 2 5 3" xfId="25282" xr:uid="{00000000-0005-0000-0000-0000BD620000}"/>
    <cellStyle name="Input 10 2 5 3 2" xfId="25283" xr:uid="{00000000-0005-0000-0000-0000BE620000}"/>
    <cellStyle name="Input 10 2 5 3 2 2" xfId="25284" xr:uid="{00000000-0005-0000-0000-0000BF620000}"/>
    <cellStyle name="Input 10 2 5 3 2 3" xfId="25285" xr:uid="{00000000-0005-0000-0000-0000C0620000}"/>
    <cellStyle name="Input 10 2 5 3 2 4" xfId="25286" xr:uid="{00000000-0005-0000-0000-0000C1620000}"/>
    <cellStyle name="Input 10 2 5 3 2 5" xfId="25287" xr:uid="{00000000-0005-0000-0000-0000C2620000}"/>
    <cellStyle name="Input 10 2 5 3 2 6" xfId="25288" xr:uid="{00000000-0005-0000-0000-0000C3620000}"/>
    <cellStyle name="Input 10 2 5 3 3" xfId="25289" xr:uid="{00000000-0005-0000-0000-0000C4620000}"/>
    <cellStyle name="Input 10 2 5 3 4" xfId="25290" xr:uid="{00000000-0005-0000-0000-0000C5620000}"/>
    <cellStyle name="Input 10 2 5 3 5" xfId="25291" xr:uid="{00000000-0005-0000-0000-0000C6620000}"/>
    <cellStyle name="Input 10 2 5 3 6" xfId="25292" xr:uid="{00000000-0005-0000-0000-0000C7620000}"/>
    <cellStyle name="Input 10 2 5 4" xfId="25293" xr:uid="{00000000-0005-0000-0000-0000C8620000}"/>
    <cellStyle name="Input 10 2 5 4 2" xfId="25294" xr:uid="{00000000-0005-0000-0000-0000C9620000}"/>
    <cellStyle name="Input 10 2 5 4 3" xfId="25295" xr:uid="{00000000-0005-0000-0000-0000CA620000}"/>
    <cellStyle name="Input 10 2 5 4 4" xfId="25296" xr:uid="{00000000-0005-0000-0000-0000CB620000}"/>
    <cellStyle name="Input 10 2 5 4 5" xfId="25297" xr:uid="{00000000-0005-0000-0000-0000CC620000}"/>
    <cellStyle name="Input 10 2 5 4 6" xfId="25298" xr:uid="{00000000-0005-0000-0000-0000CD620000}"/>
    <cellStyle name="Input 10 2 5 5" xfId="25299" xr:uid="{00000000-0005-0000-0000-0000CE620000}"/>
    <cellStyle name="Input 10 2 5 6" xfId="25300" xr:uid="{00000000-0005-0000-0000-0000CF620000}"/>
    <cellStyle name="Input 10 2 5 7" xfId="25301" xr:uid="{00000000-0005-0000-0000-0000D0620000}"/>
    <cellStyle name="Input 10 2 5 8" xfId="25302" xr:uid="{00000000-0005-0000-0000-0000D1620000}"/>
    <cellStyle name="Input 10 2 6" xfId="25303" xr:uid="{00000000-0005-0000-0000-0000D2620000}"/>
    <cellStyle name="Input 10 2 6 2" xfId="25304" xr:uid="{00000000-0005-0000-0000-0000D3620000}"/>
    <cellStyle name="Input 10 2 6 2 2" xfId="25305" xr:uid="{00000000-0005-0000-0000-0000D4620000}"/>
    <cellStyle name="Input 10 2 6 2 2 2" xfId="25306" xr:uid="{00000000-0005-0000-0000-0000D5620000}"/>
    <cellStyle name="Input 10 2 6 2 2 3" xfId="25307" xr:uid="{00000000-0005-0000-0000-0000D6620000}"/>
    <cellStyle name="Input 10 2 6 2 2 4" xfId="25308" xr:uid="{00000000-0005-0000-0000-0000D7620000}"/>
    <cellStyle name="Input 10 2 6 2 2 5" xfId="25309" xr:uid="{00000000-0005-0000-0000-0000D8620000}"/>
    <cellStyle name="Input 10 2 6 2 2 6" xfId="25310" xr:uid="{00000000-0005-0000-0000-0000D9620000}"/>
    <cellStyle name="Input 10 2 6 2 3" xfId="25311" xr:uid="{00000000-0005-0000-0000-0000DA620000}"/>
    <cellStyle name="Input 10 2 6 2 4" xfId="25312" xr:uid="{00000000-0005-0000-0000-0000DB620000}"/>
    <cellStyle name="Input 10 2 6 2 5" xfId="25313" xr:uid="{00000000-0005-0000-0000-0000DC620000}"/>
    <cellStyle name="Input 10 2 6 2 6" xfId="25314" xr:uid="{00000000-0005-0000-0000-0000DD620000}"/>
    <cellStyle name="Input 10 2 6 3" xfId="25315" xr:uid="{00000000-0005-0000-0000-0000DE620000}"/>
    <cellStyle name="Input 10 2 6 3 2" xfId="25316" xr:uid="{00000000-0005-0000-0000-0000DF620000}"/>
    <cellStyle name="Input 10 2 6 3 2 2" xfId="25317" xr:uid="{00000000-0005-0000-0000-0000E0620000}"/>
    <cellStyle name="Input 10 2 6 3 2 3" xfId="25318" xr:uid="{00000000-0005-0000-0000-0000E1620000}"/>
    <cellStyle name="Input 10 2 6 3 2 4" xfId="25319" xr:uid="{00000000-0005-0000-0000-0000E2620000}"/>
    <cellStyle name="Input 10 2 6 3 2 5" xfId="25320" xr:uid="{00000000-0005-0000-0000-0000E3620000}"/>
    <cellStyle name="Input 10 2 6 3 2 6" xfId="25321" xr:uid="{00000000-0005-0000-0000-0000E4620000}"/>
    <cellStyle name="Input 10 2 6 3 3" xfId="25322" xr:uid="{00000000-0005-0000-0000-0000E5620000}"/>
    <cellStyle name="Input 10 2 6 3 4" xfId="25323" xr:uid="{00000000-0005-0000-0000-0000E6620000}"/>
    <cellStyle name="Input 10 2 6 3 5" xfId="25324" xr:uid="{00000000-0005-0000-0000-0000E7620000}"/>
    <cellStyle name="Input 10 2 6 3 6" xfId="25325" xr:uid="{00000000-0005-0000-0000-0000E8620000}"/>
    <cellStyle name="Input 10 2 6 4" xfId="25326" xr:uid="{00000000-0005-0000-0000-0000E9620000}"/>
    <cellStyle name="Input 10 2 6 4 2" xfId="25327" xr:uid="{00000000-0005-0000-0000-0000EA620000}"/>
    <cellStyle name="Input 10 2 6 4 3" xfId="25328" xr:uid="{00000000-0005-0000-0000-0000EB620000}"/>
    <cellStyle name="Input 10 2 6 4 4" xfId="25329" xr:uid="{00000000-0005-0000-0000-0000EC620000}"/>
    <cellStyle name="Input 10 2 6 4 5" xfId="25330" xr:uid="{00000000-0005-0000-0000-0000ED620000}"/>
    <cellStyle name="Input 10 2 6 4 6" xfId="25331" xr:uid="{00000000-0005-0000-0000-0000EE620000}"/>
    <cellStyle name="Input 10 2 6 5" xfId="25332" xr:uid="{00000000-0005-0000-0000-0000EF620000}"/>
    <cellStyle name="Input 10 2 6 6" xfId="25333" xr:uid="{00000000-0005-0000-0000-0000F0620000}"/>
    <cellStyle name="Input 10 2 6 7" xfId="25334" xr:uid="{00000000-0005-0000-0000-0000F1620000}"/>
    <cellStyle name="Input 10 2 6 8" xfId="25335" xr:uid="{00000000-0005-0000-0000-0000F2620000}"/>
    <cellStyle name="Input 10 2 7" xfId="25336" xr:uid="{00000000-0005-0000-0000-0000F3620000}"/>
    <cellStyle name="Input 10 2 7 2" xfId="25337" xr:uid="{00000000-0005-0000-0000-0000F4620000}"/>
    <cellStyle name="Input 10 2 7 2 2" xfId="25338" xr:uid="{00000000-0005-0000-0000-0000F5620000}"/>
    <cellStyle name="Input 10 2 7 2 2 2" xfId="25339" xr:uid="{00000000-0005-0000-0000-0000F6620000}"/>
    <cellStyle name="Input 10 2 7 2 2 3" xfId="25340" xr:uid="{00000000-0005-0000-0000-0000F7620000}"/>
    <cellStyle name="Input 10 2 7 2 2 4" xfId="25341" xr:uid="{00000000-0005-0000-0000-0000F8620000}"/>
    <cellStyle name="Input 10 2 7 2 2 5" xfId="25342" xr:uid="{00000000-0005-0000-0000-0000F9620000}"/>
    <cellStyle name="Input 10 2 7 2 2 6" xfId="25343" xr:uid="{00000000-0005-0000-0000-0000FA620000}"/>
    <cellStyle name="Input 10 2 7 2 3" xfId="25344" xr:uid="{00000000-0005-0000-0000-0000FB620000}"/>
    <cellStyle name="Input 10 2 7 2 4" xfId="25345" xr:uid="{00000000-0005-0000-0000-0000FC620000}"/>
    <cellStyle name="Input 10 2 7 2 5" xfId="25346" xr:uid="{00000000-0005-0000-0000-0000FD620000}"/>
    <cellStyle name="Input 10 2 7 2 6" xfId="25347" xr:uid="{00000000-0005-0000-0000-0000FE620000}"/>
    <cellStyle name="Input 10 2 7 3" xfId="25348" xr:uid="{00000000-0005-0000-0000-0000FF620000}"/>
    <cellStyle name="Input 10 2 7 3 2" xfId="25349" xr:uid="{00000000-0005-0000-0000-000000630000}"/>
    <cellStyle name="Input 10 2 7 3 2 2" xfId="25350" xr:uid="{00000000-0005-0000-0000-000001630000}"/>
    <cellStyle name="Input 10 2 7 3 2 3" xfId="25351" xr:uid="{00000000-0005-0000-0000-000002630000}"/>
    <cellStyle name="Input 10 2 7 3 2 4" xfId="25352" xr:uid="{00000000-0005-0000-0000-000003630000}"/>
    <cellStyle name="Input 10 2 7 3 2 5" xfId="25353" xr:uid="{00000000-0005-0000-0000-000004630000}"/>
    <cellStyle name="Input 10 2 7 3 2 6" xfId="25354" xr:uid="{00000000-0005-0000-0000-000005630000}"/>
    <cellStyle name="Input 10 2 7 3 3" xfId="25355" xr:uid="{00000000-0005-0000-0000-000006630000}"/>
    <cellStyle name="Input 10 2 7 3 4" xfId="25356" xr:uid="{00000000-0005-0000-0000-000007630000}"/>
    <cellStyle name="Input 10 2 7 3 5" xfId="25357" xr:uid="{00000000-0005-0000-0000-000008630000}"/>
    <cellStyle name="Input 10 2 7 3 6" xfId="25358" xr:uid="{00000000-0005-0000-0000-000009630000}"/>
    <cellStyle name="Input 10 2 7 4" xfId="25359" xr:uid="{00000000-0005-0000-0000-00000A630000}"/>
    <cellStyle name="Input 10 2 7 4 2" xfId="25360" xr:uid="{00000000-0005-0000-0000-00000B630000}"/>
    <cellStyle name="Input 10 2 7 4 3" xfId="25361" xr:uid="{00000000-0005-0000-0000-00000C630000}"/>
    <cellStyle name="Input 10 2 7 4 4" xfId="25362" xr:uid="{00000000-0005-0000-0000-00000D630000}"/>
    <cellStyle name="Input 10 2 7 4 5" xfId="25363" xr:uid="{00000000-0005-0000-0000-00000E630000}"/>
    <cellStyle name="Input 10 2 7 4 6" xfId="25364" xr:uid="{00000000-0005-0000-0000-00000F630000}"/>
    <cellStyle name="Input 10 2 7 5" xfId="25365" xr:uid="{00000000-0005-0000-0000-000010630000}"/>
    <cellStyle name="Input 10 2 7 6" xfId="25366" xr:uid="{00000000-0005-0000-0000-000011630000}"/>
    <cellStyle name="Input 10 2 7 7" xfId="25367" xr:uid="{00000000-0005-0000-0000-000012630000}"/>
    <cellStyle name="Input 10 2 7 8" xfId="25368" xr:uid="{00000000-0005-0000-0000-000013630000}"/>
    <cellStyle name="Input 10 2 8" xfId="25369" xr:uid="{00000000-0005-0000-0000-000014630000}"/>
    <cellStyle name="Input 10 2 8 2" xfId="25370" xr:uid="{00000000-0005-0000-0000-000015630000}"/>
    <cellStyle name="Input 10 2 8 2 2" xfId="25371" xr:uid="{00000000-0005-0000-0000-000016630000}"/>
    <cellStyle name="Input 10 2 8 2 3" xfId="25372" xr:uid="{00000000-0005-0000-0000-000017630000}"/>
    <cellStyle name="Input 10 2 8 2 4" xfId="25373" xr:uid="{00000000-0005-0000-0000-000018630000}"/>
    <cellStyle name="Input 10 2 8 2 5" xfId="25374" xr:uid="{00000000-0005-0000-0000-000019630000}"/>
    <cellStyle name="Input 10 2 8 2 6" xfId="25375" xr:uid="{00000000-0005-0000-0000-00001A630000}"/>
    <cellStyle name="Input 10 2 8 3" xfId="25376" xr:uid="{00000000-0005-0000-0000-00001B630000}"/>
    <cellStyle name="Input 10 2 8 4" xfId="25377" xr:uid="{00000000-0005-0000-0000-00001C630000}"/>
    <cellStyle name="Input 10 2 8 5" xfId="25378" xr:uid="{00000000-0005-0000-0000-00001D630000}"/>
    <cellStyle name="Input 10 2 8 6" xfId="25379" xr:uid="{00000000-0005-0000-0000-00001E630000}"/>
    <cellStyle name="Input 10 2 9" xfId="25380" xr:uid="{00000000-0005-0000-0000-00001F630000}"/>
    <cellStyle name="Input 10 2 9 2" xfId="25381" xr:uid="{00000000-0005-0000-0000-000020630000}"/>
    <cellStyle name="Input 10 2 9 2 2" xfId="25382" xr:uid="{00000000-0005-0000-0000-000021630000}"/>
    <cellStyle name="Input 10 2 9 2 3" xfId="25383" xr:uid="{00000000-0005-0000-0000-000022630000}"/>
    <cellStyle name="Input 10 2 9 2 4" xfId="25384" xr:uid="{00000000-0005-0000-0000-000023630000}"/>
    <cellStyle name="Input 10 2 9 2 5" xfId="25385" xr:uid="{00000000-0005-0000-0000-000024630000}"/>
    <cellStyle name="Input 10 2 9 2 6" xfId="25386" xr:uid="{00000000-0005-0000-0000-000025630000}"/>
    <cellStyle name="Input 10 2 9 3" xfId="25387" xr:uid="{00000000-0005-0000-0000-000026630000}"/>
    <cellStyle name="Input 10 2 9 4" xfId="25388" xr:uid="{00000000-0005-0000-0000-000027630000}"/>
    <cellStyle name="Input 10 2 9 5" xfId="25389" xr:uid="{00000000-0005-0000-0000-000028630000}"/>
    <cellStyle name="Input 10 2 9 6" xfId="25390" xr:uid="{00000000-0005-0000-0000-000029630000}"/>
    <cellStyle name="Input 10 3" xfId="25391" xr:uid="{00000000-0005-0000-0000-00002A630000}"/>
    <cellStyle name="Input 10 3 10" xfId="25392" xr:uid="{00000000-0005-0000-0000-00002B630000}"/>
    <cellStyle name="Input 10 3 11" xfId="25393" xr:uid="{00000000-0005-0000-0000-00002C630000}"/>
    <cellStyle name="Input 10 3 12" xfId="25394" xr:uid="{00000000-0005-0000-0000-00002D630000}"/>
    <cellStyle name="Input 10 3 13" xfId="25395" xr:uid="{00000000-0005-0000-0000-00002E630000}"/>
    <cellStyle name="Input 10 3 2" xfId="25396" xr:uid="{00000000-0005-0000-0000-00002F630000}"/>
    <cellStyle name="Input 10 3 2 2" xfId="25397" xr:uid="{00000000-0005-0000-0000-000030630000}"/>
    <cellStyle name="Input 10 3 2 2 2" xfId="25398" xr:uid="{00000000-0005-0000-0000-000031630000}"/>
    <cellStyle name="Input 10 3 2 2 2 2" xfId="25399" xr:uid="{00000000-0005-0000-0000-000032630000}"/>
    <cellStyle name="Input 10 3 2 2 2 3" xfId="25400" xr:uid="{00000000-0005-0000-0000-000033630000}"/>
    <cellStyle name="Input 10 3 2 2 2 4" xfId="25401" xr:uid="{00000000-0005-0000-0000-000034630000}"/>
    <cellStyle name="Input 10 3 2 2 2 5" xfId="25402" xr:uid="{00000000-0005-0000-0000-000035630000}"/>
    <cellStyle name="Input 10 3 2 2 2 6" xfId="25403" xr:uid="{00000000-0005-0000-0000-000036630000}"/>
    <cellStyle name="Input 10 3 2 2 3" xfId="25404" xr:uid="{00000000-0005-0000-0000-000037630000}"/>
    <cellStyle name="Input 10 3 2 2 4" xfId="25405" xr:uid="{00000000-0005-0000-0000-000038630000}"/>
    <cellStyle name="Input 10 3 2 2 5" xfId="25406" xr:uid="{00000000-0005-0000-0000-000039630000}"/>
    <cellStyle name="Input 10 3 2 2 6" xfId="25407" xr:uid="{00000000-0005-0000-0000-00003A630000}"/>
    <cellStyle name="Input 10 3 2 3" xfId="25408" xr:uid="{00000000-0005-0000-0000-00003B630000}"/>
    <cellStyle name="Input 10 3 2 3 2" xfId="25409" xr:uid="{00000000-0005-0000-0000-00003C630000}"/>
    <cellStyle name="Input 10 3 2 3 2 2" xfId="25410" xr:uid="{00000000-0005-0000-0000-00003D630000}"/>
    <cellStyle name="Input 10 3 2 3 2 3" xfId="25411" xr:uid="{00000000-0005-0000-0000-00003E630000}"/>
    <cellStyle name="Input 10 3 2 3 2 4" xfId="25412" xr:uid="{00000000-0005-0000-0000-00003F630000}"/>
    <cellStyle name="Input 10 3 2 3 2 5" xfId="25413" xr:uid="{00000000-0005-0000-0000-000040630000}"/>
    <cellStyle name="Input 10 3 2 3 2 6" xfId="25414" xr:uid="{00000000-0005-0000-0000-000041630000}"/>
    <cellStyle name="Input 10 3 2 3 3" xfId="25415" xr:uid="{00000000-0005-0000-0000-000042630000}"/>
    <cellStyle name="Input 10 3 2 3 4" xfId="25416" xr:uid="{00000000-0005-0000-0000-000043630000}"/>
    <cellStyle name="Input 10 3 2 3 5" xfId="25417" xr:uid="{00000000-0005-0000-0000-000044630000}"/>
    <cellStyle name="Input 10 3 2 3 6" xfId="25418" xr:uid="{00000000-0005-0000-0000-000045630000}"/>
    <cellStyle name="Input 10 3 2 4" xfId="25419" xr:uid="{00000000-0005-0000-0000-000046630000}"/>
    <cellStyle name="Input 10 3 2 4 2" xfId="25420" xr:uid="{00000000-0005-0000-0000-000047630000}"/>
    <cellStyle name="Input 10 3 2 4 3" xfId="25421" xr:uid="{00000000-0005-0000-0000-000048630000}"/>
    <cellStyle name="Input 10 3 2 4 4" xfId="25422" xr:uid="{00000000-0005-0000-0000-000049630000}"/>
    <cellStyle name="Input 10 3 2 4 5" xfId="25423" xr:uid="{00000000-0005-0000-0000-00004A630000}"/>
    <cellStyle name="Input 10 3 2 4 6" xfId="25424" xr:uid="{00000000-0005-0000-0000-00004B630000}"/>
    <cellStyle name="Input 10 3 2 5" xfId="25425" xr:uid="{00000000-0005-0000-0000-00004C630000}"/>
    <cellStyle name="Input 10 3 2 6" xfId="25426" xr:uid="{00000000-0005-0000-0000-00004D630000}"/>
    <cellStyle name="Input 10 3 2 7" xfId="25427" xr:uid="{00000000-0005-0000-0000-00004E630000}"/>
    <cellStyle name="Input 10 3 2 8" xfId="25428" xr:uid="{00000000-0005-0000-0000-00004F630000}"/>
    <cellStyle name="Input 10 3 3" xfId="25429" xr:uid="{00000000-0005-0000-0000-000050630000}"/>
    <cellStyle name="Input 10 3 3 2" xfId="25430" xr:uid="{00000000-0005-0000-0000-000051630000}"/>
    <cellStyle name="Input 10 3 3 2 2" xfId="25431" xr:uid="{00000000-0005-0000-0000-000052630000}"/>
    <cellStyle name="Input 10 3 3 2 2 2" xfId="25432" xr:uid="{00000000-0005-0000-0000-000053630000}"/>
    <cellStyle name="Input 10 3 3 2 2 3" xfId="25433" xr:uid="{00000000-0005-0000-0000-000054630000}"/>
    <cellStyle name="Input 10 3 3 2 2 4" xfId="25434" xr:uid="{00000000-0005-0000-0000-000055630000}"/>
    <cellStyle name="Input 10 3 3 2 2 5" xfId="25435" xr:uid="{00000000-0005-0000-0000-000056630000}"/>
    <cellStyle name="Input 10 3 3 2 2 6" xfId="25436" xr:uid="{00000000-0005-0000-0000-000057630000}"/>
    <cellStyle name="Input 10 3 3 2 3" xfId="25437" xr:uid="{00000000-0005-0000-0000-000058630000}"/>
    <cellStyle name="Input 10 3 3 2 4" xfId="25438" xr:uid="{00000000-0005-0000-0000-000059630000}"/>
    <cellStyle name="Input 10 3 3 2 5" xfId="25439" xr:uid="{00000000-0005-0000-0000-00005A630000}"/>
    <cellStyle name="Input 10 3 3 2 6" xfId="25440" xr:uid="{00000000-0005-0000-0000-00005B630000}"/>
    <cellStyle name="Input 10 3 3 3" xfId="25441" xr:uid="{00000000-0005-0000-0000-00005C630000}"/>
    <cellStyle name="Input 10 3 3 3 2" xfId="25442" xr:uid="{00000000-0005-0000-0000-00005D630000}"/>
    <cellStyle name="Input 10 3 3 3 2 2" xfId="25443" xr:uid="{00000000-0005-0000-0000-00005E630000}"/>
    <cellStyle name="Input 10 3 3 3 2 3" xfId="25444" xr:uid="{00000000-0005-0000-0000-00005F630000}"/>
    <cellStyle name="Input 10 3 3 3 2 4" xfId="25445" xr:uid="{00000000-0005-0000-0000-000060630000}"/>
    <cellStyle name="Input 10 3 3 3 2 5" xfId="25446" xr:uid="{00000000-0005-0000-0000-000061630000}"/>
    <cellStyle name="Input 10 3 3 3 2 6" xfId="25447" xr:uid="{00000000-0005-0000-0000-000062630000}"/>
    <cellStyle name="Input 10 3 3 3 3" xfId="25448" xr:uid="{00000000-0005-0000-0000-000063630000}"/>
    <cellStyle name="Input 10 3 3 3 4" xfId="25449" xr:uid="{00000000-0005-0000-0000-000064630000}"/>
    <cellStyle name="Input 10 3 3 3 5" xfId="25450" xr:uid="{00000000-0005-0000-0000-000065630000}"/>
    <cellStyle name="Input 10 3 3 3 6" xfId="25451" xr:uid="{00000000-0005-0000-0000-000066630000}"/>
    <cellStyle name="Input 10 3 3 4" xfId="25452" xr:uid="{00000000-0005-0000-0000-000067630000}"/>
    <cellStyle name="Input 10 3 3 4 2" xfId="25453" xr:uid="{00000000-0005-0000-0000-000068630000}"/>
    <cellStyle name="Input 10 3 3 4 3" xfId="25454" xr:uid="{00000000-0005-0000-0000-000069630000}"/>
    <cellStyle name="Input 10 3 3 4 4" xfId="25455" xr:uid="{00000000-0005-0000-0000-00006A630000}"/>
    <cellStyle name="Input 10 3 3 4 5" xfId="25456" xr:uid="{00000000-0005-0000-0000-00006B630000}"/>
    <cellStyle name="Input 10 3 3 4 6" xfId="25457" xr:uid="{00000000-0005-0000-0000-00006C630000}"/>
    <cellStyle name="Input 10 3 3 5" xfId="25458" xr:uid="{00000000-0005-0000-0000-00006D630000}"/>
    <cellStyle name="Input 10 3 3 6" xfId="25459" xr:uid="{00000000-0005-0000-0000-00006E630000}"/>
    <cellStyle name="Input 10 3 3 7" xfId="25460" xr:uid="{00000000-0005-0000-0000-00006F630000}"/>
    <cellStyle name="Input 10 3 3 8" xfId="25461" xr:uid="{00000000-0005-0000-0000-000070630000}"/>
    <cellStyle name="Input 10 3 4" xfId="25462" xr:uid="{00000000-0005-0000-0000-000071630000}"/>
    <cellStyle name="Input 10 3 4 2" xfId="25463" xr:uid="{00000000-0005-0000-0000-000072630000}"/>
    <cellStyle name="Input 10 3 4 2 2" xfId="25464" xr:uid="{00000000-0005-0000-0000-000073630000}"/>
    <cellStyle name="Input 10 3 4 2 2 2" xfId="25465" xr:uid="{00000000-0005-0000-0000-000074630000}"/>
    <cellStyle name="Input 10 3 4 2 2 3" xfId="25466" xr:uid="{00000000-0005-0000-0000-000075630000}"/>
    <cellStyle name="Input 10 3 4 2 2 4" xfId="25467" xr:uid="{00000000-0005-0000-0000-000076630000}"/>
    <cellStyle name="Input 10 3 4 2 2 5" xfId="25468" xr:uid="{00000000-0005-0000-0000-000077630000}"/>
    <cellStyle name="Input 10 3 4 2 2 6" xfId="25469" xr:uid="{00000000-0005-0000-0000-000078630000}"/>
    <cellStyle name="Input 10 3 4 2 3" xfId="25470" xr:uid="{00000000-0005-0000-0000-000079630000}"/>
    <cellStyle name="Input 10 3 4 2 4" xfId="25471" xr:uid="{00000000-0005-0000-0000-00007A630000}"/>
    <cellStyle name="Input 10 3 4 2 5" xfId="25472" xr:uid="{00000000-0005-0000-0000-00007B630000}"/>
    <cellStyle name="Input 10 3 4 2 6" xfId="25473" xr:uid="{00000000-0005-0000-0000-00007C630000}"/>
    <cellStyle name="Input 10 3 4 3" xfId="25474" xr:uid="{00000000-0005-0000-0000-00007D630000}"/>
    <cellStyle name="Input 10 3 4 3 2" xfId="25475" xr:uid="{00000000-0005-0000-0000-00007E630000}"/>
    <cellStyle name="Input 10 3 4 3 2 2" xfId="25476" xr:uid="{00000000-0005-0000-0000-00007F630000}"/>
    <cellStyle name="Input 10 3 4 3 2 3" xfId="25477" xr:uid="{00000000-0005-0000-0000-000080630000}"/>
    <cellStyle name="Input 10 3 4 3 2 4" xfId="25478" xr:uid="{00000000-0005-0000-0000-000081630000}"/>
    <cellStyle name="Input 10 3 4 3 2 5" xfId="25479" xr:uid="{00000000-0005-0000-0000-000082630000}"/>
    <cellStyle name="Input 10 3 4 3 2 6" xfId="25480" xr:uid="{00000000-0005-0000-0000-000083630000}"/>
    <cellStyle name="Input 10 3 4 3 3" xfId="25481" xr:uid="{00000000-0005-0000-0000-000084630000}"/>
    <cellStyle name="Input 10 3 4 3 4" xfId="25482" xr:uid="{00000000-0005-0000-0000-000085630000}"/>
    <cellStyle name="Input 10 3 4 3 5" xfId="25483" xr:uid="{00000000-0005-0000-0000-000086630000}"/>
    <cellStyle name="Input 10 3 4 3 6" xfId="25484" xr:uid="{00000000-0005-0000-0000-000087630000}"/>
    <cellStyle name="Input 10 3 4 4" xfId="25485" xr:uid="{00000000-0005-0000-0000-000088630000}"/>
    <cellStyle name="Input 10 3 4 4 2" xfId="25486" xr:uid="{00000000-0005-0000-0000-000089630000}"/>
    <cellStyle name="Input 10 3 4 4 3" xfId="25487" xr:uid="{00000000-0005-0000-0000-00008A630000}"/>
    <cellStyle name="Input 10 3 4 4 4" xfId="25488" xr:uid="{00000000-0005-0000-0000-00008B630000}"/>
    <cellStyle name="Input 10 3 4 4 5" xfId="25489" xr:uid="{00000000-0005-0000-0000-00008C630000}"/>
    <cellStyle name="Input 10 3 4 4 6" xfId="25490" xr:uid="{00000000-0005-0000-0000-00008D630000}"/>
    <cellStyle name="Input 10 3 4 5" xfId="25491" xr:uid="{00000000-0005-0000-0000-00008E630000}"/>
    <cellStyle name="Input 10 3 4 6" xfId="25492" xr:uid="{00000000-0005-0000-0000-00008F630000}"/>
    <cellStyle name="Input 10 3 4 7" xfId="25493" xr:uid="{00000000-0005-0000-0000-000090630000}"/>
    <cellStyle name="Input 10 3 4 8" xfId="25494" xr:uid="{00000000-0005-0000-0000-000091630000}"/>
    <cellStyle name="Input 10 3 5" xfId="25495" xr:uid="{00000000-0005-0000-0000-000092630000}"/>
    <cellStyle name="Input 10 3 5 2" xfId="25496" xr:uid="{00000000-0005-0000-0000-000093630000}"/>
    <cellStyle name="Input 10 3 5 2 2" xfId="25497" xr:uid="{00000000-0005-0000-0000-000094630000}"/>
    <cellStyle name="Input 10 3 5 2 2 2" xfId="25498" xr:uid="{00000000-0005-0000-0000-000095630000}"/>
    <cellStyle name="Input 10 3 5 2 2 3" xfId="25499" xr:uid="{00000000-0005-0000-0000-000096630000}"/>
    <cellStyle name="Input 10 3 5 2 2 4" xfId="25500" xr:uid="{00000000-0005-0000-0000-000097630000}"/>
    <cellStyle name="Input 10 3 5 2 2 5" xfId="25501" xr:uid="{00000000-0005-0000-0000-000098630000}"/>
    <cellStyle name="Input 10 3 5 2 2 6" xfId="25502" xr:uid="{00000000-0005-0000-0000-000099630000}"/>
    <cellStyle name="Input 10 3 5 2 3" xfId="25503" xr:uid="{00000000-0005-0000-0000-00009A630000}"/>
    <cellStyle name="Input 10 3 5 2 4" xfId="25504" xr:uid="{00000000-0005-0000-0000-00009B630000}"/>
    <cellStyle name="Input 10 3 5 2 5" xfId="25505" xr:uid="{00000000-0005-0000-0000-00009C630000}"/>
    <cellStyle name="Input 10 3 5 2 6" xfId="25506" xr:uid="{00000000-0005-0000-0000-00009D630000}"/>
    <cellStyle name="Input 10 3 5 3" xfId="25507" xr:uid="{00000000-0005-0000-0000-00009E630000}"/>
    <cellStyle name="Input 10 3 5 3 2" xfId="25508" xr:uid="{00000000-0005-0000-0000-00009F630000}"/>
    <cellStyle name="Input 10 3 5 3 2 2" xfId="25509" xr:uid="{00000000-0005-0000-0000-0000A0630000}"/>
    <cellStyle name="Input 10 3 5 3 2 3" xfId="25510" xr:uid="{00000000-0005-0000-0000-0000A1630000}"/>
    <cellStyle name="Input 10 3 5 3 2 4" xfId="25511" xr:uid="{00000000-0005-0000-0000-0000A2630000}"/>
    <cellStyle name="Input 10 3 5 3 2 5" xfId="25512" xr:uid="{00000000-0005-0000-0000-0000A3630000}"/>
    <cellStyle name="Input 10 3 5 3 2 6" xfId="25513" xr:uid="{00000000-0005-0000-0000-0000A4630000}"/>
    <cellStyle name="Input 10 3 5 3 3" xfId="25514" xr:uid="{00000000-0005-0000-0000-0000A5630000}"/>
    <cellStyle name="Input 10 3 5 3 4" xfId="25515" xr:uid="{00000000-0005-0000-0000-0000A6630000}"/>
    <cellStyle name="Input 10 3 5 3 5" xfId="25516" xr:uid="{00000000-0005-0000-0000-0000A7630000}"/>
    <cellStyle name="Input 10 3 5 3 6" xfId="25517" xr:uid="{00000000-0005-0000-0000-0000A8630000}"/>
    <cellStyle name="Input 10 3 5 4" xfId="25518" xr:uid="{00000000-0005-0000-0000-0000A9630000}"/>
    <cellStyle name="Input 10 3 5 4 2" xfId="25519" xr:uid="{00000000-0005-0000-0000-0000AA630000}"/>
    <cellStyle name="Input 10 3 5 4 3" xfId="25520" xr:uid="{00000000-0005-0000-0000-0000AB630000}"/>
    <cellStyle name="Input 10 3 5 4 4" xfId="25521" xr:uid="{00000000-0005-0000-0000-0000AC630000}"/>
    <cellStyle name="Input 10 3 5 4 5" xfId="25522" xr:uid="{00000000-0005-0000-0000-0000AD630000}"/>
    <cellStyle name="Input 10 3 5 4 6" xfId="25523" xr:uid="{00000000-0005-0000-0000-0000AE630000}"/>
    <cellStyle name="Input 10 3 5 5" xfId="25524" xr:uid="{00000000-0005-0000-0000-0000AF630000}"/>
    <cellStyle name="Input 10 3 5 6" xfId="25525" xr:uid="{00000000-0005-0000-0000-0000B0630000}"/>
    <cellStyle name="Input 10 3 5 7" xfId="25526" xr:uid="{00000000-0005-0000-0000-0000B1630000}"/>
    <cellStyle name="Input 10 3 5 8" xfId="25527" xr:uid="{00000000-0005-0000-0000-0000B2630000}"/>
    <cellStyle name="Input 10 3 6" xfId="25528" xr:uid="{00000000-0005-0000-0000-0000B3630000}"/>
    <cellStyle name="Input 10 3 6 2" xfId="25529" xr:uid="{00000000-0005-0000-0000-0000B4630000}"/>
    <cellStyle name="Input 10 3 6 2 2" xfId="25530" xr:uid="{00000000-0005-0000-0000-0000B5630000}"/>
    <cellStyle name="Input 10 3 6 2 2 2" xfId="25531" xr:uid="{00000000-0005-0000-0000-0000B6630000}"/>
    <cellStyle name="Input 10 3 6 2 2 3" xfId="25532" xr:uid="{00000000-0005-0000-0000-0000B7630000}"/>
    <cellStyle name="Input 10 3 6 2 2 4" xfId="25533" xr:uid="{00000000-0005-0000-0000-0000B8630000}"/>
    <cellStyle name="Input 10 3 6 2 2 5" xfId="25534" xr:uid="{00000000-0005-0000-0000-0000B9630000}"/>
    <cellStyle name="Input 10 3 6 2 2 6" xfId="25535" xr:uid="{00000000-0005-0000-0000-0000BA630000}"/>
    <cellStyle name="Input 10 3 6 2 3" xfId="25536" xr:uid="{00000000-0005-0000-0000-0000BB630000}"/>
    <cellStyle name="Input 10 3 6 2 4" xfId="25537" xr:uid="{00000000-0005-0000-0000-0000BC630000}"/>
    <cellStyle name="Input 10 3 6 2 5" xfId="25538" xr:uid="{00000000-0005-0000-0000-0000BD630000}"/>
    <cellStyle name="Input 10 3 6 2 6" xfId="25539" xr:uid="{00000000-0005-0000-0000-0000BE630000}"/>
    <cellStyle name="Input 10 3 6 3" xfId="25540" xr:uid="{00000000-0005-0000-0000-0000BF630000}"/>
    <cellStyle name="Input 10 3 6 3 2" xfId="25541" xr:uid="{00000000-0005-0000-0000-0000C0630000}"/>
    <cellStyle name="Input 10 3 6 3 2 2" xfId="25542" xr:uid="{00000000-0005-0000-0000-0000C1630000}"/>
    <cellStyle name="Input 10 3 6 3 2 3" xfId="25543" xr:uid="{00000000-0005-0000-0000-0000C2630000}"/>
    <cellStyle name="Input 10 3 6 3 2 4" xfId="25544" xr:uid="{00000000-0005-0000-0000-0000C3630000}"/>
    <cellStyle name="Input 10 3 6 3 2 5" xfId="25545" xr:uid="{00000000-0005-0000-0000-0000C4630000}"/>
    <cellStyle name="Input 10 3 6 3 2 6" xfId="25546" xr:uid="{00000000-0005-0000-0000-0000C5630000}"/>
    <cellStyle name="Input 10 3 6 3 3" xfId="25547" xr:uid="{00000000-0005-0000-0000-0000C6630000}"/>
    <cellStyle name="Input 10 3 6 3 4" xfId="25548" xr:uid="{00000000-0005-0000-0000-0000C7630000}"/>
    <cellStyle name="Input 10 3 6 3 5" xfId="25549" xr:uid="{00000000-0005-0000-0000-0000C8630000}"/>
    <cellStyle name="Input 10 3 6 3 6" xfId="25550" xr:uid="{00000000-0005-0000-0000-0000C9630000}"/>
    <cellStyle name="Input 10 3 6 4" xfId="25551" xr:uid="{00000000-0005-0000-0000-0000CA630000}"/>
    <cellStyle name="Input 10 3 6 4 2" xfId="25552" xr:uid="{00000000-0005-0000-0000-0000CB630000}"/>
    <cellStyle name="Input 10 3 6 4 3" xfId="25553" xr:uid="{00000000-0005-0000-0000-0000CC630000}"/>
    <cellStyle name="Input 10 3 6 4 4" xfId="25554" xr:uid="{00000000-0005-0000-0000-0000CD630000}"/>
    <cellStyle name="Input 10 3 6 4 5" xfId="25555" xr:uid="{00000000-0005-0000-0000-0000CE630000}"/>
    <cellStyle name="Input 10 3 6 4 6" xfId="25556" xr:uid="{00000000-0005-0000-0000-0000CF630000}"/>
    <cellStyle name="Input 10 3 6 5" xfId="25557" xr:uid="{00000000-0005-0000-0000-0000D0630000}"/>
    <cellStyle name="Input 10 3 6 6" xfId="25558" xr:uid="{00000000-0005-0000-0000-0000D1630000}"/>
    <cellStyle name="Input 10 3 6 7" xfId="25559" xr:uid="{00000000-0005-0000-0000-0000D2630000}"/>
    <cellStyle name="Input 10 3 6 8" xfId="25560" xr:uid="{00000000-0005-0000-0000-0000D3630000}"/>
    <cellStyle name="Input 10 3 7" xfId="25561" xr:uid="{00000000-0005-0000-0000-0000D4630000}"/>
    <cellStyle name="Input 10 3 7 2" xfId="25562" xr:uid="{00000000-0005-0000-0000-0000D5630000}"/>
    <cellStyle name="Input 10 3 7 2 2" xfId="25563" xr:uid="{00000000-0005-0000-0000-0000D6630000}"/>
    <cellStyle name="Input 10 3 7 2 3" xfId="25564" xr:uid="{00000000-0005-0000-0000-0000D7630000}"/>
    <cellStyle name="Input 10 3 7 2 4" xfId="25565" xr:uid="{00000000-0005-0000-0000-0000D8630000}"/>
    <cellStyle name="Input 10 3 7 2 5" xfId="25566" xr:uid="{00000000-0005-0000-0000-0000D9630000}"/>
    <cellStyle name="Input 10 3 7 2 6" xfId="25567" xr:uid="{00000000-0005-0000-0000-0000DA630000}"/>
    <cellStyle name="Input 10 3 7 3" xfId="25568" xr:uid="{00000000-0005-0000-0000-0000DB630000}"/>
    <cellStyle name="Input 10 3 7 4" xfId="25569" xr:uid="{00000000-0005-0000-0000-0000DC630000}"/>
    <cellStyle name="Input 10 3 7 5" xfId="25570" xr:uid="{00000000-0005-0000-0000-0000DD630000}"/>
    <cellStyle name="Input 10 3 7 6" xfId="25571" xr:uid="{00000000-0005-0000-0000-0000DE630000}"/>
    <cellStyle name="Input 10 3 8" xfId="25572" xr:uid="{00000000-0005-0000-0000-0000DF630000}"/>
    <cellStyle name="Input 10 3 8 2" xfId="25573" xr:uid="{00000000-0005-0000-0000-0000E0630000}"/>
    <cellStyle name="Input 10 3 8 2 2" xfId="25574" xr:uid="{00000000-0005-0000-0000-0000E1630000}"/>
    <cellStyle name="Input 10 3 8 2 3" xfId="25575" xr:uid="{00000000-0005-0000-0000-0000E2630000}"/>
    <cellStyle name="Input 10 3 8 2 4" xfId="25576" xr:uid="{00000000-0005-0000-0000-0000E3630000}"/>
    <cellStyle name="Input 10 3 8 2 5" xfId="25577" xr:uid="{00000000-0005-0000-0000-0000E4630000}"/>
    <cellStyle name="Input 10 3 8 2 6" xfId="25578" xr:uid="{00000000-0005-0000-0000-0000E5630000}"/>
    <cellStyle name="Input 10 3 8 3" xfId="25579" xr:uid="{00000000-0005-0000-0000-0000E6630000}"/>
    <cellStyle name="Input 10 3 8 4" xfId="25580" xr:uid="{00000000-0005-0000-0000-0000E7630000}"/>
    <cellStyle name="Input 10 3 8 5" xfId="25581" xr:uid="{00000000-0005-0000-0000-0000E8630000}"/>
    <cellStyle name="Input 10 3 8 6" xfId="25582" xr:uid="{00000000-0005-0000-0000-0000E9630000}"/>
    <cellStyle name="Input 10 3 9" xfId="25583" xr:uid="{00000000-0005-0000-0000-0000EA630000}"/>
    <cellStyle name="Input 10 3 9 2" xfId="25584" xr:uid="{00000000-0005-0000-0000-0000EB630000}"/>
    <cellStyle name="Input 10 3 9 3" xfId="25585" xr:uid="{00000000-0005-0000-0000-0000EC630000}"/>
    <cellStyle name="Input 10 3 9 4" xfId="25586" xr:uid="{00000000-0005-0000-0000-0000ED630000}"/>
    <cellStyle name="Input 10 3 9 5" xfId="25587" xr:uid="{00000000-0005-0000-0000-0000EE630000}"/>
    <cellStyle name="Input 10 3 9 6" xfId="25588" xr:uid="{00000000-0005-0000-0000-0000EF630000}"/>
    <cellStyle name="Input 10 4" xfId="25589" xr:uid="{00000000-0005-0000-0000-0000F0630000}"/>
    <cellStyle name="Input 10 4 2" xfId="25590" xr:uid="{00000000-0005-0000-0000-0000F1630000}"/>
    <cellStyle name="Input 10 4 2 2" xfId="25591" xr:uid="{00000000-0005-0000-0000-0000F2630000}"/>
    <cellStyle name="Input 10 4 2 2 2" xfId="25592" xr:uid="{00000000-0005-0000-0000-0000F3630000}"/>
    <cellStyle name="Input 10 4 2 2 3" xfId="25593" xr:uid="{00000000-0005-0000-0000-0000F4630000}"/>
    <cellStyle name="Input 10 4 2 2 4" xfId="25594" xr:uid="{00000000-0005-0000-0000-0000F5630000}"/>
    <cellStyle name="Input 10 4 2 2 5" xfId="25595" xr:uid="{00000000-0005-0000-0000-0000F6630000}"/>
    <cellStyle name="Input 10 4 2 2 6" xfId="25596" xr:uid="{00000000-0005-0000-0000-0000F7630000}"/>
    <cellStyle name="Input 10 4 2 3" xfId="25597" xr:uid="{00000000-0005-0000-0000-0000F8630000}"/>
    <cellStyle name="Input 10 4 2 4" xfId="25598" xr:uid="{00000000-0005-0000-0000-0000F9630000}"/>
    <cellStyle name="Input 10 4 2 5" xfId="25599" xr:uid="{00000000-0005-0000-0000-0000FA630000}"/>
    <cellStyle name="Input 10 4 2 6" xfId="25600" xr:uid="{00000000-0005-0000-0000-0000FB630000}"/>
    <cellStyle name="Input 10 4 3" xfId="25601" xr:uid="{00000000-0005-0000-0000-0000FC630000}"/>
    <cellStyle name="Input 10 4 3 2" xfId="25602" xr:uid="{00000000-0005-0000-0000-0000FD630000}"/>
    <cellStyle name="Input 10 4 3 2 2" xfId="25603" xr:uid="{00000000-0005-0000-0000-0000FE630000}"/>
    <cellStyle name="Input 10 4 3 2 3" xfId="25604" xr:uid="{00000000-0005-0000-0000-0000FF630000}"/>
    <cellStyle name="Input 10 4 3 2 4" xfId="25605" xr:uid="{00000000-0005-0000-0000-000000640000}"/>
    <cellStyle name="Input 10 4 3 2 5" xfId="25606" xr:uid="{00000000-0005-0000-0000-000001640000}"/>
    <cellStyle name="Input 10 4 3 2 6" xfId="25607" xr:uid="{00000000-0005-0000-0000-000002640000}"/>
    <cellStyle name="Input 10 4 3 3" xfId="25608" xr:uid="{00000000-0005-0000-0000-000003640000}"/>
    <cellStyle name="Input 10 4 3 4" xfId="25609" xr:uid="{00000000-0005-0000-0000-000004640000}"/>
    <cellStyle name="Input 10 4 3 5" xfId="25610" xr:uid="{00000000-0005-0000-0000-000005640000}"/>
    <cellStyle name="Input 10 4 3 6" xfId="25611" xr:uid="{00000000-0005-0000-0000-000006640000}"/>
    <cellStyle name="Input 10 4 4" xfId="25612" xr:uid="{00000000-0005-0000-0000-000007640000}"/>
    <cellStyle name="Input 10 4 4 2" xfId="25613" xr:uid="{00000000-0005-0000-0000-000008640000}"/>
    <cellStyle name="Input 10 4 4 3" xfId="25614" xr:uid="{00000000-0005-0000-0000-000009640000}"/>
    <cellStyle name="Input 10 4 4 4" xfId="25615" xr:uid="{00000000-0005-0000-0000-00000A640000}"/>
    <cellStyle name="Input 10 4 4 5" xfId="25616" xr:uid="{00000000-0005-0000-0000-00000B640000}"/>
    <cellStyle name="Input 10 4 4 6" xfId="25617" xr:uid="{00000000-0005-0000-0000-00000C640000}"/>
    <cellStyle name="Input 10 4 5" xfId="25618" xr:uid="{00000000-0005-0000-0000-00000D640000}"/>
    <cellStyle name="Input 10 4 6" xfId="25619" xr:uid="{00000000-0005-0000-0000-00000E640000}"/>
    <cellStyle name="Input 10 4 7" xfId="25620" xr:uid="{00000000-0005-0000-0000-00000F640000}"/>
    <cellStyle name="Input 10 4 8" xfId="25621" xr:uid="{00000000-0005-0000-0000-000010640000}"/>
    <cellStyle name="Input 10 5" xfId="25622" xr:uid="{00000000-0005-0000-0000-000011640000}"/>
    <cellStyle name="Input 10 5 2" xfId="25623" xr:uid="{00000000-0005-0000-0000-000012640000}"/>
    <cellStyle name="Input 10 5 2 2" xfId="25624" xr:uid="{00000000-0005-0000-0000-000013640000}"/>
    <cellStyle name="Input 10 5 2 2 2" xfId="25625" xr:uid="{00000000-0005-0000-0000-000014640000}"/>
    <cellStyle name="Input 10 5 2 2 3" xfId="25626" xr:uid="{00000000-0005-0000-0000-000015640000}"/>
    <cellStyle name="Input 10 5 2 2 4" xfId="25627" xr:uid="{00000000-0005-0000-0000-000016640000}"/>
    <cellStyle name="Input 10 5 2 2 5" xfId="25628" xr:uid="{00000000-0005-0000-0000-000017640000}"/>
    <cellStyle name="Input 10 5 2 2 6" xfId="25629" xr:uid="{00000000-0005-0000-0000-000018640000}"/>
    <cellStyle name="Input 10 5 2 3" xfId="25630" xr:uid="{00000000-0005-0000-0000-000019640000}"/>
    <cellStyle name="Input 10 5 2 4" xfId="25631" xr:uid="{00000000-0005-0000-0000-00001A640000}"/>
    <cellStyle name="Input 10 5 2 5" xfId="25632" xr:uid="{00000000-0005-0000-0000-00001B640000}"/>
    <cellStyle name="Input 10 5 2 6" xfId="25633" xr:uid="{00000000-0005-0000-0000-00001C640000}"/>
    <cellStyle name="Input 10 5 3" xfId="25634" xr:uid="{00000000-0005-0000-0000-00001D640000}"/>
    <cellStyle name="Input 10 5 3 2" xfId="25635" xr:uid="{00000000-0005-0000-0000-00001E640000}"/>
    <cellStyle name="Input 10 5 3 2 2" xfId="25636" xr:uid="{00000000-0005-0000-0000-00001F640000}"/>
    <cellStyle name="Input 10 5 3 2 3" xfId="25637" xr:uid="{00000000-0005-0000-0000-000020640000}"/>
    <cellStyle name="Input 10 5 3 2 4" xfId="25638" xr:uid="{00000000-0005-0000-0000-000021640000}"/>
    <cellStyle name="Input 10 5 3 2 5" xfId="25639" xr:uid="{00000000-0005-0000-0000-000022640000}"/>
    <cellStyle name="Input 10 5 3 2 6" xfId="25640" xr:uid="{00000000-0005-0000-0000-000023640000}"/>
    <cellStyle name="Input 10 5 3 3" xfId="25641" xr:uid="{00000000-0005-0000-0000-000024640000}"/>
    <cellStyle name="Input 10 5 3 4" xfId="25642" xr:uid="{00000000-0005-0000-0000-000025640000}"/>
    <cellStyle name="Input 10 5 3 5" xfId="25643" xr:uid="{00000000-0005-0000-0000-000026640000}"/>
    <cellStyle name="Input 10 5 3 6" xfId="25644" xr:uid="{00000000-0005-0000-0000-000027640000}"/>
    <cellStyle name="Input 10 5 4" xfId="25645" xr:uid="{00000000-0005-0000-0000-000028640000}"/>
    <cellStyle name="Input 10 5 4 2" xfId="25646" xr:uid="{00000000-0005-0000-0000-000029640000}"/>
    <cellStyle name="Input 10 5 4 3" xfId="25647" xr:uid="{00000000-0005-0000-0000-00002A640000}"/>
    <cellStyle name="Input 10 5 4 4" xfId="25648" xr:uid="{00000000-0005-0000-0000-00002B640000}"/>
    <cellStyle name="Input 10 5 4 5" xfId="25649" xr:uid="{00000000-0005-0000-0000-00002C640000}"/>
    <cellStyle name="Input 10 5 4 6" xfId="25650" xr:uid="{00000000-0005-0000-0000-00002D640000}"/>
    <cellStyle name="Input 10 5 5" xfId="25651" xr:uid="{00000000-0005-0000-0000-00002E640000}"/>
    <cellStyle name="Input 10 5 6" xfId="25652" xr:uid="{00000000-0005-0000-0000-00002F640000}"/>
    <cellStyle name="Input 10 5 7" xfId="25653" xr:uid="{00000000-0005-0000-0000-000030640000}"/>
    <cellStyle name="Input 10 5 8" xfId="25654" xr:uid="{00000000-0005-0000-0000-000031640000}"/>
    <cellStyle name="Input 10 6" xfId="25655" xr:uid="{00000000-0005-0000-0000-000032640000}"/>
    <cellStyle name="Input 10 6 2" xfId="25656" xr:uid="{00000000-0005-0000-0000-000033640000}"/>
    <cellStyle name="Input 10 6 2 2" xfId="25657" xr:uid="{00000000-0005-0000-0000-000034640000}"/>
    <cellStyle name="Input 10 6 2 2 2" xfId="25658" xr:uid="{00000000-0005-0000-0000-000035640000}"/>
    <cellStyle name="Input 10 6 2 2 3" xfId="25659" xr:uid="{00000000-0005-0000-0000-000036640000}"/>
    <cellStyle name="Input 10 6 2 2 4" xfId="25660" xr:uid="{00000000-0005-0000-0000-000037640000}"/>
    <cellStyle name="Input 10 6 2 2 5" xfId="25661" xr:uid="{00000000-0005-0000-0000-000038640000}"/>
    <cellStyle name="Input 10 6 2 2 6" xfId="25662" xr:uid="{00000000-0005-0000-0000-000039640000}"/>
    <cellStyle name="Input 10 6 2 3" xfId="25663" xr:uid="{00000000-0005-0000-0000-00003A640000}"/>
    <cellStyle name="Input 10 6 2 4" xfId="25664" xr:uid="{00000000-0005-0000-0000-00003B640000}"/>
    <cellStyle name="Input 10 6 2 5" xfId="25665" xr:uid="{00000000-0005-0000-0000-00003C640000}"/>
    <cellStyle name="Input 10 6 2 6" xfId="25666" xr:uid="{00000000-0005-0000-0000-00003D640000}"/>
    <cellStyle name="Input 10 6 3" xfId="25667" xr:uid="{00000000-0005-0000-0000-00003E640000}"/>
    <cellStyle name="Input 10 6 3 2" xfId="25668" xr:uid="{00000000-0005-0000-0000-00003F640000}"/>
    <cellStyle name="Input 10 6 3 2 2" xfId="25669" xr:uid="{00000000-0005-0000-0000-000040640000}"/>
    <cellStyle name="Input 10 6 3 2 3" xfId="25670" xr:uid="{00000000-0005-0000-0000-000041640000}"/>
    <cellStyle name="Input 10 6 3 2 4" xfId="25671" xr:uid="{00000000-0005-0000-0000-000042640000}"/>
    <cellStyle name="Input 10 6 3 2 5" xfId="25672" xr:uid="{00000000-0005-0000-0000-000043640000}"/>
    <cellStyle name="Input 10 6 3 2 6" xfId="25673" xr:uid="{00000000-0005-0000-0000-000044640000}"/>
    <cellStyle name="Input 10 6 3 3" xfId="25674" xr:uid="{00000000-0005-0000-0000-000045640000}"/>
    <cellStyle name="Input 10 6 3 4" xfId="25675" xr:uid="{00000000-0005-0000-0000-000046640000}"/>
    <cellStyle name="Input 10 6 3 5" xfId="25676" xr:uid="{00000000-0005-0000-0000-000047640000}"/>
    <cellStyle name="Input 10 6 3 6" xfId="25677" xr:uid="{00000000-0005-0000-0000-000048640000}"/>
    <cellStyle name="Input 10 6 4" xfId="25678" xr:uid="{00000000-0005-0000-0000-000049640000}"/>
    <cellStyle name="Input 10 6 4 2" xfId="25679" xr:uid="{00000000-0005-0000-0000-00004A640000}"/>
    <cellStyle name="Input 10 6 4 3" xfId="25680" xr:uid="{00000000-0005-0000-0000-00004B640000}"/>
    <cellStyle name="Input 10 6 4 4" xfId="25681" xr:uid="{00000000-0005-0000-0000-00004C640000}"/>
    <cellStyle name="Input 10 6 4 5" xfId="25682" xr:uid="{00000000-0005-0000-0000-00004D640000}"/>
    <cellStyle name="Input 10 6 4 6" xfId="25683" xr:uid="{00000000-0005-0000-0000-00004E640000}"/>
    <cellStyle name="Input 10 6 5" xfId="25684" xr:uid="{00000000-0005-0000-0000-00004F640000}"/>
    <cellStyle name="Input 10 6 6" xfId="25685" xr:uid="{00000000-0005-0000-0000-000050640000}"/>
    <cellStyle name="Input 10 6 7" xfId="25686" xr:uid="{00000000-0005-0000-0000-000051640000}"/>
    <cellStyle name="Input 10 6 8" xfId="25687" xr:uid="{00000000-0005-0000-0000-000052640000}"/>
    <cellStyle name="Input 10 7" xfId="25688" xr:uid="{00000000-0005-0000-0000-000053640000}"/>
    <cellStyle name="Input 10 7 2" xfId="25689" xr:uid="{00000000-0005-0000-0000-000054640000}"/>
    <cellStyle name="Input 10 7 2 2" xfId="25690" xr:uid="{00000000-0005-0000-0000-000055640000}"/>
    <cellStyle name="Input 10 7 2 3" xfId="25691" xr:uid="{00000000-0005-0000-0000-000056640000}"/>
    <cellStyle name="Input 10 7 2 4" xfId="25692" xr:uid="{00000000-0005-0000-0000-000057640000}"/>
    <cellStyle name="Input 10 7 2 5" xfId="25693" xr:uid="{00000000-0005-0000-0000-000058640000}"/>
    <cellStyle name="Input 10 7 2 6" xfId="25694" xr:uid="{00000000-0005-0000-0000-000059640000}"/>
    <cellStyle name="Input 10 7 3" xfId="25695" xr:uid="{00000000-0005-0000-0000-00005A640000}"/>
    <cellStyle name="Input 10 7 4" xfId="25696" xr:uid="{00000000-0005-0000-0000-00005B640000}"/>
    <cellStyle name="Input 10 7 5" xfId="25697" xr:uid="{00000000-0005-0000-0000-00005C640000}"/>
    <cellStyle name="Input 10 7 6" xfId="25698" xr:uid="{00000000-0005-0000-0000-00005D640000}"/>
    <cellStyle name="Input 10 8" xfId="25699" xr:uid="{00000000-0005-0000-0000-00005E640000}"/>
    <cellStyle name="Input 10 8 2" xfId="25700" xr:uid="{00000000-0005-0000-0000-00005F640000}"/>
    <cellStyle name="Input 10 8 2 2" xfId="25701" xr:uid="{00000000-0005-0000-0000-000060640000}"/>
    <cellStyle name="Input 10 8 2 3" xfId="25702" xr:uid="{00000000-0005-0000-0000-000061640000}"/>
    <cellStyle name="Input 10 8 2 4" xfId="25703" xr:uid="{00000000-0005-0000-0000-000062640000}"/>
    <cellStyle name="Input 10 8 2 5" xfId="25704" xr:uid="{00000000-0005-0000-0000-000063640000}"/>
    <cellStyle name="Input 10 8 2 6" xfId="25705" xr:uid="{00000000-0005-0000-0000-000064640000}"/>
    <cellStyle name="Input 10 8 3" xfId="25706" xr:uid="{00000000-0005-0000-0000-000065640000}"/>
    <cellStyle name="Input 10 8 4" xfId="25707" xr:uid="{00000000-0005-0000-0000-000066640000}"/>
    <cellStyle name="Input 10 8 5" xfId="25708" xr:uid="{00000000-0005-0000-0000-000067640000}"/>
    <cellStyle name="Input 10 8 6" xfId="25709" xr:uid="{00000000-0005-0000-0000-000068640000}"/>
    <cellStyle name="Input 10 9" xfId="25710" xr:uid="{00000000-0005-0000-0000-000069640000}"/>
    <cellStyle name="Input 10 9 2" xfId="25711" xr:uid="{00000000-0005-0000-0000-00006A640000}"/>
    <cellStyle name="Input 10 9 3" xfId="25712" xr:uid="{00000000-0005-0000-0000-00006B640000}"/>
    <cellStyle name="Input 10 9 4" xfId="25713" xr:uid="{00000000-0005-0000-0000-00006C640000}"/>
    <cellStyle name="Input 10 9 5" xfId="25714" xr:uid="{00000000-0005-0000-0000-00006D640000}"/>
    <cellStyle name="Input 10 9 6" xfId="25715" xr:uid="{00000000-0005-0000-0000-00006E640000}"/>
    <cellStyle name="Input 11" xfId="25716" xr:uid="{00000000-0005-0000-0000-00006F640000}"/>
    <cellStyle name="Input 12" xfId="25717" xr:uid="{00000000-0005-0000-0000-000070640000}"/>
    <cellStyle name="Input 13" xfId="25718" xr:uid="{00000000-0005-0000-0000-000071640000}"/>
    <cellStyle name="Input 14" xfId="25719" xr:uid="{00000000-0005-0000-0000-000072640000}"/>
    <cellStyle name="Input 2" xfId="25720" xr:uid="{00000000-0005-0000-0000-000073640000}"/>
    <cellStyle name="Input 2 10" xfId="25721" xr:uid="{00000000-0005-0000-0000-000074640000}"/>
    <cellStyle name="Input 2 10 2" xfId="25722" xr:uid="{00000000-0005-0000-0000-000075640000}"/>
    <cellStyle name="Input 2 10 2 2" xfId="25723" xr:uid="{00000000-0005-0000-0000-000076640000}"/>
    <cellStyle name="Input 2 10 2 2 2" xfId="25724" xr:uid="{00000000-0005-0000-0000-000077640000}"/>
    <cellStyle name="Input 2 10 2 2 3" xfId="25725" xr:uid="{00000000-0005-0000-0000-000078640000}"/>
    <cellStyle name="Input 2 10 2 2 4" xfId="25726" xr:uid="{00000000-0005-0000-0000-000079640000}"/>
    <cellStyle name="Input 2 10 2 2 5" xfId="25727" xr:uid="{00000000-0005-0000-0000-00007A640000}"/>
    <cellStyle name="Input 2 10 2 3" xfId="25728" xr:uid="{00000000-0005-0000-0000-00007B640000}"/>
    <cellStyle name="Input 2 10 2 4" xfId="25729" xr:uid="{00000000-0005-0000-0000-00007C640000}"/>
    <cellStyle name="Input 2 10 2 5" xfId="25730" xr:uid="{00000000-0005-0000-0000-00007D640000}"/>
    <cellStyle name="Input 2 10 2 6" xfId="25731" xr:uid="{00000000-0005-0000-0000-00007E640000}"/>
    <cellStyle name="Input 2 10 2 7" xfId="25732" xr:uid="{00000000-0005-0000-0000-00007F640000}"/>
    <cellStyle name="Input 2 10 3" xfId="25733" xr:uid="{00000000-0005-0000-0000-000080640000}"/>
    <cellStyle name="Input 2 10 3 2" xfId="25734" xr:uid="{00000000-0005-0000-0000-000081640000}"/>
    <cellStyle name="Input 2 10 3 3" xfId="25735" xr:uid="{00000000-0005-0000-0000-000082640000}"/>
    <cellStyle name="Input 2 10 3 4" xfId="25736" xr:uid="{00000000-0005-0000-0000-000083640000}"/>
    <cellStyle name="Input 2 10 3 5" xfId="25737" xr:uid="{00000000-0005-0000-0000-000084640000}"/>
    <cellStyle name="Input 2 10 4" xfId="25738" xr:uid="{00000000-0005-0000-0000-000085640000}"/>
    <cellStyle name="Input 2 10 5" xfId="25739" xr:uid="{00000000-0005-0000-0000-000086640000}"/>
    <cellStyle name="Input 2 10 6" xfId="25740" xr:uid="{00000000-0005-0000-0000-000087640000}"/>
    <cellStyle name="Input 2 10 7" xfId="25741" xr:uid="{00000000-0005-0000-0000-000088640000}"/>
    <cellStyle name="Input 2 11" xfId="25742" xr:uid="{00000000-0005-0000-0000-000089640000}"/>
    <cellStyle name="Input 2 11 2" xfId="25743" xr:uid="{00000000-0005-0000-0000-00008A640000}"/>
    <cellStyle name="Input 2 11 2 2" xfId="25744" xr:uid="{00000000-0005-0000-0000-00008B640000}"/>
    <cellStyle name="Input 2 11 2 3" xfId="25745" xr:uid="{00000000-0005-0000-0000-00008C640000}"/>
    <cellStyle name="Input 2 11 2 4" xfId="25746" xr:uid="{00000000-0005-0000-0000-00008D640000}"/>
    <cellStyle name="Input 2 11 2 5" xfId="25747" xr:uid="{00000000-0005-0000-0000-00008E640000}"/>
    <cellStyle name="Input 2 11 3" xfId="25748" xr:uid="{00000000-0005-0000-0000-00008F640000}"/>
    <cellStyle name="Input 2 11 3 2" xfId="25749" xr:uid="{00000000-0005-0000-0000-000090640000}"/>
    <cellStyle name="Input 2 11 3 3" xfId="25750" xr:uid="{00000000-0005-0000-0000-000091640000}"/>
    <cellStyle name="Input 2 11 3 4" xfId="25751" xr:uid="{00000000-0005-0000-0000-000092640000}"/>
    <cellStyle name="Input 2 11 3 5" xfId="25752" xr:uid="{00000000-0005-0000-0000-000093640000}"/>
    <cellStyle name="Input 2 11 4" xfId="25753" xr:uid="{00000000-0005-0000-0000-000094640000}"/>
    <cellStyle name="Input 2 11 5" xfId="25754" xr:uid="{00000000-0005-0000-0000-000095640000}"/>
    <cellStyle name="Input 2 11 6" xfId="25755" xr:uid="{00000000-0005-0000-0000-000096640000}"/>
    <cellStyle name="Input 2 11 7" xfId="25756" xr:uid="{00000000-0005-0000-0000-000097640000}"/>
    <cellStyle name="Input 2 11 8" xfId="25757" xr:uid="{00000000-0005-0000-0000-000098640000}"/>
    <cellStyle name="Input 2 12" xfId="25758" xr:uid="{00000000-0005-0000-0000-000099640000}"/>
    <cellStyle name="Input 2 12 2" xfId="25759" xr:uid="{00000000-0005-0000-0000-00009A640000}"/>
    <cellStyle name="Input 2 12 2 2" xfId="25760" xr:uid="{00000000-0005-0000-0000-00009B640000}"/>
    <cellStyle name="Input 2 12 2 3" xfId="25761" xr:uid="{00000000-0005-0000-0000-00009C640000}"/>
    <cellStyle name="Input 2 12 2 4" xfId="25762" xr:uid="{00000000-0005-0000-0000-00009D640000}"/>
    <cellStyle name="Input 2 12 2 5" xfId="25763" xr:uid="{00000000-0005-0000-0000-00009E640000}"/>
    <cellStyle name="Input 2 12 3" xfId="25764" xr:uid="{00000000-0005-0000-0000-00009F640000}"/>
    <cellStyle name="Input 2 12 4" xfId="25765" xr:uid="{00000000-0005-0000-0000-0000A0640000}"/>
    <cellStyle name="Input 2 12 5" xfId="25766" xr:uid="{00000000-0005-0000-0000-0000A1640000}"/>
    <cellStyle name="Input 2 12 6" xfId="25767" xr:uid="{00000000-0005-0000-0000-0000A2640000}"/>
    <cellStyle name="Input 2 13" xfId="25768" xr:uid="{00000000-0005-0000-0000-0000A3640000}"/>
    <cellStyle name="Input 2 13 2" xfId="25769" xr:uid="{00000000-0005-0000-0000-0000A4640000}"/>
    <cellStyle name="Input 2 13 2 2" xfId="25770" xr:uid="{00000000-0005-0000-0000-0000A5640000}"/>
    <cellStyle name="Input 2 13 2 3" xfId="25771" xr:uid="{00000000-0005-0000-0000-0000A6640000}"/>
    <cellStyle name="Input 2 13 2 4" xfId="25772" xr:uid="{00000000-0005-0000-0000-0000A7640000}"/>
    <cellStyle name="Input 2 13 2 5" xfId="25773" xr:uid="{00000000-0005-0000-0000-0000A8640000}"/>
    <cellStyle name="Input 2 13 3" xfId="25774" xr:uid="{00000000-0005-0000-0000-0000A9640000}"/>
    <cellStyle name="Input 2 13 4" xfId="25775" xr:uid="{00000000-0005-0000-0000-0000AA640000}"/>
    <cellStyle name="Input 2 13 5" xfId="25776" xr:uid="{00000000-0005-0000-0000-0000AB640000}"/>
    <cellStyle name="Input 2 13 6" xfId="25777" xr:uid="{00000000-0005-0000-0000-0000AC640000}"/>
    <cellStyle name="Input 2 14" xfId="25778" xr:uid="{00000000-0005-0000-0000-0000AD640000}"/>
    <cellStyle name="Input 2 14 2" xfId="25779" xr:uid="{00000000-0005-0000-0000-0000AE640000}"/>
    <cellStyle name="Input 2 14 2 2" xfId="25780" xr:uid="{00000000-0005-0000-0000-0000AF640000}"/>
    <cellStyle name="Input 2 14 2 3" xfId="25781" xr:uid="{00000000-0005-0000-0000-0000B0640000}"/>
    <cellStyle name="Input 2 14 2 4" xfId="25782" xr:uid="{00000000-0005-0000-0000-0000B1640000}"/>
    <cellStyle name="Input 2 14 2 5" xfId="25783" xr:uid="{00000000-0005-0000-0000-0000B2640000}"/>
    <cellStyle name="Input 2 14 3" xfId="25784" xr:uid="{00000000-0005-0000-0000-0000B3640000}"/>
    <cellStyle name="Input 2 14 4" xfId="25785" xr:uid="{00000000-0005-0000-0000-0000B4640000}"/>
    <cellStyle name="Input 2 14 5" xfId="25786" xr:uid="{00000000-0005-0000-0000-0000B5640000}"/>
    <cellStyle name="Input 2 14 6" xfId="25787" xr:uid="{00000000-0005-0000-0000-0000B6640000}"/>
    <cellStyle name="Input 2 15" xfId="25788" xr:uid="{00000000-0005-0000-0000-0000B7640000}"/>
    <cellStyle name="Input 2 15 2" xfId="25789" xr:uid="{00000000-0005-0000-0000-0000B8640000}"/>
    <cellStyle name="Input 2 15 2 2" xfId="25790" xr:uid="{00000000-0005-0000-0000-0000B9640000}"/>
    <cellStyle name="Input 2 15 2 3" xfId="25791" xr:uid="{00000000-0005-0000-0000-0000BA640000}"/>
    <cellStyle name="Input 2 15 2 4" xfId="25792" xr:uid="{00000000-0005-0000-0000-0000BB640000}"/>
    <cellStyle name="Input 2 15 2 5" xfId="25793" xr:uid="{00000000-0005-0000-0000-0000BC640000}"/>
    <cellStyle name="Input 2 15 3" xfId="25794" xr:uid="{00000000-0005-0000-0000-0000BD640000}"/>
    <cellStyle name="Input 2 15 4" xfId="25795" xr:uid="{00000000-0005-0000-0000-0000BE640000}"/>
    <cellStyle name="Input 2 15 5" xfId="25796" xr:uid="{00000000-0005-0000-0000-0000BF640000}"/>
    <cellStyle name="Input 2 15 6" xfId="25797" xr:uid="{00000000-0005-0000-0000-0000C0640000}"/>
    <cellStyle name="Input 2 16" xfId="25798" xr:uid="{00000000-0005-0000-0000-0000C1640000}"/>
    <cellStyle name="Input 2 16 2" xfId="25799" xr:uid="{00000000-0005-0000-0000-0000C2640000}"/>
    <cellStyle name="Input 2 16 2 2" xfId="25800" xr:uid="{00000000-0005-0000-0000-0000C3640000}"/>
    <cellStyle name="Input 2 16 2 3" xfId="25801" xr:uid="{00000000-0005-0000-0000-0000C4640000}"/>
    <cellStyle name="Input 2 16 2 4" xfId="25802" xr:uid="{00000000-0005-0000-0000-0000C5640000}"/>
    <cellStyle name="Input 2 16 2 5" xfId="25803" xr:uid="{00000000-0005-0000-0000-0000C6640000}"/>
    <cellStyle name="Input 2 16 3" xfId="25804" xr:uid="{00000000-0005-0000-0000-0000C7640000}"/>
    <cellStyle name="Input 2 16 4" xfId="25805" xr:uid="{00000000-0005-0000-0000-0000C8640000}"/>
    <cellStyle name="Input 2 16 5" xfId="25806" xr:uid="{00000000-0005-0000-0000-0000C9640000}"/>
    <cellStyle name="Input 2 16 6" xfId="25807" xr:uid="{00000000-0005-0000-0000-0000CA640000}"/>
    <cellStyle name="Input 2 17" xfId="25808" xr:uid="{00000000-0005-0000-0000-0000CB640000}"/>
    <cellStyle name="Input 2 17 2" xfId="25809" xr:uid="{00000000-0005-0000-0000-0000CC640000}"/>
    <cellStyle name="Input 2 17 2 2" xfId="25810" xr:uid="{00000000-0005-0000-0000-0000CD640000}"/>
    <cellStyle name="Input 2 17 2 3" xfId="25811" xr:uid="{00000000-0005-0000-0000-0000CE640000}"/>
    <cellStyle name="Input 2 17 2 4" xfId="25812" xr:uid="{00000000-0005-0000-0000-0000CF640000}"/>
    <cellStyle name="Input 2 17 2 5" xfId="25813" xr:uid="{00000000-0005-0000-0000-0000D0640000}"/>
    <cellStyle name="Input 2 17 3" xfId="25814" xr:uid="{00000000-0005-0000-0000-0000D1640000}"/>
    <cellStyle name="Input 2 17 4" xfId="25815" xr:uid="{00000000-0005-0000-0000-0000D2640000}"/>
    <cellStyle name="Input 2 17 5" xfId="25816" xr:uid="{00000000-0005-0000-0000-0000D3640000}"/>
    <cellStyle name="Input 2 17 6" xfId="25817" xr:uid="{00000000-0005-0000-0000-0000D4640000}"/>
    <cellStyle name="Input 2 18" xfId="25818" xr:uid="{00000000-0005-0000-0000-0000D5640000}"/>
    <cellStyle name="Input 2 18 2" xfId="25819" xr:uid="{00000000-0005-0000-0000-0000D6640000}"/>
    <cellStyle name="Input 2 18 2 2" xfId="25820" xr:uid="{00000000-0005-0000-0000-0000D7640000}"/>
    <cellStyle name="Input 2 18 2 3" xfId="25821" xr:uid="{00000000-0005-0000-0000-0000D8640000}"/>
    <cellStyle name="Input 2 18 2 4" xfId="25822" xr:uid="{00000000-0005-0000-0000-0000D9640000}"/>
    <cellStyle name="Input 2 18 2 5" xfId="25823" xr:uid="{00000000-0005-0000-0000-0000DA640000}"/>
    <cellStyle name="Input 2 18 3" xfId="25824" xr:uid="{00000000-0005-0000-0000-0000DB640000}"/>
    <cellStyle name="Input 2 18 4" xfId="25825" xr:uid="{00000000-0005-0000-0000-0000DC640000}"/>
    <cellStyle name="Input 2 18 5" xfId="25826" xr:uid="{00000000-0005-0000-0000-0000DD640000}"/>
    <cellStyle name="Input 2 18 6" xfId="25827" xr:uid="{00000000-0005-0000-0000-0000DE640000}"/>
    <cellStyle name="Input 2 19" xfId="25828" xr:uid="{00000000-0005-0000-0000-0000DF640000}"/>
    <cellStyle name="Input 2 19 2" xfId="25829" xr:uid="{00000000-0005-0000-0000-0000E0640000}"/>
    <cellStyle name="Input 2 19 2 2" xfId="25830" xr:uid="{00000000-0005-0000-0000-0000E1640000}"/>
    <cellStyle name="Input 2 19 2 3" xfId="25831" xr:uid="{00000000-0005-0000-0000-0000E2640000}"/>
    <cellStyle name="Input 2 19 2 4" xfId="25832" xr:uid="{00000000-0005-0000-0000-0000E3640000}"/>
    <cellStyle name="Input 2 19 2 5" xfId="25833" xr:uid="{00000000-0005-0000-0000-0000E4640000}"/>
    <cellStyle name="Input 2 19 3" xfId="25834" xr:uid="{00000000-0005-0000-0000-0000E5640000}"/>
    <cellStyle name="Input 2 19 4" xfId="25835" xr:uid="{00000000-0005-0000-0000-0000E6640000}"/>
    <cellStyle name="Input 2 19 5" xfId="25836" xr:uid="{00000000-0005-0000-0000-0000E7640000}"/>
    <cellStyle name="Input 2 19 6" xfId="25837" xr:uid="{00000000-0005-0000-0000-0000E8640000}"/>
    <cellStyle name="Input 2 2" xfId="25838" xr:uid="{00000000-0005-0000-0000-0000E9640000}"/>
    <cellStyle name="Input 2 2 2" xfId="25839" xr:uid="{00000000-0005-0000-0000-0000EA640000}"/>
    <cellStyle name="Input 2 2 2 2" xfId="25840" xr:uid="{00000000-0005-0000-0000-0000EB640000}"/>
    <cellStyle name="Input 2 2 2 2 2" xfId="25841" xr:uid="{00000000-0005-0000-0000-0000EC640000}"/>
    <cellStyle name="Input 2 2 2 2 3" xfId="25842" xr:uid="{00000000-0005-0000-0000-0000ED640000}"/>
    <cellStyle name="Input 2 2 2 2 4" xfId="25843" xr:uid="{00000000-0005-0000-0000-0000EE640000}"/>
    <cellStyle name="Input 2 2 2 2 5" xfId="25844" xr:uid="{00000000-0005-0000-0000-0000EF640000}"/>
    <cellStyle name="Input 2 2 2 3" xfId="25845" xr:uid="{00000000-0005-0000-0000-0000F0640000}"/>
    <cellStyle name="Input 2 2 2 4" xfId="25846" xr:uid="{00000000-0005-0000-0000-0000F1640000}"/>
    <cellStyle name="Input 2 2 2 5" xfId="25847" xr:uid="{00000000-0005-0000-0000-0000F2640000}"/>
    <cellStyle name="Input 2 2 2 6" xfId="25848" xr:uid="{00000000-0005-0000-0000-0000F3640000}"/>
    <cellStyle name="Input 2 2 2 7" xfId="25849" xr:uid="{00000000-0005-0000-0000-0000F4640000}"/>
    <cellStyle name="Input 2 2 3" xfId="25850" xr:uid="{00000000-0005-0000-0000-0000F5640000}"/>
    <cellStyle name="Input 2 2 4" xfId="25851" xr:uid="{00000000-0005-0000-0000-0000F6640000}"/>
    <cellStyle name="Input 2 2 5" xfId="25852" xr:uid="{00000000-0005-0000-0000-0000F7640000}"/>
    <cellStyle name="Input 2 2 6" xfId="25853" xr:uid="{00000000-0005-0000-0000-0000F8640000}"/>
    <cellStyle name="Input 2 20" xfId="25854" xr:uid="{00000000-0005-0000-0000-0000F9640000}"/>
    <cellStyle name="Input 2 20 2" xfId="25855" xr:uid="{00000000-0005-0000-0000-0000FA640000}"/>
    <cellStyle name="Input 2 20 2 2" xfId="25856" xr:uid="{00000000-0005-0000-0000-0000FB640000}"/>
    <cellStyle name="Input 2 20 2 3" xfId="25857" xr:uid="{00000000-0005-0000-0000-0000FC640000}"/>
    <cellStyle name="Input 2 20 2 4" xfId="25858" xr:uid="{00000000-0005-0000-0000-0000FD640000}"/>
    <cellStyle name="Input 2 20 2 5" xfId="25859" xr:uid="{00000000-0005-0000-0000-0000FE640000}"/>
    <cellStyle name="Input 2 20 3" xfId="25860" xr:uid="{00000000-0005-0000-0000-0000FF640000}"/>
    <cellStyle name="Input 2 20 4" xfId="25861" xr:uid="{00000000-0005-0000-0000-000000650000}"/>
    <cellStyle name="Input 2 20 5" xfId="25862" xr:uid="{00000000-0005-0000-0000-000001650000}"/>
    <cellStyle name="Input 2 20 6" xfId="25863" xr:uid="{00000000-0005-0000-0000-000002650000}"/>
    <cellStyle name="Input 2 21" xfId="25864" xr:uid="{00000000-0005-0000-0000-000003650000}"/>
    <cellStyle name="Input 2 21 2" xfId="25865" xr:uid="{00000000-0005-0000-0000-000004650000}"/>
    <cellStyle name="Input 2 21 2 2" xfId="25866" xr:uid="{00000000-0005-0000-0000-000005650000}"/>
    <cellStyle name="Input 2 21 2 3" xfId="25867" xr:uid="{00000000-0005-0000-0000-000006650000}"/>
    <cellStyle name="Input 2 21 2 4" xfId="25868" xr:uid="{00000000-0005-0000-0000-000007650000}"/>
    <cellStyle name="Input 2 21 2 5" xfId="25869" xr:uid="{00000000-0005-0000-0000-000008650000}"/>
    <cellStyle name="Input 2 21 3" xfId="25870" xr:uid="{00000000-0005-0000-0000-000009650000}"/>
    <cellStyle name="Input 2 21 4" xfId="25871" xr:uid="{00000000-0005-0000-0000-00000A650000}"/>
    <cellStyle name="Input 2 21 5" xfId="25872" xr:uid="{00000000-0005-0000-0000-00000B650000}"/>
    <cellStyle name="Input 2 21 6" xfId="25873" xr:uid="{00000000-0005-0000-0000-00000C650000}"/>
    <cellStyle name="Input 2 22" xfId="25874" xr:uid="{00000000-0005-0000-0000-00000D650000}"/>
    <cellStyle name="Input 2 22 2" xfId="25875" xr:uid="{00000000-0005-0000-0000-00000E650000}"/>
    <cellStyle name="Input 2 22 2 2" xfId="25876" xr:uid="{00000000-0005-0000-0000-00000F650000}"/>
    <cellStyle name="Input 2 22 2 3" xfId="25877" xr:uid="{00000000-0005-0000-0000-000010650000}"/>
    <cellStyle name="Input 2 22 2 4" xfId="25878" xr:uid="{00000000-0005-0000-0000-000011650000}"/>
    <cellStyle name="Input 2 22 2 5" xfId="25879" xr:uid="{00000000-0005-0000-0000-000012650000}"/>
    <cellStyle name="Input 2 22 3" xfId="25880" xr:uid="{00000000-0005-0000-0000-000013650000}"/>
    <cellStyle name="Input 2 22 4" xfId="25881" xr:uid="{00000000-0005-0000-0000-000014650000}"/>
    <cellStyle name="Input 2 22 5" xfId="25882" xr:uid="{00000000-0005-0000-0000-000015650000}"/>
    <cellStyle name="Input 2 22 6" xfId="25883" xr:uid="{00000000-0005-0000-0000-000016650000}"/>
    <cellStyle name="Input 2 23" xfId="25884" xr:uid="{00000000-0005-0000-0000-000017650000}"/>
    <cellStyle name="Input 2 23 2" xfId="25885" xr:uid="{00000000-0005-0000-0000-000018650000}"/>
    <cellStyle name="Input 2 23 2 2" xfId="25886" xr:uid="{00000000-0005-0000-0000-000019650000}"/>
    <cellStyle name="Input 2 23 2 3" xfId="25887" xr:uid="{00000000-0005-0000-0000-00001A650000}"/>
    <cellStyle name="Input 2 23 2 4" xfId="25888" xr:uid="{00000000-0005-0000-0000-00001B650000}"/>
    <cellStyle name="Input 2 23 2 5" xfId="25889" xr:uid="{00000000-0005-0000-0000-00001C650000}"/>
    <cellStyle name="Input 2 23 3" xfId="25890" xr:uid="{00000000-0005-0000-0000-00001D650000}"/>
    <cellStyle name="Input 2 23 4" xfId="25891" xr:uid="{00000000-0005-0000-0000-00001E650000}"/>
    <cellStyle name="Input 2 23 5" xfId="25892" xr:uid="{00000000-0005-0000-0000-00001F650000}"/>
    <cellStyle name="Input 2 23 6" xfId="25893" xr:uid="{00000000-0005-0000-0000-000020650000}"/>
    <cellStyle name="Input 2 24" xfId="25894" xr:uid="{00000000-0005-0000-0000-000021650000}"/>
    <cellStyle name="Input 2 24 2" xfId="25895" xr:uid="{00000000-0005-0000-0000-000022650000}"/>
    <cellStyle name="Input 2 24 2 2" xfId="25896" xr:uid="{00000000-0005-0000-0000-000023650000}"/>
    <cellStyle name="Input 2 24 2 3" xfId="25897" xr:uid="{00000000-0005-0000-0000-000024650000}"/>
    <cellStyle name="Input 2 24 2 4" xfId="25898" xr:uid="{00000000-0005-0000-0000-000025650000}"/>
    <cellStyle name="Input 2 24 2 5" xfId="25899" xr:uid="{00000000-0005-0000-0000-000026650000}"/>
    <cellStyle name="Input 2 24 3" xfId="25900" xr:uid="{00000000-0005-0000-0000-000027650000}"/>
    <cellStyle name="Input 2 24 4" xfId="25901" xr:uid="{00000000-0005-0000-0000-000028650000}"/>
    <cellStyle name="Input 2 24 5" xfId="25902" xr:uid="{00000000-0005-0000-0000-000029650000}"/>
    <cellStyle name="Input 2 24 6" xfId="25903" xr:uid="{00000000-0005-0000-0000-00002A650000}"/>
    <cellStyle name="Input 2 25" xfId="25904" xr:uid="{00000000-0005-0000-0000-00002B650000}"/>
    <cellStyle name="Input 2 25 2" xfId="25905" xr:uid="{00000000-0005-0000-0000-00002C650000}"/>
    <cellStyle name="Input 2 25 2 2" xfId="25906" xr:uid="{00000000-0005-0000-0000-00002D650000}"/>
    <cellStyle name="Input 2 25 2 3" xfId="25907" xr:uid="{00000000-0005-0000-0000-00002E650000}"/>
    <cellStyle name="Input 2 25 2 4" xfId="25908" xr:uid="{00000000-0005-0000-0000-00002F650000}"/>
    <cellStyle name="Input 2 25 2 5" xfId="25909" xr:uid="{00000000-0005-0000-0000-000030650000}"/>
    <cellStyle name="Input 2 25 3" xfId="25910" xr:uid="{00000000-0005-0000-0000-000031650000}"/>
    <cellStyle name="Input 2 25 4" xfId="25911" xr:uid="{00000000-0005-0000-0000-000032650000}"/>
    <cellStyle name="Input 2 25 5" xfId="25912" xr:uid="{00000000-0005-0000-0000-000033650000}"/>
    <cellStyle name="Input 2 25 6" xfId="25913" xr:uid="{00000000-0005-0000-0000-000034650000}"/>
    <cellStyle name="Input 2 26" xfId="25914" xr:uid="{00000000-0005-0000-0000-000035650000}"/>
    <cellStyle name="Input 2 26 2" xfId="25915" xr:uid="{00000000-0005-0000-0000-000036650000}"/>
    <cellStyle name="Input 2 26 2 2" xfId="25916" xr:uid="{00000000-0005-0000-0000-000037650000}"/>
    <cellStyle name="Input 2 26 2 3" xfId="25917" xr:uid="{00000000-0005-0000-0000-000038650000}"/>
    <cellStyle name="Input 2 26 2 4" xfId="25918" xr:uid="{00000000-0005-0000-0000-000039650000}"/>
    <cellStyle name="Input 2 26 2 5" xfId="25919" xr:uid="{00000000-0005-0000-0000-00003A650000}"/>
    <cellStyle name="Input 2 26 3" xfId="25920" xr:uid="{00000000-0005-0000-0000-00003B650000}"/>
    <cellStyle name="Input 2 26 4" xfId="25921" xr:uid="{00000000-0005-0000-0000-00003C650000}"/>
    <cellStyle name="Input 2 26 5" xfId="25922" xr:uid="{00000000-0005-0000-0000-00003D650000}"/>
    <cellStyle name="Input 2 26 6" xfId="25923" xr:uid="{00000000-0005-0000-0000-00003E650000}"/>
    <cellStyle name="Input 2 27" xfId="25924" xr:uid="{00000000-0005-0000-0000-00003F650000}"/>
    <cellStyle name="Input 2 27 2" xfId="25925" xr:uid="{00000000-0005-0000-0000-000040650000}"/>
    <cellStyle name="Input 2 27 2 2" xfId="25926" xr:uid="{00000000-0005-0000-0000-000041650000}"/>
    <cellStyle name="Input 2 27 2 3" xfId="25927" xr:uid="{00000000-0005-0000-0000-000042650000}"/>
    <cellStyle name="Input 2 27 2 4" xfId="25928" xr:uid="{00000000-0005-0000-0000-000043650000}"/>
    <cellStyle name="Input 2 27 2 5" xfId="25929" xr:uid="{00000000-0005-0000-0000-000044650000}"/>
    <cellStyle name="Input 2 27 3" xfId="25930" xr:uid="{00000000-0005-0000-0000-000045650000}"/>
    <cellStyle name="Input 2 27 4" xfId="25931" xr:uid="{00000000-0005-0000-0000-000046650000}"/>
    <cellStyle name="Input 2 27 5" xfId="25932" xr:uid="{00000000-0005-0000-0000-000047650000}"/>
    <cellStyle name="Input 2 27 6" xfId="25933" xr:uid="{00000000-0005-0000-0000-000048650000}"/>
    <cellStyle name="Input 2 28" xfId="25934" xr:uid="{00000000-0005-0000-0000-000049650000}"/>
    <cellStyle name="Input 2 28 2" xfId="25935" xr:uid="{00000000-0005-0000-0000-00004A650000}"/>
    <cellStyle name="Input 2 28 2 2" xfId="25936" xr:uid="{00000000-0005-0000-0000-00004B650000}"/>
    <cellStyle name="Input 2 28 2 3" xfId="25937" xr:uid="{00000000-0005-0000-0000-00004C650000}"/>
    <cellStyle name="Input 2 28 2 4" xfId="25938" xr:uid="{00000000-0005-0000-0000-00004D650000}"/>
    <cellStyle name="Input 2 28 2 5" xfId="25939" xr:uid="{00000000-0005-0000-0000-00004E650000}"/>
    <cellStyle name="Input 2 28 3" xfId="25940" xr:uid="{00000000-0005-0000-0000-00004F650000}"/>
    <cellStyle name="Input 2 28 4" xfId="25941" xr:uid="{00000000-0005-0000-0000-000050650000}"/>
    <cellStyle name="Input 2 28 5" xfId="25942" xr:uid="{00000000-0005-0000-0000-000051650000}"/>
    <cellStyle name="Input 2 28 6" xfId="25943" xr:uid="{00000000-0005-0000-0000-000052650000}"/>
    <cellStyle name="Input 2 29" xfId="25944" xr:uid="{00000000-0005-0000-0000-000053650000}"/>
    <cellStyle name="Input 2 29 2" xfId="25945" xr:uid="{00000000-0005-0000-0000-000054650000}"/>
    <cellStyle name="Input 2 29 2 2" xfId="25946" xr:uid="{00000000-0005-0000-0000-000055650000}"/>
    <cellStyle name="Input 2 29 2 3" xfId="25947" xr:uid="{00000000-0005-0000-0000-000056650000}"/>
    <cellStyle name="Input 2 29 2 4" xfId="25948" xr:uid="{00000000-0005-0000-0000-000057650000}"/>
    <cellStyle name="Input 2 29 2 5" xfId="25949" xr:uid="{00000000-0005-0000-0000-000058650000}"/>
    <cellStyle name="Input 2 29 3" xfId="25950" xr:uid="{00000000-0005-0000-0000-000059650000}"/>
    <cellStyle name="Input 2 29 4" xfId="25951" xr:uid="{00000000-0005-0000-0000-00005A650000}"/>
    <cellStyle name="Input 2 29 5" xfId="25952" xr:uid="{00000000-0005-0000-0000-00005B650000}"/>
    <cellStyle name="Input 2 29 6" xfId="25953" xr:uid="{00000000-0005-0000-0000-00005C650000}"/>
    <cellStyle name="Input 2 3" xfId="25954" xr:uid="{00000000-0005-0000-0000-00005D650000}"/>
    <cellStyle name="Input 2 3 10" xfId="25955" xr:uid="{00000000-0005-0000-0000-00005E650000}"/>
    <cellStyle name="Input 2 3 11" xfId="25956" xr:uid="{00000000-0005-0000-0000-00005F650000}"/>
    <cellStyle name="Input 2 3 12" xfId="25957" xr:uid="{00000000-0005-0000-0000-000060650000}"/>
    <cellStyle name="Input 2 3 13" xfId="25958" xr:uid="{00000000-0005-0000-0000-000061650000}"/>
    <cellStyle name="Input 2 3 2" xfId="25959" xr:uid="{00000000-0005-0000-0000-000062650000}"/>
    <cellStyle name="Input 2 3 2 10" xfId="25960" xr:uid="{00000000-0005-0000-0000-000063650000}"/>
    <cellStyle name="Input 2 3 2 10 2" xfId="25961" xr:uid="{00000000-0005-0000-0000-000064650000}"/>
    <cellStyle name="Input 2 3 2 10 3" xfId="25962" xr:uid="{00000000-0005-0000-0000-000065650000}"/>
    <cellStyle name="Input 2 3 2 10 4" xfId="25963" xr:uid="{00000000-0005-0000-0000-000066650000}"/>
    <cellStyle name="Input 2 3 2 10 5" xfId="25964" xr:uid="{00000000-0005-0000-0000-000067650000}"/>
    <cellStyle name="Input 2 3 2 10 6" xfId="25965" xr:uid="{00000000-0005-0000-0000-000068650000}"/>
    <cellStyle name="Input 2 3 2 11" xfId="25966" xr:uid="{00000000-0005-0000-0000-000069650000}"/>
    <cellStyle name="Input 2 3 2 12" xfId="25967" xr:uid="{00000000-0005-0000-0000-00006A650000}"/>
    <cellStyle name="Input 2 3 2 13" xfId="25968" xr:uid="{00000000-0005-0000-0000-00006B650000}"/>
    <cellStyle name="Input 2 3 2 14" xfId="25969" xr:uid="{00000000-0005-0000-0000-00006C650000}"/>
    <cellStyle name="Input 2 3 2 2" xfId="25970" xr:uid="{00000000-0005-0000-0000-00006D650000}"/>
    <cellStyle name="Input 2 3 2 2 10" xfId="25971" xr:uid="{00000000-0005-0000-0000-00006E650000}"/>
    <cellStyle name="Input 2 3 2 2 11" xfId="25972" xr:uid="{00000000-0005-0000-0000-00006F650000}"/>
    <cellStyle name="Input 2 3 2 2 12" xfId="25973" xr:uid="{00000000-0005-0000-0000-000070650000}"/>
    <cellStyle name="Input 2 3 2 2 13" xfId="25974" xr:uid="{00000000-0005-0000-0000-000071650000}"/>
    <cellStyle name="Input 2 3 2 2 2" xfId="25975" xr:uid="{00000000-0005-0000-0000-000072650000}"/>
    <cellStyle name="Input 2 3 2 2 2 2" xfId="25976" xr:uid="{00000000-0005-0000-0000-000073650000}"/>
    <cellStyle name="Input 2 3 2 2 2 2 2" xfId="25977" xr:uid="{00000000-0005-0000-0000-000074650000}"/>
    <cellStyle name="Input 2 3 2 2 2 2 2 2" xfId="25978" xr:uid="{00000000-0005-0000-0000-000075650000}"/>
    <cellStyle name="Input 2 3 2 2 2 2 2 3" xfId="25979" xr:uid="{00000000-0005-0000-0000-000076650000}"/>
    <cellStyle name="Input 2 3 2 2 2 2 2 4" xfId="25980" xr:uid="{00000000-0005-0000-0000-000077650000}"/>
    <cellStyle name="Input 2 3 2 2 2 2 2 5" xfId="25981" xr:uid="{00000000-0005-0000-0000-000078650000}"/>
    <cellStyle name="Input 2 3 2 2 2 2 2 6" xfId="25982" xr:uid="{00000000-0005-0000-0000-000079650000}"/>
    <cellStyle name="Input 2 3 2 2 2 2 3" xfId="25983" xr:uid="{00000000-0005-0000-0000-00007A650000}"/>
    <cellStyle name="Input 2 3 2 2 2 2 4" xfId="25984" xr:uid="{00000000-0005-0000-0000-00007B650000}"/>
    <cellStyle name="Input 2 3 2 2 2 2 5" xfId="25985" xr:uid="{00000000-0005-0000-0000-00007C650000}"/>
    <cellStyle name="Input 2 3 2 2 2 2 6" xfId="25986" xr:uid="{00000000-0005-0000-0000-00007D650000}"/>
    <cellStyle name="Input 2 3 2 2 2 3" xfId="25987" xr:uid="{00000000-0005-0000-0000-00007E650000}"/>
    <cellStyle name="Input 2 3 2 2 2 3 2" xfId="25988" xr:uid="{00000000-0005-0000-0000-00007F650000}"/>
    <cellStyle name="Input 2 3 2 2 2 3 2 2" xfId="25989" xr:uid="{00000000-0005-0000-0000-000080650000}"/>
    <cellStyle name="Input 2 3 2 2 2 3 2 3" xfId="25990" xr:uid="{00000000-0005-0000-0000-000081650000}"/>
    <cellStyle name="Input 2 3 2 2 2 3 2 4" xfId="25991" xr:uid="{00000000-0005-0000-0000-000082650000}"/>
    <cellStyle name="Input 2 3 2 2 2 3 2 5" xfId="25992" xr:uid="{00000000-0005-0000-0000-000083650000}"/>
    <cellStyle name="Input 2 3 2 2 2 3 2 6" xfId="25993" xr:uid="{00000000-0005-0000-0000-000084650000}"/>
    <cellStyle name="Input 2 3 2 2 2 3 3" xfId="25994" xr:uid="{00000000-0005-0000-0000-000085650000}"/>
    <cellStyle name="Input 2 3 2 2 2 3 4" xfId="25995" xr:uid="{00000000-0005-0000-0000-000086650000}"/>
    <cellStyle name="Input 2 3 2 2 2 3 5" xfId="25996" xr:uid="{00000000-0005-0000-0000-000087650000}"/>
    <cellStyle name="Input 2 3 2 2 2 3 6" xfId="25997" xr:uid="{00000000-0005-0000-0000-000088650000}"/>
    <cellStyle name="Input 2 3 2 2 2 4" xfId="25998" xr:uid="{00000000-0005-0000-0000-000089650000}"/>
    <cellStyle name="Input 2 3 2 2 2 4 2" xfId="25999" xr:uid="{00000000-0005-0000-0000-00008A650000}"/>
    <cellStyle name="Input 2 3 2 2 2 4 3" xfId="26000" xr:uid="{00000000-0005-0000-0000-00008B650000}"/>
    <cellStyle name="Input 2 3 2 2 2 4 4" xfId="26001" xr:uid="{00000000-0005-0000-0000-00008C650000}"/>
    <cellStyle name="Input 2 3 2 2 2 4 5" xfId="26002" xr:uid="{00000000-0005-0000-0000-00008D650000}"/>
    <cellStyle name="Input 2 3 2 2 2 4 6" xfId="26003" xr:uid="{00000000-0005-0000-0000-00008E650000}"/>
    <cellStyle name="Input 2 3 2 2 2 5" xfId="26004" xr:uid="{00000000-0005-0000-0000-00008F650000}"/>
    <cellStyle name="Input 2 3 2 2 2 6" xfId="26005" xr:uid="{00000000-0005-0000-0000-000090650000}"/>
    <cellStyle name="Input 2 3 2 2 2 7" xfId="26006" xr:uid="{00000000-0005-0000-0000-000091650000}"/>
    <cellStyle name="Input 2 3 2 2 2 8" xfId="26007" xr:uid="{00000000-0005-0000-0000-000092650000}"/>
    <cellStyle name="Input 2 3 2 2 3" xfId="26008" xr:uid="{00000000-0005-0000-0000-000093650000}"/>
    <cellStyle name="Input 2 3 2 2 3 2" xfId="26009" xr:uid="{00000000-0005-0000-0000-000094650000}"/>
    <cellStyle name="Input 2 3 2 2 3 2 2" xfId="26010" xr:uid="{00000000-0005-0000-0000-000095650000}"/>
    <cellStyle name="Input 2 3 2 2 3 2 2 2" xfId="26011" xr:uid="{00000000-0005-0000-0000-000096650000}"/>
    <cellStyle name="Input 2 3 2 2 3 2 2 3" xfId="26012" xr:uid="{00000000-0005-0000-0000-000097650000}"/>
    <cellStyle name="Input 2 3 2 2 3 2 2 4" xfId="26013" xr:uid="{00000000-0005-0000-0000-000098650000}"/>
    <cellStyle name="Input 2 3 2 2 3 2 2 5" xfId="26014" xr:uid="{00000000-0005-0000-0000-000099650000}"/>
    <cellStyle name="Input 2 3 2 2 3 2 2 6" xfId="26015" xr:uid="{00000000-0005-0000-0000-00009A650000}"/>
    <cellStyle name="Input 2 3 2 2 3 2 3" xfId="26016" xr:uid="{00000000-0005-0000-0000-00009B650000}"/>
    <cellStyle name="Input 2 3 2 2 3 2 4" xfId="26017" xr:uid="{00000000-0005-0000-0000-00009C650000}"/>
    <cellStyle name="Input 2 3 2 2 3 2 5" xfId="26018" xr:uid="{00000000-0005-0000-0000-00009D650000}"/>
    <cellStyle name="Input 2 3 2 2 3 2 6" xfId="26019" xr:uid="{00000000-0005-0000-0000-00009E650000}"/>
    <cellStyle name="Input 2 3 2 2 3 3" xfId="26020" xr:uid="{00000000-0005-0000-0000-00009F650000}"/>
    <cellStyle name="Input 2 3 2 2 3 3 2" xfId="26021" xr:uid="{00000000-0005-0000-0000-0000A0650000}"/>
    <cellStyle name="Input 2 3 2 2 3 3 2 2" xfId="26022" xr:uid="{00000000-0005-0000-0000-0000A1650000}"/>
    <cellStyle name="Input 2 3 2 2 3 3 2 3" xfId="26023" xr:uid="{00000000-0005-0000-0000-0000A2650000}"/>
    <cellStyle name="Input 2 3 2 2 3 3 2 4" xfId="26024" xr:uid="{00000000-0005-0000-0000-0000A3650000}"/>
    <cellStyle name="Input 2 3 2 2 3 3 2 5" xfId="26025" xr:uid="{00000000-0005-0000-0000-0000A4650000}"/>
    <cellStyle name="Input 2 3 2 2 3 3 2 6" xfId="26026" xr:uid="{00000000-0005-0000-0000-0000A5650000}"/>
    <cellStyle name="Input 2 3 2 2 3 3 3" xfId="26027" xr:uid="{00000000-0005-0000-0000-0000A6650000}"/>
    <cellStyle name="Input 2 3 2 2 3 3 4" xfId="26028" xr:uid="{00000000-0005-0000-0000-0000A7650000}"/>
    <cellStyle name="Input 2 3 2 2 3 3 5" xfId="26029" xr:uid="{00000000-0005-0000-0000-0000A8650000}"/>
    <cellStyle name="Input 2 3 2 2 3 3 6" xfId="26030" xr:uid="{00000000-0005-0000-0000-0000A9650000}"/>
    <cellStyle name="Input 2 3 2 2 3 4" xfId="26031" xr:uid="{00000000-0005-0000-0000-0000AA650000}"/>
    <cellStyle name="Input 2 3 2 2 3 4 2" xfId="26032" xr:uid="{00000000-0005-0000-0000-0000AB650000}"/>
    <cellStyle name="Input 2 3 2 2 3 4 3" xfId="26033" xr:uid="{00000000-0005-0000-0000-0000AC650000}"/>
    <cellStyle name="Input 2 3 2 2 3 4 4" xfId="26034" xr:uid="{00000000-0005-0000-0000-0000AD650000}"/>
    <cellStyle name="Input 2 3 2 2 3 4 5" xfId="26035" xr:uid="{00000000-0005-0000-0000-0000AE650000}"/>
    <cellStyle name="Input 2 3 2 2 3 4 6" xfId="26036" xr:uid="{00000000-0005-0000-0000-0000AF650000}"/>
    <cellStyle name="Input 2 3 2 2 3 5" xfId="26037" xr:uid="{00000000-0005-0000-0000-0000B0650000}"/>
    <cellStyle name="Input 2 3 2 2 3 6" xfId="26038" xr:uid="{00000000-0005-0000-0000-0000B1650000}"/>
    <cellStyle name="Input 2 3 2 2 3 7" xfId="26039" xr:uid="{00000000-0005-0000-0000-0000B2650000}"/>
    <cellStyle name="Input 2 3 2 2 3 8" xfId="26040" xr:uid="{00000000-0005-0000-0000-0000B3650000}"/>
    <cellStyle name="Input 2 3 2 2 4" xfId="26041" xr:uid="{00000000-0005-0000-0000-0000B4650000}"/>
    <cellStyle name="Input 2 3 2 2 4 2" xfId="26042" xr:uid="{00000000-0005-0000-0000-0000B5650000}"/>
    <cellStyle name="Input 2 3 2 2 4 2 2" xfId="26043" xr:uid="{00000000-0005-0000-0000-0000B6650000}"/>
    <cellStyle name="Input 2 3 2 2 4 2 2 2" xfId="26044" xr:uid="{00000000-0005-0000-0000-0000B7650000}"/>
    <cellStyle name="Input 2 3 2 2 4 2 2 3" xfId="26045" xr:uid="{00000000-0005-0000-0000-0000B8650000}"/>
    <cellStyle name="Input 2 3 2 2 4 2 2 4" xfId="26046" xr:uid="{00000000-0005-0000-0000-0000B9650000}"/>
    <cellStyle name="Input 2 3 2 2 4 2 2 5" xfId="26047" xr:uid="{00000000-0005-0000-0000-0000BA650000}"/>
    <cellStyle name="Input 2 3 2 2 4 2 2 6" xfId="26048" xr:uid="{00000000-0005-0000-0000-0000BB650000}"/>
    <cellStyle name="Input 2 3 2 2 4 2 3" xfId="26049" xr:uid="{00000000-0005-0000-0000-0000BC650000}"/>
    <cellStyle name="Input 2 3 2 2 4 2 4" xfId="26050" xr:uid="{00000000-0005-0000-0000-0000BD650000}"/>
    <cellStyle name="Input 2 3 2 2 4 2 5" xfId="26051" xr:uid="{00000000-0005-0000-0000-0000BE650000}"/>
    <cellStyle name="Input 2 3 2 2 4 2 6" xfId="26052" xr:uid="{00000000-0005-0000-0000-0000BF650000}"/>
    <cellStyle name="Input 2 3 2 2 4 3" xfId="26053" xr:uid="{00000000-0005-0000-0000-0000C0650000}"/>
    <cellStyle name="Input 2 3 2 2 4 3 2" xfId="26054" xr:uid="{00000000-0005-0000-0000-0000C1650000}"/>
    <cellStyle name="Input 2 3 2 2 4 3 2 2" xfId="26055" xr:uid="{00000000-0005-0000-0000-0000C2650000}"/>
    <cellStyle name="Input 2 3 2 2 4 3 2 3" xfId="26056" xr:uid="{00000000-0005-0000-0000-0000C3650000}"/>
    <cellStyle name="Input 2 3 2 2 4 3 2 4" xfId="26057" xr:uid="{00000000-0005-0000-0000-0000C4650000}"/>
    <cellStyle name="Input 2 3 2 2 4 3 2 5" xfId="26058" xr:uid="{00000000-0005-0000-0000-0000C5650000}"/>
    <cellStyle name="Input 2 3 2 2 4 3 2 6" xfId="26059" xr:uid="{00000000-0005-0000-0000-0000C6650000}"/>
    <cellStyle name="Input 2 3 2 2 4 3 3" xfId="26060" xr:uid="{00000000-0005-0000-0000-0000C7650000}"/>
    <cellStyle name="Input 2 3 2 2 4 3 4" xfId="26061" xr:uid="{00000000-0005-0000-0000-0000C8650000}"/>
    <cellStyle name="Input 2 3 2 2 4 3 5" xfId="26062" xr:uid="{00000000-0005-0000-0000-0000C9650000}"/>
    <cellStyle name="Input 2 3 2 2 4 3 6" xfId="26063" xr:uid="{00000000-0005-0000-0000-0000CA650000}"/>
    <cellStyle name="Input 2 3 2 2 4 4" xfId="26064" xr:uid="{00000000-0005-0000-0000-0000CB650000}"/>
    <cellStyle name="Input 2 3 2 2 4 4 2" xfId="26065" xr:uid="{00000000-0005-0000-0000-0000CC650000}"/>
    <cellStyle name="Input 2 3 2 2 4 4 3" xfId="26066" xr:uid="{00000000-0005-0000-0000-0000CD650000}"/>
    <cellStyle name="Input 2 3 2 2 4 4 4" xfId="26067" xr:uid="{00000000-0005-0000-0000-0000CE650000}"/>
    <cellStyle name="Input 2 3 2 2 4 4 5" xfId="26068" xr:uid="{00000000-0005-0000-0000-0000CF650000}"/>
    <cellStyle name="Input 2 3 2 2 4 4 6" xfId="26069" xr:uid="{00000000-0005-0000-0000-0000D0650000}"/>
    <cellStyle name="Input 2 3 2 2 4 5" xfId="26070" xr:uid="{00000000-0005-0000-0000-0000D1650000}"/>
    <cellStyle name="Input 2 3 2 2 4 6" xfId="26071" xr:uid="{00000000-0005-0000-0000-0000D2650000}"/>
    <cellStyle name="Input 2 3 2 2 4 7" xfId="26072" xr:uid="{00000000-0005-0000-0000-0000D3650000}"/>
    <cellStyle name="Input 2 3 2 2 4 8" xfId="26073" xr:uid="{00000000-0005-0000-0000-0000D4650000}"/>
    <cellStyle name="Input 2 3 2 2 5" xfId="26074" xr:uid="{00000000-0005-0000-0000-0000D5650000}"/>
    <cellStyle name="Input 2 3 2 2 5 2" xfId="26075" xr:uid="{00000000-0005-0000-0000-0000D6650000}"/>
    <cellStyle name="Input 2 3 2 2 5 2 2" xfId="26076" xr:uid="{00000000-0005-0000-0000-0000D7650000}"/>
    <cellStyle name="Input 2 3 2 2 5 2 2 2" xfId="26077" xr:uid="{00000000-0005-0000-0000-0000D8650000}"/>
    <cellStyle name="Input 2 3 2 2 5 2 2 3" xfId="26078" xr:uid="{00000000-0005-0000-0000-0000D9650000}"/>
    <cellStyle name="Input 2 3 2 2 5 2 2 4" xfId="26079" xr:uid="{00000000-0005-0000-0000-0000DA650000}"/>
    <cellStyle name="Input 2 3 2 2 5 2 2 5" xfId="26080" xr:uid="{00000000-0005-0000-0000-0000DB650000}"/>
    <cellStyle name="Input 2 3 2 2 5 2 2 6" xfId="26081" xr:uid="{00000000-0005-0000-0000-0000DC650000}"/>
    <cellStyle name="Input 2 3 2 2 5 2 3" xfId="26082" xr:uid="{00000000-0005-0000-0000-0000DD650000}"/>
    <cellStyle name="Input 2 3 2 2 5 2 4" xfId="26083" xr:uid="{00000000-0005-0000-0000-0000DE650000}"/>
    <cellStyle name="Input 2 3 2 2 5 2 5" xfId="26084" xr:uid="{00000000-0005-0000-0000-0000DF650000}"/>
    <cellStyle name="Input 2 3 2 2 5 2 6" xfId="26085" xr:uid="{00000000-0005-0000-0000-0000E0650000}"/>
    <cellStyle name="Input 2 3 2 2 5 3" xfId="26086" xr:uid="{00000000-0005-0000-0000-0000E1650000}"/>
    <cellStyle name="Input 2 3 2 2 5 3 2" xfId="26087" xr:uid="{00000000-0005-0000-0000-0000E2650000}"/>
    <cellStyle name="Input 2 3 2 2 5 3 2 2" xfId="26088" xr:uid="{00000000-0005-0000-0000-0000E3650000}"/>
    <cellStyle name="Input 2 3 2 2 5 3 2 3" xfId="26089" xr:uid="{00000000-0005-0000-0000-0000E4650000}"/>
    <cellStyle name="Input 2 3 2 2 5 3 2 4" xfId="26090" xr:uid="{00000000-0005-0000-0000-0000E5650000}"/>
    <cellStyle name="Input 2 3 2 2 5 3 2 5" xfId="26091" xr:uid="{00000000-0005-0000-0000-0000E6650000}"/>
    <cellStyle name="Input 2 3 2 2 5 3 2 6" xfId="26092" xr:uid="{00000000-0005-0000-0000-0000E7650000}"/>
    <cellStyle name="Input 2 3 2 2 5 3 3" xfId="26093" xr:uid="{00000000-0005-0000-0000-0000E8650000}"/>
    <cellStyle name="Input 2 3 2 2 5 3 4" xfId="26094" xr:uid="{00000000-0005-0000-0000-0000E9650000}"/>
    <cellStyle name="Input 2 3 2 2 5 3 5" xfId="26095" xr:uid="{00000000-0005-0000-0000-0000EA650000}"/>
    <cellStyle name="Input 2 3 2 2 5 3 6" xfId="26096" xr:uid="{00000000-0005-0000-0000-0000EB650000}"/>
    <cellStyle name="Input 2 3 2 2 5 4" xfId="26097" xr:uid="{00000000-0005-0000-0000-0000EC650000}"/>
    <cellStyle name="Input 2 3 2 2 5 4 2" xfId="26098" xr:uid="{00000000-0005-0000-0000-0000ED650000}"/>
    <cellStyle name="Input 2 3 2 2 5 4 3" xfId="26099" xr:uid="{00000000-0005-0000-0000-0000EE650000}"/>
    <cellStyle name="Input 2 3 2 2 5 4 4" xfId="26100" xr:uid="{00000000-0005-0000-0000-0000EF650000}"/>
    <cellStyle name="Input 2 3 2 2 5 4 5" xfId="26101" xr:uid="{00000000-0005-0000-0000-0000F0650000}"/>
    <cellStyle name="Input 2 3 2 2 5 4 6" xfId="26102" xr:uid="{00000000-0005-0000-0000-0000F1650000}"/>
    <cellStyle name="Input 2 3 2 2 5 5" xfId="26103" xr:uid="{00000000-0005-0000-0000-0000F2650000}"/>
    <cellStyle name="Input 2 3 2 2 5 6" xfId="26104" xr:uid="{00000000-0005-0000-0000-0000F3650000}"/>
    <cellStyle name="Input 2 3 2 2 5 7" xfId="26105" xr:uid="{00000000-0005-0000-0000-0000F4650000}"/>
    <cellStyle name="Input 2 3 2 2 5 8" xfId="26106" xr:uid="{00000000-0005-0000-0000-0000F5650000}"/>
    <cellStyle name="Input 2 3 2 2 6" xfId="26107" xr:uid="{00000000-0005-0000-0000-0000F6650000}"/>
    <cellStyle name="Input 2 3 2 2 6 2" xfId="26108" xr:uid="{00000000-0005-0000-0000-0000F7650000}"/>
    <cellStyle name="Input 2 3 2 2 6 2 2" xfId="26109" xr:uid="{00000000-0005-0000-0000-0000F8650000}"/>
    <cellStyle name="Input 2 3 2 2 6 2 2 2" xfId="26110" xr:uid="{00000000-0005-0000-0000-0000F9650000}"/>
    <cellStyle name="Input 2 3 2 2 6 2 2 3" xfId="26111" xr:uid="{00000000-0005-0000-0000-0000FA650000}"/>
    <cellStyle name="Input 2 3 2 2 6 2 2 4" xfId="26112" xr:uid="{00000000-0005-0000-0000-0000FB650000}"/>
    <cellStyle name="Input 2 3 2 2 6 2 2 5" xfId="26113" xr:uid="{00000000-0005-0000-0000-0000FC650000}"/>
    <cellStyle name="Input 2 3 2 2 6 2 2 6" xfId="26114" xr:uid="{00000000-0005-0000-0000-0000FD650000}"/>
    <cellStyle name="Input 2 3 2 2 6 2 3" xfId="26115" xr:uid="{00000000-0005-0000-0000-0000FE650000}"/>
    <cellStyle name="Input 2 3 2 2 6 2 4" xfId="26116" xr:uid="{00000000-0005-0000-0000-0000FF650000}"/>
    <cellStyle name="Input 2 3 2 2 6 2 5" xfId="26117" xr:uid="{00000000-0005-0000-0000-000000660000}"/>
    <cellStyle name="Input 2 3 2 2 6 2 6" xfId="26118" xr:uid="{00000000-0005-0000-0000-000001660000}"/>
    <cellStyle name="Input 2 3 2 2 6 3" xfId="26119" xr:uid="{00000000-0005-0000-0000-000002660000}"/>
    <cellStyle name="Input 2 3 2 2 6 3 2" xfId="26120" xr:uid="{00000000-0005-0000-0000-000003660000}"/>
    <cellStyle name="Input 2 3 2 2 6 3 2 2" xfId="26121" xr:uid="{00000000-0005-0000-0000-000004660000}"/>
    <cellStyle name="Input 2 3 2 2 6 3 2 3" xfId="26122" xr:uid="{00000000-0005-0000-0000-000005660000}"/>
    <cellStyle name="Input 2 3 2 2 6 3 2 4" xfId="26123" xr:uid="{00000000-0005-0000-0000-000006660000}"/>
    <cellStyle name="Input 2 3 2 2 6 3 2 5" xfId="26124" xr:uid="{00000000-0005-0000-0000-000007660000}"/>
    <cellStyle name="Input 2 3 2 2 6 3 2 6" xfId="26125" xr:uid="{00000000-0005-0000-0000-000008660000}"/>
    <cellStyle name="Input 2 3 2 2 6 3 3" xfId="26126" xr:uid="{00000000-0005-0000-0000-000009660000}"/>
    <cellStyle name="Input 2 3 2 2 6 3 4" xfId="26127" xr:uid="{00000000-0005-0000-0000-00000A660000}"/>
    <cellStyle name="Input 2 3 2 2 6 3 5" xfId="26128" xr:uid="{00000000-0005-0000-0000-00000B660000}"/>
    <cellStyle name="Input 2 3 2 2 6 3 6" xfId="26129" xr:uid="{00000000-0005-0000-0000-00000C660000}"/>
    <cellStyle name="Input 2 3 2 2 6 4" xfId="26130" xr:uid="{00000000-0005-0000-0000-00000D660000}"/>
    <cellStyle name="Input 2 3 2 2 6 4 2" xfId="26131" xr:uid="{00000000-0005-0000-0000-00000E660000}"/>
    <cellStyle name="Input 2 3 2 2 6 4 3" xfId="26132" xr:uid="{00000000-0005-0000-0000-00000F660000}"/>
    <cellStyle name="Input 2 3 2 2 6 4 4" xfId="26133" xr:uid="{00000000-0005-0000-0000-000010660000}"/>
    <cellStyle name="Input 2 3 2 2 6 4 5" xfId="26134" xr:uid="{00000000-0005-0000-0000-000011660000}"/>
    <cellStyle name="Input 2 3 2 2 6 4 6" xfId="26135" xr:uid="{00000000-0005-0000-0000-000012660000}"/>
    <cellStyle name="Input 2 3 2 2 6 5" xfId="26136" xr:uid="{00000000-0005-0000-0000-000013660000}"/>
    <cellStyle name="Input 2 3 2 2 6 6" xfId="26137" xr:uid="{00000000-0005-0000-0000-000014660000}"/>
    <cellStyle name="Input 2 3 2 2 6 7" xfId="26138" xr:uid="{00000000-0005-0000-0000-000015660000}"/>
    <cellStyle name="Input 2 3 2 2 6 8" xfId="26139" xr:uid="{00000000-0005-0000-0000-000016660000}"/>
    <cellStyle name="Input 2 3 2 2 7" xfId="26140" xr:uid="{00000000-0005-0000-0000-000017660000}"/>
    <cellStyle name="Input 2 3 2 2 7 2" xfId="26141" xr:uid="{00000000-0005-0000-0000-000018660000}"/>
    <cellStyle name="Input 2 3 2 2 7 2 2" xfId="26142" xr:uid="{00000000-0005-0000-0000-000019660000}"/>
    <cellStyle name="Input 2 3 2 2 7 2 3" xfId="26143" xr:uid="{00000000-0005-0000-0000-00001A660000}"/>
    <cellStyle name="Input 2 3 2 2 7 2 4" xfId="26144" xr:uid="{00000000-0005-0000-0000-00001B660000}"/>
    <cellStyle name="Input 2 3 2 2 7 2 5" xfId="26145" xr:uid="{00000000-0005-0000-0000-00001C660000}"/>
    <cellStyle name="Input 2 3 2 2 7 2 6" xfId="26146" xr:uid="{00000000-0005-0000-0000-00001D660000}"/>
    <cellStyle name="Input 2 3 2 2 7 3" xfId="26147" xr:uid="{00000000-0005-0000-0000-00001E660000}"/>
    <cellStyle name="Input 2 3 2 2 7 4" xfId="26148" xr:uid="{00000000-0005-0000-0000-00001F660000}"/>
    <cellStyle name="Input 2 3 2 2 7 5" xfId="26149" xr:uid="{00000000-0005-0000-0000-000020660000}"/>
    <cellStyle name="Input 2 3 2 2 7 6" xfId="26150" xr:uid="{00000000-0005-0000-0000-000021660000}"/>
    <cellStyle name="Input 2 3 2 2 8" xfId="26151" xr:uid="{00000000-0005-0000-0000-000022660000}"/>
    <cellStyle name="Input 2 3 2 2 8 2" xfId="26152" xr:uid="{00000000-0005-0000-0000-000023660000}"/>
    <cellStyle name="Input 2 3 2 2 8 2 2" xfId="26153" xr:uid="{00000000-0005-0000-0000-000024660000}"/>
    <cellStyle name="Input 2 3 2 2 8 2 3" xfId="26154" xr:uid="{00000000-0005-0000-0000-000025660000}"/>
    <cellStyle name="Input 2 3 2 2 8 2 4" xfId="26155" xr:uid="{00000000-0005-0000-0000-000026660000}"/>
    <cellStyle name="Input 2 3 2 2 8 2 5" xfId="26156" xr:uid="{00000000-0005-0000-0000-000027660000}"/>
    <cellStyle name="Input 2 3 2 2 8 2 6" xfId="26157" xr:uid="{00000000-0005-0000-0000-000028660000}"/>
    <cellStyle name="Input 2 3 2 2 8 3" xfId="26158" xr:uid="{00000000-0005-0000-0000-000029660000}"/>
    <cellStyle name="Input 2 3 2 2 8 4" xfId="26159" xr:uid="{00000000-0005-0000-0000-00002A660000}"/>
    <cellStyle name="Input 2 3 2 2 8 5" xfId="26160" xr:uid="{00000000-0005-0000-0000-00002B660000}"/>
    <cellStyle name="Input 2 3 2 2 8 6" xfId="26161" xr:uid="{00000000-0005-0000-0000-00002C660000}"/>
    <cellStyle name="Input 2 3 2 2 9" xfId="26162" xr:uid="{00000000-0005-0000-0000-00002D660000}"/>
    <cellStyle name="Input 2 3 2 2 9 2" xfId="26163" xr:uid="{00000000-0005-0000-0000-00002E660000}"/>
    <cellStyle name="Input 2 3 2 2 9 3" xfId="26164" xr:uid="{00000000-0005-0000-0000-00002F660000}"/>
    <cellStyle name="Input 2 3 2 2 9 4" xfId="26165" xr:uid="{00000000-0005-0000-0000-000030660000}"/>
    <cellStyle name="Input 2 3 2 2 9 5" xfId="26166" xr:uid="{00000000-0005-0000-0000-000031660000}"/>
    <cellStyle name="Input 2 3 2 2 9 6" xfId="26167" xr:uid="{00000000-0005-0000-0000-000032660000}"/>
    <cellStyle name="Input 2 3 2 3" xfId="26168" xr:uid="{00000000-0005-0000-0000-000033660000}"/>
    <cellStyle name="Input 2 3 2 3 2" xfId="26169" xr:uid="{00000000-0005-0000-0000-000034660000}"/>
    <cellStyle name="Input 2 3 2 3 2 2" xfId="26170" xr:uid="{00000000-0005-0000-0000-000035660000}"/>
    <cellStyle name="Input 2 3 2 3 2 2 2" xfId="26171" xr:uid="{00000000-0005-0000-0000-000036660000}"/>
    <cellStyle name="Input 2 3 2 3 2 2 3" xfId="26172" xr:uid="{00000000-0005-0000-0000-000037660000}"/>
    <cellStyle name="Input 2 3 2 3 2 2 4" xfId="26173" xr:uid="{00000000-0005-0000-0000-000038660000}"/>
    <cellStyle name="Input 2 3 2 3 2 2 5" xfId="26174" xr:uid="{00000000-0005-0000-0000-000039660000}"/>
    <cellStyle name="Input 2 3 2 3 2 2 6" xfId="26175" xr:uid="{00000000-0005-0000-0000-00003A660000}"/>
    <cellStyle name="Input 2 3 2 3 2 3" xfId="26176" xr:uid="{00000000-0005-0000-0000-00003B660000}"/>
    <cellStyle name="Input 2 3 2 3 2 4" xfId="26177" xr:uid="{00000000-0005-0000-0000-00003C660000}"/>
    <cellStyle name="Input 2 3 2 3 2 5" xfId="26178" xr:uid="{00000000-0005-0000-0000-00003D660000}"/>
    <cellStyle name="Input 2 3 2 3 2 6" xfId="26179" xr:uid="{00000000-0005-0000-0000-00003E660000}"/>
    <cellStyle name="Input 2 3 2 3 3" xfId="26180" xr:uid="{00000000-0005-0000-0000-00003F660000}"/>
    <cellStyle name="Input 2 3 2 3 3 2" xfId="26181" xr:uid="{00000000-0005-0000-0000-000040660000}"/>
    <cellStyle name="Input 2 3 2 3 3 2 2" xfId="26182" xr:uid="{00000000-0005-0000-0000-000041660000}"/>
    <cellStyle name="Input 2 3 2 3 3 2 3" xfId="26183" xr:uid="{00000000-0005-0000-0000-000042660000}"/>
    <cellStyle name="Input 2 3 2 3 3 2 4" xfId="26184" xr:uid="{00000000-0005-0000-0000-000043660000}"/>
    <cellStyle name="Input 2 3 2 3 3 2 5" xfId="26185" xr:uid="{00000000-0005-0000-0000-000044660000}"/>
    <cellStyle name="Input 2 3 2 3 3 2 6" xfId="26186" xr:uid="{00000000-0005-0000-0000-000045660000}"/>
    <cellStyle name="Input 2 3 2 3 3 3" xfId="26187" xr:uid="{00000000-0005-0000-0000-000046660000}"/>
    <cellStyle name="Input 2 3 2 3 3 4" xfId="26188" xr:uid="{00000000-0005-0000-0000-000047660000}"/>
    <cellStyle name="Input 2 3 2 3 3 5" xfId="26189" xr:uid="{00000000-0005-0000-0000-000048660000}"/>
    <cellStyle name="Input 2 3 2 3 3 6" xfId="26190" xr:uid="{00000000-0005-0000-0000-000049660000}"/>
    <cellStyle name="Input 2 3 2 3 4" xfId="26191" xr:uid="{00000000-0005-0000-0000-00004A660000}"/>
    <cellStyle name="Input 2 3 2 3 4 2" xfId="26192" xr:uid="{00000000-0005-0000-0000-00004B660000}"/>
    <cellStyle name="Input 2 3 2 3 4 3" xfId="26193" xr:uid="{00000000-0005-0000-0000-00004C660000}"/>
    <cellStyle name="Input 2 3 2 3 4 4" xfId="26194" xr:uid="{00000000-0005-0000-0000-00004D660000}"/>
    <cellStyle name="Input 2 3 2 3 4 5" xfId="26195" xr:uid="{00000000-0005-0000-0000-00004E660000}"/>
    <cellStyle name="Input 2 3 2 3 4 6" xfId="26196" xr:uid="{00000000-0005-0000-0000-00004F660000}"/>
    <cellStyle name="Input 2 3 2 3 5" xfId="26197" xr:uid="{00000000-0005-0000-0000-000050660000}"/>
    <cellStyle name="Input 2 3 2 3 6" xfId="26198" xr:uid="{00000000-0005-0000-0000-000051660000}"/>
    <cellStyle name="Input 2 3 2 3 7" xfId="26199" xr:uid="{00000000-0005-0000-0000-000052660000}"/>
    <cellStyle name="Input 2 3 2 3 8" xfId="26200" xr:uid="{00000000-0005-0000-0000-000053660000}"/>
    <cellStyle name="Input 2 3 2 4" xfId="26201" xr:uid="{00000000-0005-0000-0000-000054660000}"/>
    <cellStyle name="Input 2 3 2 4 2" xfId="26202" xr:uid="{00000000-0005-0000-0000-000055660000}"/>
    <cellStyle name="Input 2 3 2 4 2 2" xfId="26203" xr:uid="{00000000-0005-0000-0000-000056660000}"/>
    <cellStyle name="Input 2 3 2 4 2 2 2" xfId="26204" xr:uid="{00000000-0005-0000-0000-000057660000}"/>
    <cellStyle name="Input 2 3 2 4 2 2 3" xfId="26205" xr:uid="{00000000-0005-0000-0000-000058660000}"/>
    <cellStyle name="Input 2 3 2 4 2 2 4" xfId="26206" xr:uid="{00000000-0005-0000-0000-000059660000}"/>
    <cellStyle name="Input 2 3 2 4 2 2 5" xfId="26207" xr:uid="{00000000-0005-0000-0000-00005A660000}"/>
    <cellStyle name="Input 2 3 2 4 2 2 6" xfId="26208" xr:uid="{00000000-0005-0000-0000-00005B660000}"/>
    <cellStyle name="Input 2 3 2 4 2 3" xfId="26209" xr:uid="{00000000-0005-0000-0000-00005C660000}"/>
    <cellStyle name="Input 2 3 2 4 2 4" xfId="26210" xr:uid="{00000000-0005-0000-0000-00005D660000}"/>
    <cellStyle name="Input 2 3 2 4 2 5" xfId="26211" xr:uid="{00000000-0005-0000-0000-00005E660000}"/>
    <cellStyle name="Input 2 3 2 4 2 6" xfId="26212" xr:uid="{00000000-0005-0000-0000-00005F660000}"/>
    <cellStyle name="Input 2 3 2 4 3" xfId="26213" xr:uid="{00000000-0005-0000-0000-000060660000}"/>
    <cellStyle name="Input 2 3 2 4 3 2" xfId="26214" xr:uid="{00000000-0005-0000-0000-000061660000}"/>
    <cellStyle name="Input 2 3 2 4 3 2 2" xfId="26215" xr:uid="{00000000-0005-0000-0000-000062660000}"/>
    <cellStyle name="Input 2 3 2 4 3 2 3" xfId="26216" xr:uid="{00000000-0005-0000-0000-000063660000}"/>
    <cellStyle name="Input 2 3 2 4 3 2 4" xfId="26217" xr:uid="{00000000-0005-0000-0000-000064660000}"/>
    <cellStyle name="Input 2 3 2 4 3 2 5" xfId="26218" xr:uid="{00000000-0005-0000-0000-000065660000}"/>
    <cellStyle name="Input 2 3 2 4 3 2 6" xfId="26219" xr:uid="{00000000-0005-0000-0000-000066660000}"/>
    <cellStyle name="Input 2 3 2 4 3 3" xfId="26220" xr:uid="{00000000-0005-0000-0000-000067660000}"/>
    <cellStyle name="Input 2 3 2 4 3 4" xfId="26221" xr:uid="{00000000-0005-0000-0000-000068660000}"/>
    <cellStyle name="Input 2 3 2 4 3 5" xfId="26222" xr:uid="{00000000-0005-0000-0000-000069660000}"/>
    <cellStyle name="Input 2 3 2 4 3 6" xfId="26223" xr:uid="{00000000-0005-0000-0000-00006A660000}"/>
    <cellStyle name="Input 2 3 2 4 4" xfId="26224" xr:uid="{00000000-0005-0000-0000-00006B660000}"/>
    <cellStyle name="Input 2 3 2 4 4 2" xfId="26225" xr:uid="{00000000-0005-0000-0000-00006C660000}"/>
    <cellStyle name="Input 2 3 2 4 4 3" xfId="26226" xr:uid="{00000000-0005-0000-0000-00006D660000}"/>
    <cellStyle name="Input 2 3 2 4 4 4" xfId="26227" xr:uid="{00000000-0005-0000-0000-00006E660000}"/>
    <cellStyle name="Input 2 3 2 4 4 5" xfId="26228" xr:uid="{00000000-0005-0000-0000-00006F660000}"/>
    <cellStyle name="Input 2 3 2 4 4 6" xfId="26229" xr:uid="{00000000-0005-0000-0000-000070660000}"/>
    <cellStyle name="Input 2 3 2 4 5" xfId="26230" xr:uid="{00000000-0005-0000-0000-000071660000}"/>
    <cellStyle name="Input 2 3 2 4 6" xfId="26231" xr:uid="{00000000-0005-0000-0000-000072660000}"/>
    <cellStyle name="Input 2 3 2 4 7" xfId="26232" xr:uid="{00000000-0005-0000-0000-000073660000}"/>
    <cellStyle name="Input 2 3 2 4 8" xfId="26233" xr:uid="{00000000-0005-0000-0000-000074660000}"/>
    <cellStyle name="Input 2 3 2 5" xfId="26234" xr:uid="{00000000-0005-0000-0000-000075660000}"/>
    <cellStyle name="Input 2 3 2 5 2" xfId="26235" xr:uid="{00000000-0005-0000-0000-000076660000}"/>
    <cellStyle name="Input 2 3 2 5 2 2" xfId="26236" xr:uid="{00000000-0005-0000-0000-000077660000}"/>
    <cellStyle name="Input 2 3 2 5 2 2 2" xfId="26237" xr:uid="{00000000-0005-0000-0000-000078660000}"/>
    <cellStyle name="Input 2 3 2 5 2 2 3" xfId="26238" xr:uid="{00000000-0005-0000-0000-000079660000}"/>
    <cellStyle name="Input 2 3 2 5 2 2 4" xfId="26239" xr:uid="{00000000-0005-0000-0000-00007A660000}"/>
    <cellStyle name="Input 2 3 2 5 2 2 5" xfId="26240" xr:uid="{00000000-0005-0000-0000-00007B660000}"/>
    <cellStyle name="Input 2 3 2 5 2 2 6" xfId="26241" xr:uid="{00000000-0005-0000-0000-00007C660000}"/>
    <cellStyle name="Input 2 3 2 5 2 3" xfId="26242" xr:uid="{00000000-0005-0000-0000-00007D660000}"/>
    <cellStyle name="Input 2 3 2 5 2 4" xfId="26243" xr:uid="{00000000-0005-0000-0000-00007E660000}"/>
    <cellStyle name="Input 2 3 2 5 2 5" xfId="26244" xr:uid="{00000000-0005-0000-0000-00007F660000}"/>
    <cellStyle name="Input 2 3 2 5 2 6" xfId="26245" xr:uid="{00000000-0005-0000-0000-000080660000}"/>
    <cellStyle name="Input 2 3 2 5 3" xfId="26246" xr:uid="{00000000-0005-0000-0000-000081660000}"/>
    <cellStyle name="Input 2 3 2 5 3 2" xfId="26247" xr:uid="{00000000-0005-0000-0000-000082660000}"/>
    <cellStyle name="Input 2 3 2 5 3 2 2" xfId="26248" xr:uid="{00000000-0005-0000-0000-000083660000}"/>
    <cellStyle name="Input 2 3 2 5 3 2 3" xfId="26249" xr:uid="{00000000-0005-0000-0000-000084660000}"/>
    <cellStyle name="Input 2 3 2 5 3 2 4" xfId="26250" xr:uid="{00000000-0005-0000-0000-000085660000}"/>
    <cellStyle name="Input 2 3 2 5 3 2 5" xfId="26251" xr:uid="{00000000-0005-0000-0000-000086660000}"/>
    <cellStyle name="Input 2 3 2 5 3 2 6" xfId="26252" xr:uid="{00000000-0005-0000-0000-000087660000}"/>
    <cellStyle name="Input 2 3 2 5 3 3" xfId="26253" xr:uid="{00000000-0005-0000-0000-000088660000}"/>
    <cellStyle name="Input 2 3 2 5 3 4" xfId="26254" xr:uid="{00000000-0005-0000-0000-000089660000}"/>
    <cellStyle name="Input 2 3 2 5 3 5" xfId="26255" xr:uid="{00000000-0005-0000-0000-00008A660000}"/>
    <cellStyle name="Input 2 3 2 5 3 6" xfId="26256" xr:uid="{00000000-0005-0000-0000-00008B660000}"/>
    <cellStyle name="Input 2 3 2 5 4" xfId="26257" xr:uid="{00000000-0005-0000-0000-00008C660000}"/>
    <cellStyle name="Input 2 3 2 5 4 2" xfId="26258" xr:uid="{00000000-0005-0000-0000-00008D660000}"/>
    <cellStyle name="Input 2 3 2 5 4 3" xfId="26259" xr:uid="{00000000-0005-0000-0000-00008E660000}"/>
    <cellStyle name="Input 2 3 2 5 4 4" xfId="26260" xr:uid="{00000000-0005-0000-0000-00008F660000}"/>
    <cellStyle name="Input 2 3 2 5 4 5" xfId="26261" xr:uid="{00000000-0005-0000-0000-000090660000}"/>
    <cellStyle name="Input 2 3 2 5 4 6" xfId="26262" xr:uid="{00000000-0005-0000-0000-000091660000}"/>
    <cellStyle name="Input 2 3 2 5 5" xfId="26263" xr:uid="{00000000-0005-0000-0000-000092660000}"/>
    <cellStyle name="Input 2 3 2 5 6" xfId="26264" xr:uid="{00000000-0005-0000-0000-000093660000}"/>
    <cellStyle name="Input 2 3 2 5 7" xfId="26265" xr:uid="{00000000-0005-0000-0000-000094660000}"/>
    <cellStyle name="Input 2 3 2 5 8" xfId="26266" xr:uid="{00000000-0005-0000-0000-000095660000}"/>
    <cellStyle name="Input 2 3 2 6" xfId="26267" xr:uid="{00000000-0005-0000-0000-000096660000}"/>
    <cellStyle name="Input 2 3 2 6 2" xfId="26268" xr:uid="{00000000-0005-0000-0000-000097660000}"/>
    <cellStyle name="Input 2 3 2 6 2 2" xfId="26269" xr:uid="{00000000-0005-0000-0000-000098660000}"/>
    <cellStyle name="Input 2 3 2 6 2 2 2" xfId="26270" xr:uid="{00000000-0005-0000-0000-000099660000}"/>
    <cellStyle name="Input 2 3 2 6 2 2 3" xfId="26271" xr:uid="{00000000-0005-0000-0000-00009A660000}"/>
    <cellStyle name="Input 2 3 2 6 2 2 4" xfId="26272" xr:uid="{00000000-0005-0000-0000-00009B660000}"/>
    <cellStyle name="Input 2 3 2 6 2 2 5" xfId="26273" xr:uid="{00000000-0005-0000-0000-00009C660000}"/>
    <cellStyle name="Input 2 3 2 6 2 2 6" xfId="26274" xr:uid="{00000000-0005-0000-0000-00009D660000}"/>
    <cellStyle name="Input 2 3 2 6 2 3" xfId="26275" xr:uid="{00000000-0005-0000-0000-00009E660000}"/>
    <cellStyle name="Input 2 3 2 6 2 4" xfId="26276" xr:uid="{00000000-0005-0000-0000-00009F660000}"/>
    <cellStyle name="Input 2 3 2 6 2 5" xfId="26277" xr:uid="{00000000-0005-0000-0000-0000A0660000}"/>
    <cellStyle name="Input 2 3 2 6 2 6" xfId="26278" xr:uid="{00000000-0005-0000-0000-0000A1660000}"/>
    <cellStyle name="Input 2 3 2 6 3" xfId="26279" xr:uid="{00000000-0005-0000-0000-0000A2660000}"/>
    <cellStyle name="Input 2 3 2 6 3 2" xfId="26280" xr:uid="{00000000-0005-0000-0000-0000A3660000}"/>
    <cellStyle name="Input 2 3 2 6 3 2 2" xfId="26281" xr:uid="{00000000-0005-0000-0000-0000A4660000}"/>
    <cellStyle name="Input 2 3 2 6 3 2 3" xfId="26282" xr:uid="{00000000-0005-0000-0000-0000A5660000}"/>
    <cellStyle name="Input 2 3 2 6 3 2 4" xfId="26283" xr:uid="{00000000-0005-0000-0000-0000A6660000}"/>
    <cellStyle name="Input 2 3 2 6 3 2 5" xfId="26284" xr:uid="{00000000-0005-0000-0000-0000A7660000}"/>
    <cellStyle name="Input 2 3 2 6 3 2 6" xfId="26285" xr:uid="{00000000-0005-0000-0000-0000A8660000}"/>
    <cellStyle name="Input 2 3 2 6 3 3" xfId="26286" xr:uid="{00000000-0005-0000-0000-0000A9660000}"/>
    <cellStyle name="Input 2 3 2 6 3 4" xfId="26287" xr:uid="{00000000-0005-0000-0000-0000AA660000}"/>
    <cellStyle name="Input 2 3 2 6 3 5" xfId="26288" xr:uid="{00000000-0005-0000-0000-0000AB660000}"/>
    <cellStyle name="Input 2 3 2 6 3 6" xfId="26289" xr:uid="{00000000-0005-0000-0000-0000AC660000}"/>
    <cellStyle name="Input 2 3 2 6 4" xfId="26290" xr:uid="{00000000-0005-0000-0000-0000AD660000}"/>
    <cellStyle name="Input 2 3 2 6 4 2" xfId="26291" xr:uid="{00000000-0005-0000-0000-0000AE660000}"/>
    <cellStyle name="Input 2 3 2 6 4 3" xfId="26292" xr:uid="{00000000-0005-0000-0000-0000AF660000}"/>
    <cellStyle name="Input 2 3 2 6 4 4" xfId="26293" xr:uid="{00000000-0005-0000-0000-0000B0660000}"/>
    <cellStyle name="Input 2 3 2 6 4 5" xfId="26294" xr:uid="{00000000-0005-0000-0000-0000B1660000}"/>
    <cellStyle name="Input 2 3 2 6 4 6" xfId="26295" xr:uid="{00000000-0005-0000-0000-0000B2660000}"/>
    <cellStyle name="Input 2 3 2 6 5" xfId="26296" xr:uid="{00000000-0005-0000-0000-0000B3660000}"/>
    <cellStyle name="Input 2 3 2 6 6" xfId="26297" xr:uid="{00000000-0005-0000-0000-0000B4660000}"/>
    <cellStyle name="Input 2 3 2 6 7" xfId="26298" xr:uid="{00000000-0005-0000-0000-0000B5660000}"/>
    <cellStyle name="Input 2 3 2 6 8" xfId="26299" xr:uid="{00000000-0005-0000-0000-0000B6660000}"/>
    <cellStyle name="Input 2 3 2 7" xfId="26300" xr:uid="{00000000-0005-0000-0000-0000B7660000}"/>
    <cellStyle name="Input 2 3 2 7 2" xfId="26301" xr:uid="{00000000-0005-0000-0000-0000B8660000}"/>
    <cellStyle name="Input 2 3 2 7 2 2" xfId="26302" xr:uid="{00000000-0005-0000-0000-0000B9660000}"/>
    <cellStyle name="Input 2 3 2 7 2 2 2" xfId="26303" xr:uid="{00000000-0005-0000-0000-0000BA660000}"/>
    <cellStyle name="Input 2 3 2 7 2 2 3" xfId="26304" xr:uid="{00000000-0005-0000-0000-0000BB660000}"/>
    <cellStyle name="Input 2 3 2 7 2 2 4" xfId="26305" xr:uid="{00000000-0005-0000-0000-0000BC660000}"/>
    <cellStyle name="Input 2 3 2 7 2 2 5" xfId="26306" xr:uid="{00000000-0005-0000-0000-0000BD660000}"/>
    <cellStyle name="Input 2 3 2 7 2 2 6" xfId="26307" xr:uid="{00000000-0005-0000-0000-0000BE660000}"/>
    <cellStyle name="Input 2 3 2 7 2 3" xfId="26308" xr:uid="{00000000-0005-0000-0000-0000BF660000}"/>
    <cellStyle name="Input 2 3 2 7 2 4" xfId="26309" xr:uid="{00000000-0005-0000-0000-0000C0660000}"/>
    <cellStyle name="Input 2 3 2 7 2 5" xfId="26310" xr:uid="{00000000-0005-0000-0000-0000C1660000}"/>
    <cellStyle name="Input 2 3 2 7 2 6" xfId="26311" xr:uid="{00000000-0005-0000-0000-0000C2660000}"/>
    <cellStyle name="Input 2 3 2 7 3" xfId="26312" xr:uid="{00000000-0005-0000-0000-0000C3660000}"/>
    <cellStyle name="Input 2 3 2 7 3 2" xfId="26313" xr:uid="{00000000-0005-0000-0000-0000C4660000}"/>
    <cellStyle name="Input 2 3 2 7 3 2 2" xfId="26314" xr:uid="{00000000-0005-0000-0000-0000C5660000}"/>
    <cellStyle name="Input 2 3 2 7 3 2 3" xfId="26315" xr:uid="{00000000-0005-0000-0000-0000C6660000}"/>
    <cellStyle name="Input 2 3 2 7 3 2 4" xfId="26316" xr:uid="{00000000-0005-0000-0000-0000C7660000}"/>
    <cellStyle name="Input 2 3 2 7 3 2 5" xfId="26317" xr:uid="{00000000-0005-0000-0000-0000C8660000}"/>
    <cellStyle name="Input 2 3 2 7 3 2 6" xfId="26318" xr:uid="{00000000-0005-0000-0000-0000C9660000}"/>
    <cellStyle name="Input 2 3 2 7 3 3" xfId="26319" xr:uid="{00000000-0005-0000-0000-0000CA660000}"/>
    <cellStyle name="Input 2 3 2 7 3 4" xfId="26320" xr:uid="{00000000-0005-0000-0000-0000CB660000}"/>
    <cellStyle name="Input 2 3 2 7 3 5" xfId="26321" xr:uid="{00000000-0005-0000-0000-0000CC660000}"/>
    <cellStyle name="Input 2 3 2 7 3 6" xfId="26322" xr:uid="{00000000-0005-0000-0000-0000CD660000}"/>
    <cellStyle name="Input 2 3 2 7 4" xfId="26323" xr:uid="{00000000-0005-0000-0000-0000CE660000}"/>
    <cellStyle name="Input 2 3 2 7 4 2" xfId="26324" xr:uid="{00000000-0005-0000-0000-0000CF660000}"/>
    <cellStyle name="Input 2 3 2 7 4 3" xfId="26325" xr:uid="{00000000-0005-0000-0000-0000D0660000}"/>
    <cellStyle name="Input 2 3 2 7 4 4" xfId="26326" xr:uid="{00000000-0005-0000-0000-0000D1660000}"/>
    <cellStyle name="Input 2 3 2 7 4 5" xfId="26327" xr:uid="{00000000-0005-0000-0000-0000D2660000}"/>
    <cellStyle name="Input 2 3 2 7 4 6" xfId="26328" xr:uid="{00000000-0005-0000-0000-0000D3660000}"/>
    <cellStyle name="Input 2 3 2 7 5" xfId="26329" xr:uid="{00000000-0005-0000-0000-0000D4660000}"/>
    <cellStyle name="Input 2 3 2 7 6" xfId="26330" xr:uid="{00000000-0005-0000-0000-0000D5660000}"/>
    <cellStyle name="Input 2 3 2 7 7" xfId="26331" xr:uid="{00000000-0005-0000-0000-0000D6660000}"/>
    <cellStyle name="Input 2 3 2 7 8" xfId="26332" xr:uid="{00000000-0005-0000-0000-0000D7660000}"/>
    <cellStyle name="Input 2 3 2 8" xfId="26333" xr:uid="{00000000-0005-0000-0000-0000D8660000}"/>
    <cellStyle name="Input 2 3 2 8 2" xfId="26334" xr:uid="{00000000-0005-0000-0000-0000D9660000}"/>
    <cellStyle name="Input 2 3 2 8 2 2" xfId="26335" xr:uid="{00000000-0005-0000-0000-0000DA660000}"/>
    <cellStyle name="Input 2 3 2 8 2 3" xfId="26336" xr:uid="{00000000-0005-0000-0000-0000DB660000}"/>
    <cellStyle name="Input 2 3 2 8 2 4" xfId="26337" xr:uid="{00000000-0005-0000-0000-0000DC660000}"/>
    <cellStyle name="Input 2 3 2 8 2 5" xfId="26338" xr:uid="{00000000-0005-0000-0000-0000DD660000}"/>
    <cellStyle name="Input 2 3 2 8 2 6" xfId="26339" xr:uid="{00000000-0005-0000-0000-0000DE660000}"/>
    <cellStyle name="Input 2 3 2 8 3" xfId="26340" xr:uid="{00000000-0005-0000-0000-0000DF660000}"/>
    <cellStyle name="Input 2 3 2 8 4" xfId="26341" xr:uid="{00000000-0005-0000-0000-0000E0660000}"/>
    <cellStyle name="Input 2 3 2 8 5" xfId="26342" xr:uid="{00000000-0005-0000-0000-0000E1660000}"/>
    <cellStyle name="Input 2 3 2 8 6" xfId="26343" xr:uid="{00000000-0005-0000-0000-0000E2660000}"/>
    <cellStyle name="Input 2 3 2 9" xfId="26344" xr:uid="{00000000-0005-0000-0000-0000E3660000}"/>
    <cellStyle name="Input 2 3 2 9 2" xfId="26345" xr:uid="{00000000-0005-0000-0000-0000E4660000}"/>
    <cellStyle name="Input 2 3 2 9 2 2" xfId="26346" xr:uid="{00000000-0005-0000-0000-0000E5660000}"/>
    <cellStyle name="Input 2 3 2 9 2 3" xfId="26347" xr:uid="{00000000-0005-0000-0000-0000E6660000}"/>
    <cellStyle name="Input 2 3 2 9 2 4" xfId="26348" xr:uid="{00000000-0005-0000-0000-0000E7660000}"/>
    <cellStyle name="Input 2 3 2 9 2 5" xfId="26349" xr:uid="{00000000-0005-0000-0000-0000E8660000}"/>
    <cellStyle name="Input 2 3 2 9 2 6" xfId="26350" xr:uid="{00000000-0005-0000-0000-0000E9660000}"/>
    <cellStyle name="Input 2 3 2 9 3" xfId="26351" xr:uid="{00000000-0005-0000-0000-0000EA660000}"/>
    <cellStyle name="Input 2 3 2 9 4" xfId="26352" xr:uid="{00000000-0005-0000-0000-0000EB660000}"/>
    <cellStyle name="Input 2 3 2 9 5" xfId="26353" xr:uid="{00000000-0005-0000-0000-0000EC660000}"/>
    <cellStyle name="Input 2 3 2 9 6" xfId="26354" xr:uid="{00000000-0005-0000-0000-0000ED660000}"/>
    <cellStyle name="Input 2 3 3" xfId="26355" xr:uid="{00000000-0005-0000-0000-0000EE660000}"/>
    <cellStyle name="Input 2 3 3 10" xfId="26356" xr:uid="{00000000-0005-0000-0000-0000EF660000}"/>
    <cellStyle name="Input 2 3 3 11" xfId="26357" xr:uid="{00000000-0005-0000-0000-0000F0660000}"/>
    <cellStyle name="Input 2 3 3 12" xfId="26358" xr:uid="{00000000-0005-0000-0000-0000F1660000}"/>
    <cellStyle name="Input 2 3 3 13" xfId="26359" xr:uid="{00000000-0005-0000-0000-0000F2660000}"/>
    <cellStyle name="Input 2 3 3 2" xfId="26360" xr:uid="{00000000-0005-0000-0000-0000F3660000}"/>
    <cellStyle name="Input 2 3 3 2 2" xfId="26361" xr:uid="{00000000-0005-0000-0000-0000F4660000}"/>
    <cellStyle name="Input 2 3 3 2 2 2" xfId="26362" xr:uid="{00000000-0005-0000-0000-0000F5660000}"/>
    <cellStyle name="Input 2 3 3 2 2 2 2" xfId="26363" xr:uid="{00000000-0005-0000-0000-0000F6660000}"/>
    <cellStyle name="Input 2 3 3 2 2 2 3" xfId="26364" xr:uid="{00000000-0005-0000-0000-0000F7660000}"/>
    <cellStyle name="Input 2 3 3 2 2 2 4" xfId="26365" xr:uid="{00000000-0005-0000-0000-0000F8660000}"/>
    <cellStyle name="Input 2 3 3 2 2 2 5" xfId="26366" xr:uid="{00000000-0005-0000-0000-0000F9660000}"/>
    <cellStyle name="Input 2 3 3 2 2 2 6" xfId="26367" xr:uid="{00000000-0005-0000-0000-0000FA660000}"/>
    <cellStyle name="Input 2 3 3 2 2 3" xfId="26368" xr:uid="{00000000-0005-0000-0000-0000FB660000}"/>
    <cellStyle name="Input 2 3 3 2 2 4" xfId="26369" xr:uid="{00000000-0005-0000-0000-0000FC660000}"/>
    <cellStyle name="Input 2 3 3 2 2 5" xfId="26370" xr:uid="{00000000-0005-0000-0000-0000FD660000}"/>
    <cellStyle name="Input 2 3 3 2 2 6" xfId="26371" xr:uid="{00000000-0005-0000-0000-0000FE660000}"/>
    <cellStyle name="Input 2 3 3 2 3" xfId="26372" xr:uid="{00000000-0005-0000-0000-0000FF660000}"/>
    <cellStyle name="Input 2 3 3 2 3 2" xfId="26373" xr:uid="{00000000-0005-0000-0000-000000670000}"/>
    <cellStyle name="Input 2 3 3 2 3 2 2" xfId="26374" xr:uid="{00000000-0005-0000-0000-000001670000}"/>
    <cellStyle name="Input 2 3 3 2 3 2 3" xfId="26375" xr:uid="{00000000-0005-0000-0000-000002670000}"/>
    <cellStyle name="Input 2 3 3 2 3 2 4" xfId="26376" xr:uid="{00000000-0005-0000-0000-000003670000}"/>
    <cellStyle name="Input 2 3 3 2 3 2 5" xfId="26377" xr:uid="{00000000-0005-0000-0000-000004670000}"/>
    <cellStyle name="Input 2 3 3 2 3 2 6" xfId="26378" xr:uid="{00000000-0005-0000-0000-000005670000}"/>
    <cellStyle name="Input 2 3 3 2 3 3" xfId="26379" xr:uid="{00000000-0005-0000-0000-000006670000}"/>
    <cellStyle name="Input 2 3 3 2 3 4" xfId="26380" xr:uid="{00000000-0005-0000-0000-000007670000}"/>
    <cellStyle name="Input 2 3 3 2 3 5" xfId="26381" xr:uid="{00000000-0005-0000-0000-000008670000}"/>
    <cellStyle name="Input 2 3 3 2 3 6" xfId="26382" xr:uid="{00000000-0005-0000-0000-000009670000}"/>
    <cellStyle name="Input 2 3 3 2 4" xfId="26383" xr:uid="{00000000-0005-0000-0000-00000A670000}"/>
    <cellStyle name="Input 2 3 3 2 4 2" xfId="26384" xr:uid="{00000000-0005-0000-0000-00000B670000}"/>
    <cellStyle name="Input 2 3 3 2 4 3" xfId="26385" xr:uid="{00000000-0005-0000-0000-00000C670000}"/>
    <cellStyle name="Input 2 3 3 2 4 4" xfId="26386" xr:uid="{00000000-0005-0000-0000-00000D670000}"/>
    <cellStyle name="Input 2 3 3 2 4 5" xfId="26387" xr:uid="{00000000-0005-0000-0000-00000E670000}"/>
    <cellStyle name="Input 2 3 3 2 4 6" xfId="26388" xr:uid="{00000000-0005-0000-0000-00000F670000}"/>
    <cellStyle name="Input 2 3 3 2 5" xfId="26389" xr:uid="{00000000-0005-0000-0000-000010670000}"/>
    <cellStyle name="Input 2 3 3 2 6" xfId="26390" xr:uid="{00000000-0005-0000-0000-000011670000}"/>
    <cellStyle name="Input 2 3 3 2 7" xfId="26391" xr:uid="{00000000-0005-0000-0000-000012670000}"/>
    <cellStyle name="Input 2 3 3 2 8" xfId="26392" xr:uid="{00000000-0005-0000-0000-000013670000}"/>
    <cellStyle name="Input 2 3 3 3" xfId="26393" xr:uid="{00000000-0005-0000-0000-000014670000}"/>
    <cellStyle name="Input 2 3 3 3 2" xfId="26394" xr:uid="{00000000-0005-0000-0000-000015670000}"/>
    <cellStyle name="Input 2 3 3 3 2 2" xfId="26395" xr:uid="{00000000-0005-0000-0000-000016670000}"/>
    <cellStyle name="Input 2 3 3 3 2 2 2" xfId="26396" xr:uid="{00000000-0005-0000-0000-000017670000}"/>
    <cellStyle name="Input 2 3 3 3 2 2 3" xfId="26397" xr:uid="{00000000-0005-0000-0000-000018670000}"/>
    <cellStyle name="Input 2 3 3 3 2 2 4" xfId="26398" xr:uid="{00000000-0005-0000-0000-000019670000}"/>
    <cellStyle name="Input 2 3 3 3 2 2 5" xfId="26399" xr:uid="{00000000-0005-0000-0000-00001A670000}"/>
    <cellStyle name="Input 2 3 3 3 2 2 6" xfId="26400" xr:uid="{00000000-0005-0000-0000-00001B670000}"/>
    <cellStyle name="Input 2 3 3 3 2 3" xfId="26401" xr:uid="{00000000-0005-0000-0000-00001C670000}"/>
    <cellStyle name="Input 2 3 3 3 2 4" xfId="26402" xr:uid="{00000000-0005-0000-0000-00001D670000}"/>
    <cellStyle name="Input 2 3 3 3 2 5" xfId="26403" xr:uid="{00000000-0005-0000-0000-00001E670000}"/>
    <cellStyle name="Input 2 3 3 3 2 6" xfId="26404" xr:uid="{00000000-0005-0000-0000-00001F670000}"/>
    <cellStyle name="Input 2 3 3 3 3" xfId="26405" xr:uid="{00000000-0005-0000-0000-000020670000}"/>
    <cellStyle name="Input 2 3 3 3 3 2" xfId="26406" xr:uid="{00000000-0005-0000-0000-000021670000}"/>
    <cellStyle name="Input 2 3 3 3 3 2 2" xfId="26407" xr:uid="{00000000-0005-0000-0000-000022670000}"/>
    <cellStyle name="Input 2 3 3 3 3 2 3" xfId="26408" xr:uid="{00000000-0005-0000-0000-000023670000}"/>
    <cellStyle name="Input 2 3 3 3 3 2 4" xfId="26409" xr:uid="{00000000-0005-0000-0000-000024670000}"/>
    <cellStyle name="Input 2 3 3 3 3 2 5" xfId="26410" xr:uid="{00000000-0005-0000-0000-000025670000}"/>
    <cellStyle name="Input 2 3 3 3 3 2 6" xfId="26411" xr:uid="{00000000-0005-0000-0000-000026670000}"/>
    <cellStyle name="Input 2 3 3 3 3 3" xfId="26412" xr:uid="{00000000-0005-0000-0000-000027670000}"/>
    <cellStyle name="Input 2 3 3 3 3 4" xfId="26413" xr:uid="{00000000-0005-0000-0000-000028670000}"/>
    <cellStyle name="Input 2 3 3 3 3 5" xfId="26414" xr:uid="{00000000-0005-0000-0000-000029670000}"/>
    <cellStyle name="Input 2 3 3 3 3 6" xfId="26415" xr:uid="{00000000-0005-0000-0000-00002A670000}"/>
    <cellStyle name="Input 2 3 3 3 4" xfId="26416" xr:uid="{00000000-0005-0000-0000-00002B670000}"/>
    <cellStyle name="Input 2 3 3 3 4 2" xfId="26417" xr:uid="{00000000-0005-0000-0000-00002C670000}"/>
    <cellStyle name="Input 2 3 3 3 4 3" xfId="26418" xr:uid="{00000000-0005-0000-0000-00002D670000}"/>
    <cellStyle name="Input 2 3 3 3 4 4" xfId="26419" xr:uid="{00000000-0005-0000-0000-00002E670000}"/>
    <cellStyle name="Input 2 3 3 3 4 5" xfId="26420" xr:uid="{00000000-0005-0000-0000-00002F670000}"/>
    <cellStyle name="Input 2 3 3 3 4 6" xfId="26421" xr:uid="{00000000-0005-0000-0000-000030670000}"/>
    <cellStyle name="Input 2 3 3 3 5" xfId="26422" xr:uid="{00000000-0005-0000-0000-000031670000}"/>
    <cellStyle name="Input 2 3 3 3 6" xfId="26423" xr:uid="{00000000-0005-0000-0000-000032670000}"/>
    <cellStyle name="Input 2 3 3 3 7" xfId="26424" xr:uid="{00000000-0005-0000-0000-000033670000}"/>
    <cellStyle name="Input 2 3 3 3 8" xfId="26425" xr:uid="{00000000-0005-0000-0000-000034670000}"/>
    <cellStyle name="Input 2 3 3 4" xfId="26426" xr:uid="{00000000-0005-0000-0000-000035670000}"/>
    <cellStyle name="Input 2 3 3 4 2" xfId="26427" xr:uid="{00000000-0005-0000-0000-000036670000}"/>
    <cellStyle name="Input 2 3 3 4 2 2" xfId="26428" xr:uid="{00000000-0005-0000-0000-000037670000}"/>
    <cellStyle name="Input 2 3 3 4 2 2 2" xfId="26429" xr:uid="{00000000-0005-0000-0000-000038670000}"/>
    <cellStyle name="Input 2 3 3 4 2 2 3" xfId="26430" xr:uid="{00000000-0005-0000-0000-000039670000}"/>
    <cellStyle name="Input 2 3 3 4 2 2 4" xfId="26431" xr:uid="{00000000-0005-0000-0000-00003A670000}"/>
    <cellStyle name="Input 2 3 3 4 2 2 5" xfId="26432" xr:uid="{00000000-0005-0000-0000-00003B670000}"/>
    <cellStyle name="Input 2 3 3 4 2 2 6" xfId="26433" xr:uid="{00000000-0005-0000-0000-00003C670000}"/>
    <cellStyle name="Input 2 3 3 4 2 3" xfId="26434" xr:uid="{00000000-0005-0000-0000-00003D670000}"/>
    <cellStyle name="Input 2 3 3 4 2 4" xfId="26435" xr:uid="{00000000-0005-0000-0000-00003E670000}"/>
    <cellStyle name="Input 2 3 3 4 2 5" xfId="26436" xr:uid="{00000000-0005-0000-0000-00003F670000}"/>
    <cellStyle name="Input 2 3 3 4 2 6" xfId="26437" xr:uid="{00000000-0005-0000-0000-000040670000}"/>
    <cellStyle name="Input 2 3 3 4 3" xfId="26438" xr:uid="{00000000-0005-0000-0000-000041670000}"/>
    <cellStyle name="Input 2 3 3 4 3 2" xfId="26439" xr:uid="{00000000-0005-0000-0000-000042670000}"/>
    <cellStyle name="Input 2 3 3 4 3 2 2" xfId="26440" xr:uid="{00000000-0005-0000-0000-000043670000}"/>
    <cellStyle name="Input 2 3 3 4 3 2 3" xfId="26441" xr:uid="{00000000-0005-0000-0000-000044670000}"/>
    <cellStyle name="Input 2 3 3 4 3 2 4" xfId="26442" xr:uid="{00000000-0005-0000-0000-000045670000}"/>
    <cellStyle name="Input 2 3 3 4 3 2 5" xfId="26443" xr:uid="{00000000-0005-0000-0000-000046670000}"/>
    <cellStyle name="Input 2 3 3 4 3 2 6" xfId="26444" xr:uid="{00000000-0005-0000-0000-000047670000}"/>
    <cellStyle name="Input 2 3 3 4 3 3" xfId="26445" xr:uid="{00000000-0005-0000-0000-000048670000}"/>
    <cellStyle name="Input 2 3 3 4 3 4" xfId="26446" xr:uid="{00000000-0005-0000-0000-000049670000}"/>
    <cellStyle name="Input 2 3 3 4 3 5" xfId="26447" xr:uid="{00000000-0005-0000-0000-00004A670000}"/>
    <cellStyle name="Input 2 3 3 4 3 6" xfId="26448" xr:uid="{00000000-0005-0000-0000-00004B670000}"/>
    <cellStyle name="Input 2 3 3 4 4" xfId="26449" xr:uid="{00000000-0005-0000-0000-00004C670000}"/>
    <cellStyle name="Input 2 3 3 4 4 2" xfId="26450" xr:uid="{00000000-0005-0000-0000-00004D670000}"/>
    <cellStyle name="Input 2 3 3 4 4 3" xfId="26451" xr:uid="{00000000-0005-0000-0000-00004E670000}"/>
    <cellStyle name="Input 2 3 3 4 4 4" xfId="26452" xr:uid="{00000000-0005-0000-0000-00004F670000}"/>
    <cellStyle name="Input 2 3 3 4 4 5" xfId="26453" xr:uid="{00000000-0005-0000-0000-000050670000}"/>
    <cellStyle name="Input 2 3 3 4 4 6" xfId="26454" xr:uid="{00000000-0005-0000-0000-000051670000}"/>
    <cellStyle name="Input 2 3 3 4 5" xfId="26455" xr:uid="{00000000-0005-0000-0000-000052670000}"/>
    <cellStyle name="Input 2 3 3 4 6" xfId="26456" xr:uid="{00000000-0005-0000-0000-000053670000}"/>
    <cellStyle name="Input 2 3 3 4 7" xfId="26457" xr:uid="{00000000-0005-0000-0000-000054670000}"/>
    <cellStyle name="Input 2 3 3 4 8" xfId="26458" xr:uid="{00000000-0005-0000-0000-000055670000}"/>
    <cellStyle name="Input 2 3 3 5" xfId="26459" xr:uid="{00000000-0005-0000-0000-000056670000}"/>
    <cellStyle name="Input 2 3 3 5 2" xfId="26460" xr:uid="{00000000-0005-0000-0000-000057670000}"/>
    <cellStyle name="Input 2 3 3 5 2 2" xfId="26461" xr:uid="{00000000-0005-0000-0000-000058670000}"/>
    <cellStyle name="Input 2 3 3 5 2 2 2" xfId="26462" xr:uid="{00000000-0005-0000-0000-000059670000}"/>
    <cellStyle name="Input 2 3 3 5 2 2 3" xfId="26463" xr:uid="{00000000-0005-0000-0000-00005A670000}"/>
    <cellStyle name="Input 2 3 3 5 2 2 4" xfId="26464" xr:uid="{00000000-0005-0000-0000-00005B670000}"/>
    <cellStyle name="Input 2 3 3 5 2 2 5" xfId="26465" xr:uid="{00000000-0005-0000-0000-00005C670000}"/>
    <cellStyle name="Input 2 3 3 5 2 2 6" xfId="26466" xr:uid="{00000000-0005-0000-0000-00005D670000}"/>
    <cellStyle name="Input 2 3 3 5 2 3" xfId="26467" xr:uid="{00000000-0005-0000-0000-00005E670000}"/>
    <cellStyle name="Input 2 3 3 5 2 4" xfId="26468" xr:uid="{00000000-0005-0000-0000-00005F670000}"/>
    <cellStyle name="Input 2 3 3 5 2 5" xfId="26469" xr:uid="{00000000-0005-0000-0000-000060670000}"/>
    <cellStyle name="Input 2 3 3 5 2 6" xfId="26470" xr:uid="{00000000-0005-0000-0000-000061670000}"/>
    <cellStyle name="Input 2 3 3 5 3" xfId="26471" xr:uid="{00000000-0005-0000-0000-000062670000}"/>
    <cellStyle name="Input 2 3 3 5 3 2" xfId="26472" xr:uid="{00000000-0005-0000-0000-000063670000}"/>
    <cellStyle name="Input 2 3 3 5 3 2 2" xfId="26473" xr:uid="{00000000-0005-0000-0000-000064670000}"/>
    <cellStyle name="Input 2 3 3 5 3 2 3" xfId="26474" xr:uid="{00000000-0005-0000-0000-000065670000}"/>
    <cellStyle name="Input 2 3 3 5 3 2 4" xfId="26475" xr:uid="{00000000-0005-0000-0000-000066670000}"/>
    <cellStyle name="Input 2 3 3 5 3 2 5" xfId="26476" xr:uid="{00000000-0005-0000-0000-000067670000}"/>
    <cellStyle name="Input 2 3 3 5 3 2 6" xfId="26477" xr:uid="{00000000-0005-0000-0000-000068670000}"/>
    <cellStyle name="Input 2 3 3 5 3 3" xfId="26478" xr:uid="{00000000-0005-0000-0000-000069670000}"/>
    <cellStyle name="Input 2 3 3 5 3 4" xfId="26479" xr:uid="{00000000-0005-0000-0000-00006A670000}"/>
    <cellStyle name="Input 2 3 3 5 3 5" xfId="26480" xr:uid="{00000000-0005-0000-0000-00006B670000}"/>
    <cellStyle name="Input 2 3 3 5 3 6" xfId="26481" xr:uid="{00000000-0005-0000-0000-00006C670000}"/>
    <cellStyle name="Input 2 3 3 5 4" xfId="26482" xr:uid="{00000000-0005-0000-0000-00006D670000}"/>
    <cellStyle name="Input 2 3 3 5 4 2" xfId="26483" xr:uid="{00000000-0005-0000-0000-00006E670000}"/>
    <cellStyle name="Input 2 3 3 5 4 3" xfId="26484" xr:uid="{00000000-0005-0000-0000-00006F670000}"/>
    <cellStyle name="Input 2 3 3 5 4 4" xfId="26485" xr:uid="{00000000-0005-0000-0000-000070670000}"/>
    <cellStyle name="Input 2 3 3 5 4 5" xfId="26486" xr:uid="{00000000-0005-0000-0000-000071670000}"/>
    <cellStyle name="Input 2 3 3 5 4 6" xfId="26487" xr:uid="{00000000-0005-0000-0000-000072670000}"/>
    <cellStyle name="Input 2 3 3 5 5" xfId="26488" xr:uid="{00000000-0005-0000-0000-000073670000}"/>
    <cellStyle name="Input 2 3 3 5 6" xfId="26489" xr:uid="{00000000-0005-0000-0000-000074670000}"/>
    <cellStyle name="Input 2 3 3 5 7" xfId="26490" xr:uid="{00000000-0005-0000-0000-000075670000}"/>
    <cellStyle name="Input 2 3 3 5 8" xfId="26491" xr:uid="{00000000-0005-0000-0000-000076670000}"/>
    <cellStyle name="Input 2 3 3 6" xfId="26492" xr:uid="{00000000-0005-0000-0000-000077670000}"/>
    <cellStyle name="Input 2 3 3 6 2" xfId="26493" xr:uid="{00000000-0005-0000-0000-000078670000}"/>
    <cellStyle name="Input 2 3 3 6 2 2" xfId="26494" xr:uid="{00000000-0005-0000-0000-000079670000}"/>
    <cellStyle name="Input 2 3 3 6 2 2 2" xfId="26495" xr:uid="{00000000-0005-0000-0000-00007A670000}"/>
    <cellStyle name="Input 2 3 3 6 2 2 3" xfId="26496" xr:uid="{00000000-0005-0000-0000-00007B670000}"/>
    <cellStyle name="Input 2 3 3 6 2 2 4" xfId="26497" xr:uid="{00000000-0005-0000-0000-00007C670000}"/>
    <cellStyle name="Input 2 3 3 6 2 2 5" xfId="26498" xr:uid="{00000000-0005-0000-0000-00007D670000}"/>
    <cellStyle name="Input 2 3 3 6 2 2 6" xfId="26499" xr:uid="{00000000-0005-0000-0000-00007E670000}"/>
    <cellStyle name="Input 2 3 3 6 2 3" xfId="26500" xr:uid="{00000000-0005-0000-0000-00007F670000}"/>
    <cellStyle name="Input 2 3 3 6 2 4" xfId="26501" xr:uid="{00000000-0005-0000-0000-000080670000}"/>
    <cellStyle name="Input 2 3 3 6 2 5" xfId="26502" xr:uid="{00000000-0005-0000-0000-000081670000}"/>
    <cellStyle name="Input 2 3 3 6 2 6" xfId="26503" xr:uid="{00000000-0005-0000-0000-000082670000}"/>
    <cellStyle name="Input 2 3 3 6 3" xfId="26504" xr:uid="{00000000-0005-0000-0000-000083670000}"/>
    <cellStyle name="Input 2 3 3 6 3 2" xfId="26505" xr:uid="{00000000-0005-0000-0000-000084670000}"/>
    <cellStyle name="Input 2 3 3 6 3 2 2" xfId="26506" xr:uid="{00000000-0005-0000-0000-000085670000}"/>
    <cellStyle name="Input 2 3 3 6 3 2 3" xfId="26507" xr:uid="{00000000-0005-0000-0000-000086670000}"/>
    <cellStyle name="Input 2 3 3 6 3 2 4" xfId="26508" xr:uid="{00000000-0005-0000-0000-000087670000}"/>
    <cellStyle name="Input 2 3 3 6 3 2 5" xfId="26509" xr:uid="{00000000-0005-0000-0000-000088670000}"/>
    <cellStyle name="Input 2 3 3 6 3 2 6" xfId="26510" xr:uid="{00000000-0005-0000-0000-000089670000}"/>
    <cellStyle name="Input 2 3 3 6 3 3" xfId="26511" xr:uid="{00000000-0005-0000-0000-00008A670000}"/>
    <cellStyle name="Input 2 3 3 6 3 4" xfId="26512" xr:uid="{00000000-0005-0000-0000-00008B670000}"/>
    <cellStyle name="Input 2 3 3 6 3 5" xfId="26513" xr:uid="{00000000-0005-0000-0000-00008C670000}"/>
    <cellStyle name="Input 2 3 3 6 3 6" xfId="26514" xr:uid="{00000000-0005-0000-0000-00008D670000}"/>
    <cellStyle name="Input 2 3 3 6 4" xfId="26515" xr:uid="{00000000-0005-0000-0000-00008E670000}"/>
    <cellStyle name="Input 2 3 3 6 4 2" xfId="26516" xr:uid="{00000000-0005-0000-0000-00008F670000}"/>
    <cellStyle name="Input 2 3 3 6 4 3" xfId="26517" xr:uid="{00000000-0005-0000-0000-000090670000}"/>
    <cellStyle name="Input 2 3 3 6 4 4" xfId="26518" xr:uid="{00000000-0005-0000-0000-000091670000}"/>
    <cellStyle name="Input 2 3 3 6 4 5" xfId="26519" xr:uid="{00000000-0005-0000-0000-000092670000}"/>
    <cellStyle name="Input 2 3 3 6 4 6" xfId="26520" xr:uid="{00000000-0005-0000-0000-000093670000}"/>
    <cellStyle name="Input 2 3 3 6 5" xfId="26521" xr:uid="{00000000-0005-0000-0000-000094670000}"/>
    <cellStyle name="Input 2 3 3 6 6" xfId="26522" xr:uid="{00000000-0005-0000-0000-000095670000}"/>
    <cellStyle name="Input 2 3 3 6 7" xfId="26523" xr:uid="{00000000-0005-0000-0000-000096670000}"/>
    <cellStyle name="Input 2 3 3 6 8" xfId="26524" xr:uid="{00000000-0005-0000-0000-000097670000}"/>
    <cellStyle name="Input 2 3 3 7" xfId="26525" xr:uid="{00000000-0005-0000-0000-000098670000}"/>
    <cellStyle name="Input 2 3 3 7 2" xfId="26526" xr:uid="{00000000-0005-0000-0000-000099670000}"/>
    <cellStyle name="Input 2 3 3 7 2 2" xfId="26527" xr:uid="{00000000-0005-0000-0000-00009A670000}"/>
    <cellStyle name="Input 2 3 3 7 2 3" xfId="26528" xr:uid="{00000000-0005-0000-0000-00009B670000}"/>
    <cellStyle name="Input 2 3 3 7 2 4" xfId="26529" xr:uid="{00000000-0005-0000-0000-00009C670000}"/>
    <cellStyle name="Input 2 3 3 7 2 5" xfId="26530" xr:uid="{00000000-0005-0000-0000-00009D670000}"/>
    <cellStyle name="Input 2 3 3 7 2 6" xfId="26531" xr:uid="{00000000-0005-0000-0000-00009E670000}"/>
    <cellStyle name="Input 2 3 3 7 3" xfId="26532" xr:uid="{00000000-0005-0000-0000-00009F670000}"/>
    <cellStyle name="Input 2 3 3 7 4" xfId="26533" xr:uid="{00000000-0005-0000-0000-0000A0670000}"/>
    <cellStyle name="Input 2 3 3 7 5" xfId="26534" xr:uid="{00000000-0005-0000-0000-0000A1670000}"/>
    <cellStyle name="Input 2 3 3 7 6" xfId="26535" xr:uid="{00000000-0005-0000-0000-0000A2670000}"/>
    <cellStyle name="Input 2 3 3 8" xfId="26536" xr:uid="{00000000-0005-0000-0000-0000A3670000}"/>
    <cellStyle name="Input 2 3 3 8 2" xfId="26537" xr:uid="{00000000-0005-0000-0000-0000A4670000}"/>
    <cellStyle name="Input 2 3 3 8 2 2" xfId="26538" xr:uid="{00000000-0005-0000-0000-0000A5670000}"/>
    <cellStyle name="Input 2 3 3 8 2 3" xfId="26539" xr:uid="{00000000-0005-0000-0000-0000A6670000}"/>
    <cellStyle name="Input 2 3 3 8 2 4" xfId="26540" xr:uid="{00000000-0005-0000-0000-0000A7670000}"/>
    <cellStyle name="Input 2 3 3 8 2 5" xfId="26541" xr:uid="{00000000-0005-0000-0000-0000A8670000}"/>
    <cellStyle name="Input 2 3 3 8 2 6" xfId="26542" xr:uid="{00000000-0005-0000-0000-0000A9670000}"/>
    <cellStyle name="Input 2 3 3 8 3" xfId="26543" xr:uid="{00000000-0005-0000-0000-0000AA670000}"/>
    <cellStyle name="Input 2 3 3 8 4" xfId="26544" xr:uid="{00000000-0005-0000-0000-0000AB670000}"/>
    <cellStyle name="Input 2 3 3 8 5" xfId="26545" xr:uid="{00000000-0005-0000-0000-0000AC670000}"/>
    <cellStyle name="Input 2 3 3 8 6" xfId="26546" xr:uid="{00000000-0005-0000-0000-0000AD670000}"/>
    <cellStyle name="Input 2 3 3 9" xfId="26547" xr:uid="{00000000-0005-0000-0000-0000AE670000}"/>
    <cellStyle name="Input 2 3 3 9 2" xfId="26548" xr:uid="{00000000-0005-0000-0000-0000AF670000}"/>
    <cellStyle name="Input 2 3 3 9 3" xfId="26549" xr:uid="{00000000-0005-0000-0000-0000B0670000}"/>
    <cellStyle name="Input 2 3 3 9 4" xfId="26550" xr:uid="{00000000-0005-0000-0000-0000B1670000}"/>
    <cellStyle name="Input 2 3 3 9 5" xfId="26551" xr:uid="{00000000-0005-0000-0000-0000B2670000}"/>
    <cellStyle name="Input 2 3 3 9 6" xfId="26552" xr:uid="{00000000-0005-0000-0000-0000B3670000}"/>
    <cellStyle name="Input 2 3 4" xfId="26553" xr:uid="{00000000-0005-0000-0000-0000B4670000}"/>
    <cellStyle name="Input 2 3 4 2" xfId="26554" xr:uid="{00000000-0005-0000-0000-0000B5670000}"/>
    <cellStyle name="Input 2 3 4 2 2" xfId="26555" xr:uid="{00000000-0005-0000-0000-0000B6670000}"/>
    <cellStyle name="Input 2 3 4 2 2 2" xfId="26556" xr:uid="{00000000-0005-0000-0000-0000B7670000}"/>
    <cellStyle name="Input 2 3 4 2 2 3" xfId="26557" xr:uid="{00000000-0005-0000-0000-0000B8670000}"/>
    <cellStyle name="Input 2 3 4 2 2 4" xfId="26558" xr:uid="{00000000-0005-0000-0000-0000B9670000}"/>
    <cellStyle name="Input 2 3 4 2 2 5" xfId="26559" xr:uid="{00000000-0005-0000-0000-0000BA670000}"/>
    <cellStyle name="Input 2 3 4 2 2 6" xfId="26560" xr:uid="{00000000-0005-0000-0000-0000BB670000}"/>
    <cellStyle name="Input 2 3 4 2 3" xfId="26561" xr:uid="{00000000-0005-0000-0000-0000BC670000}"/>
    <cellStyle name="Input 2 3 4 2 4" xfId="26562" xr:uid="{00000000-0005-0000-0000-0000BD670000}"/>
    <cellStyle name="Input 2 3 4 2 5" xfId="26563" xr:uid="{00000000-0005-0000-0000-0000BE670000}"/>
    <cellStyle name="Input 2 3 4 2 6" xfId="26564" xr:uid="{00000000-0005-0000-0000-0000BF670000}"/>
    <cellStyle name="Input 2 3 4 3" xfId="26565" xr:uid="{00000000-0005-0000-0000-0000C0670000}"/>
    <cellStyle name="Input 2 3 4 3 2" xfId="26566" xr:uid="{00000000-0005-0000-0000-0000C1670000}"/>
    <cellStyle name="Input 2 3 4 3 2 2" xfId="26567" xr:uid="{00000000-0005-0000-0000-0000C2670000}"/>
    <cellStyle name="Input 2 3 4 3 2 3" xfId="26568" xr:uid="{00000000-0005-0000-0000-0000C3670000}"/>
    <cellStyle name="Input 2 3 4 3 2 4" xfId="26569" xr:uid="{00000000-0005-0000-0000-0000C4670000}"/>
    <cellStyle name="Input 2 3 4 3 2 5" xfId="26570" xr:uid="{00000000-0005-0000-0000-0000C5670000}"/>
    <cellStyle name="Input 2 3 4 3 2 6" xfId="26571" xr:uid="{00000000-0005-0000-0000-0000C6670000}"/>
    <cellStyle name="Input 2 3 4 3 3" xfId="26572" xr:uid="{00000000-0005-0000-0000-0000C7670000}"/>
    <cellStyle name="Input 2 3 4 3 4" xfId="26573" xr:uid="{00000000-0005-0000-0000-0000C8670000}"/>
    <cellStyle name="Input 2 3 4 3 5" xfId="26574" xr:uid="{00000000-0005-0000-0000-0000C9670000}"/>
    <cellStyle name="Input 2 3 4 3 6" xfId="26575" xr:uid="{00000000-0005-0000-0000-0000CA670000}"/>
    <cellStyle name="Input 2 3 4 4" xfId="26576" xr:uid="{00000000-0005-0000-0000-0000CB670000}"/>
    <cellStyle name="Input 2 3 4 4 2" xfId="26577" xr:uid="{00000000-0005-0000-0000-0000CC670000}"/>
    <cellStyle name="Input 2 3 4 4 3" xfId="26578" xr:uid="{00000000-0005-0000-0000-0000CD670000}"/>
    <cellStyle name="Input 2 3 4 4 4" xfId="26579" xr:uid="{00000000-0005-0000-0000-0000CE670000}"/>
    <cellStyle name="Input 2 3 4 4 5" xfId="26580" xr:uid="{00000000-0005-0000-0000-0000CF670000}"/>
    <cellStyle name="Input 2 3 4 4 6" xfId="26581" xr:uid="{00000000-0005-0000-0000-0000D0670000}"/>
    <cellStyle name="Input 2 3 4 5" xfId="26582" xr:uid="{00000000-0005-0000-0000-0000D1670000}"/>
    <cellStyle name="Input 2 3 4 6" xfId="26583" xr:uid="{00000000-0005-0000-0000-0000D2670000}"/>
    <cellStyle name="Input 2 3 4 7" xfId="26584" xr:uid="{00000000-0005-0000-0000-0000D3670000}"/>
    <cellStyle name="Input 2 3 4 8" xfId="26585" xr:uid="{00000000-0005-0000-0000-0000D4670000}"/>
    <cellStyle name="Input 2 3 5" xfId="26586" xr:uid="{00000000-0005-0000-0000-0000D5670000}"/>
    <cellStyle name="Input 2 3 5 2" xfId="26587" xr:uid="{00000000-0005-0000-0000-0000D6670000}"/>
    <cellStyle name="Input 2 3 5 2 2" xfId="26588" xr:uid="{00000000-0005-0000-0000-0000D7670000}"/>
    <cellStyle name="Input 2 3 5 2 2 2" xfId="26589" xr:uid="{00000000-0005-0000-0000-0000D8670000}"/>
    <cellStyle name="Input 2 3 5 2 2 3" xfId="26590" xr:uid="{00000000-0005-0000-0000-0000D9670000}"/>
    <cellStyle name="Input 2 3 5 2 2 4" xfId="26591" xr:uid="{00000000-0005-0000-0000-0000DA670000}"/>
    <cellStyle name="Input 2 3 5 2 2 5" xfId="26592" xr:uid="{00000000-0005-0000-0000-0000DB670000}"/>
    <cellStyle name="Input 2 3 5 2 2 6" xfId="26593" xr:uid="{00000000-0005-0000-0000-0000DC670000}"/>
    <cellStyle name="Input 2 3 5 2 3" xfId="26594" xr:uid="{00000000-0005-0000-0000-0000DD670000}"/>
    <cellStyle name="Input 2 3 5 2 4" xfId="26595" xr:uid="{00000000-0005-0000-0000-0000DE670000}"/>
    <cellStyle name="Input 2 3 5 2 5" xfId="26596" xr:uid="{00000000-0005-0000-0000-0000DF670000}"/>
    <cellStyle name="Input 2 3 5 2 6" xfId="26597" xr:uid="{00000000-0005-0000-0000-0000E0670000}"/>
    <cellStyle name="Input 2 3 5 3" xfId="26598" xr:uid="{00000000-0005-0000-0000-0000E1670000}"/>
    <cellStyle name="Input 2 3 5 3 2" xfId="26599" xr:uid="{00000000-0005-0000-0000-0000E2670000}"/>
    <cellStyle name="Input 2 3 5 3 2 2" xfId="26600" xr:uid="{00000000-0005-0000-0000-0000E3670000}"/>
    <cellStyle name="Input 2 3 5 3 2 3" xfId="26601" xr:uid="{00000000-0005-0000-0000-0000E4670000}"/>
    <cellStyle name="Input 2 3 5 3 2 4" xfId="26602" xr:uid="{00000000-0005-0000-0000-0000E5670000}"/>
    <cellStyle name="Input 2 3 5 3 2 5" xfId="26603" xr:uid="{00000000-0005-0000-0000-0000E6670000}"/>
    <cellStyle name="Input 2 3 5 3 2 6" xfId="26604" xr:uid="{00000000-0005-0000-0000-0000E7670000}"/>
    <cellStyle name="Input 2 3 5 3 3" xfId="26605" xr:uid="{00000000-0005-0000-0000-0000E8670000}"/>
    <cellStyle name="Input 2 3 5 3 4" xfId="26606" xr:uid="{00000000-0005-0000-0000-0000E9670000}"/>
    <cellStyle name="Input 2 3 5 3 5" xfId="26607" xr:uid="{00000000-0005-0000-0000-0000EA670000}"/>
    <cellStyle name="Input 2 3 5 3 6" xfId="26608" xr:uid="{00000000-0005-0000-0000-0000EB670000}"/>
    <cellStyle name="Input 2 3 5 4" xfId="26609" xr:uid="{00000000-0005-0000-0000-0000EC670000}"/>
    <cellStyle name="Input 2 3 5 4 2" xfId="26610" xr:uid="{00000000-0005-0000-0000-0000ED670000}"/>
    <cellStyle name="Input 2 3 5 4 3" xfId="26611" xr:uid="{00000000-0005-0000-0000-0000EE670000}"/>
    <cellStyle name="Input 2 3 5 4 4" xfId="26612" xr:uid="{00000000-0005-0000-0000-0000EF670000}"/>
    <cellStyle name="Input 2 3 5 4 5" xfId="26613" xr:uid="{00000000-0005-0000-0000-0000F0670000}"/>
    <cellStyle name="Input 2 3 5 4 6" xfId="26614" xr:uid="{00000000-0005-0000-0000-0000F1670000}"/>
    <cellStyle name="Input 2 3 5 5" xfId="26615" xr:uid="{00000000-0005-0000-0000-0000F2670000}"/>
    <cellStyle name="Input 2 3 5 6" xfId="26616" xr:uid="{00000000-0005-0000-0000-0000F3670000}"/>
    <cellStyle name="Input 2 3 5 7" xfId="26617" xr:uid="{00000000-0005-0000-0000-0000F4670000}"/>
    <cellStyle name="Input 2 3 5 8" xfId="26618" xr:uid="{00000000-0005-0000-0000-0000F5670000}"/>
    <cellStyle name="Input 2 3 6" xfId="26619" xr:uid="{00000000-0005-0000-0000-0000F6670000}"/>
    <cellStyle name="Input 2 3 6 2" xfId="26620" xr:uid="{00000000-0005-0000-0000-0000F7670000}"/>
    <cellStyle name="Input 2 3 6 2 2" xfId="26621" xr:uid="{00000000-0005-0000-0000-0000F8670000}"/>
    <cellStyle name="Input 2 3 6 2 2 2" xfId="26622" xr:uid="{00000000-0005-0000-0000-0000F9670000}"/>
    <cellStyle name="Input 2 3 6 2 2 3" xfId="26623" xr:uid="{00000000-0005-0000-0000-0000FA670000}"/>
    <cellStyle name="Input 2 3 6 2 2 4" xfId="26624" xr:uid="{00000000-0005-0000-0000-0000FB670000}"/>
    <cellStyle name="Input 2 3 6 2 2 5" xfId="26625" xr:uid="{00000000-0005-0000-0000-0000FC670000}"/>
    <cellStyle name="Input 2 3 6 2 2 6" xfId="26626" xr:uid="{00000000-0005-0000-0000-0000FD670000}"/>
    <cellStyle name="Input 2 3 6 2 3" xfId="26627" xr:uid="{00000000-0005-0000-0000-0000FE670000}"/>
    <cellStyle name="Input 2 3 6 2 4" xfId="26628" xr:uid="{00000000-0005-0000-0000-0000FF670000}"/>
    <cellStyle name="Input 2 3 6 2 5" xfId="26629" xr:uid="{00000000-0005-0000-0000-000000680000}"/>
    <cellStyle name="Input 2 3 6 2 6" xfId="26630" xr:uid="{00000000-0005-0000-0000-000001680000}"/>
    <cellStyle name="Input 2 3 6 3" xfId="26631" xr:uid="{00000000-0005-0000-0000-000002680000}"/>
    <cellStyle name="Input 2 3 6 3 2" xfId="26632" xr:uid="{00000000-0005-0000-0000-000003680000}"/>
    <cellStyle name="Input 2 3 6 3 2 2" xfId="26633" xr:uid="{00000000-0005-0000-0000-000004680000}"/>
    <cellStyle name="Input 2 3 6 3 2 3" xfId="26634" xr:uid="{00000000-0005-0000-0000-000005680000}"/>
    <cellStyle name="Input 2 3 6 3 2 4" xfId="26635" xr:uid="{00000000-0005-0000-0000-000006680000}"/>
    <cellStyle name="Input 2 3 6 3 2 5" xfId="26636" xr:uid="{00000000-0005-0000-0000-000007680000}"/>
    <cellStyle name="Input 2 3 6 3 2 6" xfId="26637" xr:uid="{00000000-0005-0000-0000-000008680000}"/>
    <cellStyle name="Input 2 3 6 3 3" xfId="26638" xr:uid="{00000000-0005-0000-0000-000009680000}"/>
    <cellStyle name="Input 2 3 6 3 4" xfId="26639" xr:uid="{00000000-0005-0000-0000-00000A680000}"/>
    <cellStyle name="Input 2 3 6 3 5" xfId="26640" xr:uid="{00000000-0005-0000-0000-00000B680000}"/>
    <cellStyle name="Input 2 3 6 3 6" xfId="26641" xr:uid="{00000000-0005-0000-0000-00000C680000}"/>
    <cellStyle name="Input 2 3 6 4" xfId="26642" xr:uid="{00000000-0005-0000-0000-00000D680000}"/>
    <cellStyle name="Input 2 3 6 4 2" xfId="26643" xr:uid="{00000000-0005-0000-0000-00000E680000}"/>
    <cellStyle name="Input 2 3 6 4 3" xfId="26644" xr:uid="{00000000-0005-0000-0000-00000F680000}"/>
    <cellStyle name="Input 2 3 6 4 4" xfId="26645" xr:uid="{00000000-0005-0000-0000-000010680000}"/>
    <cellStyle name="Input 2 3 6 4 5" xfId="26646" xr:uid="{00000000-0005-0000-0000-000011680000}"/>
    <cellStyle name="Input 2 3 6 4 6" xfId="26647" xr:uid="{00000000-0005-0000-0000-000012680000}"/>
    <cellStyle name="Input 2 3 6 5" xfId="26648" xr:uid="{00000000-0005-0000-0000-000013680000}"/>
    <cellStyle name="Input 2 3 6 6" xfId="26649" xr:uid="{00000000-0005-0000-0000-000014680000}"/>
    <cellStyle name="Input 2 3 6 7" xfId="26650" xr:uid="{00000000-0005-0000-0000-000015680000}"/>
    <cellStyle name="Input 2 3 6 8" xfId="26651" xr:uid="{00000000-0005-0000-0000-000016680000}"/>
    <cellStyle name="Input 2 3 7" xfId="26652" xr:uid="{00000000-0005-0000-0000-000017680000}"/>
    <cellStyle name="Input 2 3 7 2" xfId="26653" xr:uid="{00000000-0005-0000-0000-000018680000}"/>
    <cellStyle name="Input 2 3 7 2 2" xfId="26654" xr:uid="{00000000-0005-0000-0000-000019680000}"/>
    <cellStyle name="Input 2 3 7 2 3" xfId="26655" xr:uid="{00000000-0005-0000-0000-00001A680000}"/>
    <cellStyle name="Input 2 3 7 2 4" xfId="26656" xr:uid="{00000000-0005-0000-0000-00001B680000}"/>
    <cellStyle name="Input 2 3 7 2 5" xfId="26657" xr:uid="{00000000-0005-0000-0000-00001C680000}"/>
    <cellStyle name="Input 2 3 7 2 6" xfId="26658" xr:uid="{00000000-0005-0000-0000-00001D680000}"/>
    <cellStyle name="Input 2 3 7 3" xfId="26659" xr:uid="{00000000-0005-0000-0000-00001E680000}"/>
    <cellStyle name="Input 2 3 7 4" xfId="26660" xr:uid="{00000000-0005-0000-0000-00001F680000}"/>
    <cellStyle name="Input 2 3 7 5" xfId="26661" xr:uid="{00000000-0005-0000-0000-000020680000}"/>
    <cellStyle name="Input 2 3 7 6" xfId="26662" xr:uid="{00000000-0005-0000-0000-000021680000}"/>
    <cellStyle name="Input 2 3 8" xfId="26663" xr:uid="{00000000-0005-0000-0000-000022680000}"/>
    <cellStyle name="Input 2 3 8 2" xfId="26664" xr:uid="{00000000-0005-0000-0000-000023680000}"/>
    <cellStyle name="Input 2 3 8 2 2" xfId="26665" xr:uid="{00000000-0005-0000-0000-000024680000}"/>
    <cellStyle name="Input 2 3 8 2 3" xfId="26666" xr:uid="{00000000-0005-0000-0000-000025680000}"/>
    <cellStyle name="Input 2 3 8 2 4" xfId="26667" xr:uid="{00000000-0005-0000-0000-000026680000}"/>
    <cellStyle name="Input 2 3 8 2 5" xfId="26668" xr:uid="{00000000-0005-0000-0000-000027680000}"/>
    <cellStyle name="Input 2 3 8 2 6" xfId="26669" xr:uid="{00000000-0005-0000-0000-000028680000}"/>
    <cellStyle name="Input 2 3 8 3" xfId="26670" xr:uid="{00000000-0005-0000-0000-000029680000}"/>
    <cellStyle name="Input 2 3 8 4" xfId="26671" xr:uid="{00000000-0005-0000-0000-00002A680000}"/>
    <cellStyle name="Input 2 3 8 5" xfId="26672" xr:uid="{00000000-0005-0000-0000-00002B680000}"/>
    <cellStyle name="Input 2 3 8 6" xfId="26673" xr:uid="{00000000-0005-0000-0000-00002C680000}"/>
    <cellStyle name="Input 2 3 9" xfId="26674" xr:uid="{00000000-0005-0000-0000-00002D680000}"/>
    <cellStyle name="Input 2 3 9 2" xfId="26675" xr:uid="{00000000-0005-0000-0000-00002E680000}"/>
    <cellStyle name="Input 2 3 9 3" xfId="26676" xr:uid="{00000000-0005-0000-0000-00002F680000}"/>
    <cellStyle name="Input 2 3 9 4" xfId="26677" xr:uid="{00000000-0005-0000-0000-000030680000}"/>
    <cellStyle name="Input 2 3 9 5" xfId="26678" xr:uid="{00000000-0005-0000-0000-000031680000}"/>
    <cellStyle name="Input 2 3 9 6" xfId="26679" xr:uid="{00000000-0005-0000-0000-000032680000}"/>
    <cellStyle name="Input 2 30" xfId="26680" xr:uid="{00000000-0005-0000-0000-000033680000}"/>
    <cellStyle name="Input 2 30 2" xfId="26681" xr:uid="{00000000-0005-0000-0000-000034680000}"/>
    <cellStyle name="Input 2 30 2 2" xfId="26682" xr:uid="{00000000-0005-0000-0000-000035680000}"/>
    <cellStyle name="Input 2 30 2 3" xfId="26683" xr:uid="{00000000-0005-0000-0000-000036680000}"/>
    <cellStyle name="Input 2 30 2 4" xfId="26684" xr:uid="{00000000-0005-0000-0000-000037680000}"/>
    <cellStyle name="Input 2 30 2 5" xfId="26685" xr:uid="{00000000-0005-0000-0000-000038680000}"/>
    <cellStyle name="Input 2 30 3" xfId="26686" xr:uid="{00000000-0005-0000-0000-000039680000}"/>
    <cellStyle name="Input 2 30 4" xfId="26687" xr:uid="{00000000-0005-0000-0000-00003A680000}"/>
    <cellStyle name="Input 2 30 5" xfId="26688" xr:uid="{00000000-0005-0000-0000-00003B680000}"/>
    <cellStyle name="Input 2 30 6" xfId="26689" xr:uid="{00000000-0005-0000-0000-00003C680000}"/>
    <cellStyle name="Input 2 31" xfId="26690" xr:uid="{00000000-0005-0000-0000-00003D680000}"/>
    <cellStyle name="Input 2 31 2" xfId="26691" xr:uid="{00000000-0005-0000-0000-00003E680000}"/>
    <cellStyle name="Input 2 31 2 2" xfId="26692" xr:uid="{00000000-0005-0000-0000-00003F680000}"/>
    <cellStyle name="Input 2 31 2 3" xfId="26693" xr:uid="{00000000-0005-0000-0000-000040680000}"/>
    <cellStyle name="Input 2 31 2 4" xfId="26694" xr:uid="{00000000-0005-0000-0000-000041680000}"/>
    <cellStyle name="Input 2 31 2 5" xfId="26695" xr:uid="{00000000-0005-0000-0000-000042680000}"/>
    <cellStyle name="Input 2 31 3" xfId="26696" xr:uid="{00000000-0005-0000-0000-000043680000}"/>
    <cellStyle name="Input 2 31 4" xfId="26697" xr:uid="{00000000-0005-0000-0000-000044680000}"/>
    <cellStyle name="Input 2 31 5" xfId="26698" xr:uid="{00000000-0005-0000-0000-000045680000}"/>
    <cellStyle name="Input 2 31 6" xfId="26699" xr:uid="{00000000-0005-0000-0000-000046680000}"/>
    <cellStyle name="Input 2 32" xfId="26700" xr:uid="{00000000-0005-0000-0000-000047680000}"/>
    <cellStyle name="Input 2 32 2" xfId="26701" xr:uid="{00000000-0005-0000-0000-000048680000}"/>
    <cellStyle name="Input 2 32 2 2" xfId="26702" xr:uid="{00000000-0005-0000-0000-000049680000}"/>
    <cellStyle name="Input 2 32 2 3" xfId="26703" xr:uid="{00000000-0005-0000-0000-00004A680000}"/>
    <cellStyle name="Input 2 32 2 4" xfId="26704" xr:uid="{00000000-0005-0000-0000-00004B680000}"/>
    <cellStyle name="Input 2 32 2 5" xfId="26705" xr:uid="{00000000-0005-0000-0000-00004C680000}"/>
    <cellStyle name="Input 2 32 3" xfId="26706" xr:uid="{00000000-0005-0000-0000-00004D680000}"/>
    <cellStyle name="Input 2 32 4" xfId="26707" xr:uid="{00000000-0005-0000-0000-00004E680000}"/>
    <cellStyle name="Input 2 32 5" xfId="26708" xr:uid="{00000000-0005-0000-0000-00004F680000}"/>
    <cellStyle name="Input 2 32 6" xfId="26709" xr:uid="{00000000-0005-0000-0000-000050680000}"/>
    <cellStyle name="Input 2 33" xfId="26710" xr:uid="{00000000-0005-0000-0000-000051680000}"/>
    <cellStyle name="Input 2 33 2" xfId="26711" xr:uid="{00000000-0005-0000-0000-000052680000}"/>
    <cellStyle name="Input 2 33 2 2" xfId="26712" xr:uid="{00000000-0005-0000-0000-000053680000}"/>
    <cellStyle name="Input 2 33 2 3" xfId="26713" xr:uid="{00000000-0005-0000-0000-000054680000}"/>
    <cellStyle name="Input 2 33 2 4" xfId="26714" xr:uid="{00000000-0005-0000-0000-000055680000}"/>
    <cellStyle name="Input 2 33 2 5" xfId="26715" xr:uid="{00000000-0005-0000-0000-000056680000}"/>
    <cellStyle name="Input 2 33 3" xfId="26716" xr:uid="{00000000-0005-0000-0000-000057680000}"/>
    <cellStyle name="Input 2 33 4" xfId="26717" xr:uid="{00000000-0005-0000-0000-000058680000}"/>
    <cellStyle name="Input 2 33 5" xfId="26718" xr:uid="{00000000-0005-0000-0000-000059680000}"/>
    <cellStyle name="Input 2 33 6" xfId="26719" xr:uid="{00000000-0005-0000-0000-00005A680000}"/>
    <cellStyle name="Input 2 34" xfId="26720" xr:uid="{00000000-0005-0000-0000-00005B680000}"/>
    <cellStyle name="Input 2 34 2" xfId="26721" xr:uid="{00000000-0005-0000-0000-00005C680000}"/>
    <cellStyle name="Input 2 34 2 2" xfId="26722" xr:uid="{00000000-0005-0000-0000-00005D680000}"/>
    <cellStyle name="Input 2 34 2 3" xfId="26723" xr:uid="{00000000-0005-0000-0000-00005E680000}"/>
    <cellStyle name="Input 2 34 2 4" xfId="26724" xr:uid="{00000000-0005-0000-0000-00005F680000}"/>
    <cellStyle name="Input 2 34 2 5" xfId="26725" xr:uid="{00000000-0005-0000-0000-000060680000}"/>
    <cellStyle name="Input 2 34 3" xfId="26726" xr:uid="{00000000-0005-0000-0000-000061680000}"/>
    <cellStyle name="Input 2 34 4" xfId="26727" xr:uid="{00000000-0005-0000-0000-000062680000}"/>
    <cellStyle name="Input 2 34 5" xfId="26728" xr:uid="{00000000-0005-0000-0000-000063680000}"/>
    <cellStyle name="Input 2 34 6" xfId="26729" xr:uid="{00000000-0005-0000-0000-000064680000}"/>
    <cellStyle name="Input 2 35" xfId="26730" xr:uid="{00000000-0005-0000-0000-000065680000}"/>
    <cellStyle name="Input 2 35 2" xfId="26731" xr:uid="{00000000-0005-0000-0000-000066680000}"/>
    <cellStyle name="Input 2 35 2 2" xfId="26732" xr:uid="{00000000-0005-0000-0000-000067680000}"/>
    <cellStyle name="Input 2 35 2 3" xfId="26733" xr:uid="{00000000-0005-0000-0000-000068680000}"/>
    <cellStyle name="Input 2 35 2 4" xfId="26734" xr:uid="{00000000-0005-0000-0000-000069680000}"/>
    <cellStyle name="Input 2 35 2 5" xfId="26735" xr:uid="{00000000-0005-0000-0000-00006A680000}"/>
    <cellStyle name="Input 2 35 3" xfId="26736" xr:uid="{00000000-0005-0000-0000-00006B680000}"/>
    <cellStyle name="Input 2 35 4" xfId="26737" xr:uid="{00000000-0005-0000-0000-00006C680000}"/>
    <cellStyle name="Input 2 35 5" xfId="26738" xr:uid="{00000000-0005-0000-0000-00006D680000}"/>
    <cellStyle name="Input 2 35 6" xfId="26739" xr:uid="{00000000-0005-0000-0000-00006E680000}"/>
    <cellStyle name="Input 2 36" xfId="26740" xr:uid="{00000000-0005-0000-0000-00006F680000}"/>
    <cellStyle name="Input 2 36 2" xfId="26741" xr:uid="{00000000-0005-0000-0000-000070680000}"/>
    <cellStyle name="Input 2 36 2 2" xfId="26742" xr:uid="{00000000-0005-0000-0000-000071680000}"/>
    <cellStyle name="Input 2 36 2 3" xfId="26743" xr:uid="{00000000-0005-0000-0000-000072680000}"/>
    <cellStyle name="Input 2 36 2 4" xfId="26744" xr:uid="{00000000-0005-0000-0000-000073680000}"/>
    <cellStyle name="Input 2 36 2 5" xfId="26745" xr:uid="{00000000-0005-0000-0000-000074680000}"/>
    <cellStyle name="Input 2 36 3" xfId="26746" xr:uid="{00000000-0005-0000-0000-000075680000}"/>
    <cellStyle name="Input 2 36 4" xfId="26747" xr:uid="{00000000-0005-0000-0000-000076680000}"/>
    <cellStyle name="Input 2 36 5" xfId="26748" xr:uid="{00000000-0005-0000-0000-000077680000}"/>
    <cellStyle name="Input 2 36 6" xfId="26749" xr:uid="{00000000-0005-0000-0000-000078680000}"/>
    <cellStyle name="Input 2 37" xfId="26750" xr:uid="{00000000-0005-0000-0000-000079680000}"/>
    <cellStyle name="Input 2 37 2" xfId="26751" xr:uid="{00000000-0005-0000-0000-00007A680000}"/>
    <cellStyle name="Input 2 37 2 2" xfId="26752" xr:uid="{00000000-0005-0000-0000-00007B680000}"/>
    <cellStyle name="Input 2 37 2 3" xfId="26753" xr:uid="{00000000-0005-0000-0000-00007C680000}"/>
    <cellStyle name="Input 2 37 2 4" xfId="26754" xr:uid="{00000000-0005-0000-0000-00007D680000}"/>
    <cellStyle name="Input 2 37 2 5" xfId="26755" xr:uid="{00000000-0005-0000-0000-00007E680000}"/>
    <cellStyle name="Input 2 37 3" xfId="26756" xr:uid="{00000000-0005-0000-0000-00007F680000}"/>
    <cellStyle name="Input 2 37 4" xfId="26757" xr:uid="{00000000-0005-0000-0000-000080680000}"/>
    <cellStyle name="Input 2 37 5" xfId="26758" xr:uid="{00000000-0005-0000-0000-000081680000}"/>
    <cellStyle name="Input 2 37 6" xfId="26759" xr:uid="{00000000-0005-0000-0000-000082680000}"/>
    <cellStyle name="Input 2 38" xfId="26760" xr:uid="{00000000-0005-0000-0000-000083680000}"/>
    <cellStyle name="Input 2 38 2" xfId="26761" xr:uid="{00000000-0005-0000-0000-000084680000}"/>
    <cellStyle name="Input 2 38 2 2" xfId="26762" xr:uid="{00000000-0005-0000-0000-000085680000}"/>
    <cellStyle name="Input 2 38 2 3" xfId="26763" xr:uid="{00000000-0005-0000-0000-000086680000}"/>
    <cellStyle name="Input 2 38 2 4" xfId="26764" xr:uid="{00000000-0005-0000-0000-000087680000}"/>
    <cellStyle name="Input 2 38 2 5" xfId="26765" xr:uid="{00000000-0005-0000-0000-000088680000}"/>
    <cellStyle name="Input 2 38 3" xfId="26766" xr:uid="{00000000-0005-0000-0000-000089680000}"/>
    <cellStyle name="Input 2 38 4" xfId="26767" xr:uid="{00000000-0005-0000-0000-00008A680000}"/>
    <cellStyle name="Input 2 38 5" xfId="26768" xr:uid="{00000000-0005-0000-0000-00008B680000}"/>
    <cellStyle name="Input 2 38 6" xfId="26769" xr:uid="{00000000-0005-0000-0000-00008C680000}"/>
    <cellStyle name="Input 2 39" xfId="26770" xr:uid="{00000000-0005-0000-0000-00008D680000}"/>
    <cellStyle name="Input 2 39 2" xfId="26771" xr:uid="{00000000-0005-0000-0000-00008E680000}"/>
    <cellStyle name="Input 2 39 2 2" xfId="26772" xr:uid="{00000000-0005-0000-0000-00008F680000}"/>
    <cellStyle name="Input 2 39 2 3" xfId="26773" xr:uid="{00000000-0005-0000-0000-000090680000}"/>
    <cellStyle name="Input 2 39 2 4" xfId="26774" xr:uid="{00000000-0005-0000-0000-000091680000}"/>
    <cellStyle name="Input 2 39 2 5" xfId="26775" xr:uid="{00000000-0005-0000-0000-000092680000}"/>
    <cellStyle name="Input 2 39 3" xfId="26776" xr:uid="{00000000-0005-0000-0000-000093680000}"/>
    <cellStyle name="Input 2 39 4" xfId="26777" xr:uid="{00000000-0005-0000-0000-000094680000}"/>
    <cellStyle name="Input 2 39 5" xfId="26778" xr:uid="{00000000-0005-0000-0000-000095680000}"/>
    <cellStyle name="Input 2 39 6" xfId="26779" xr:uid="{00000000-0005-0000-0000-000096680000}"/>
    <cellStyle name="Input 2 4" xfId="26780" xr:uid="{00000000-0005-0000-0000-000097680000}"/>
    <cellStyle name="Input 2 4 10" xfId="26781" xr:uid="{00000000-0005-0000-0000-000098680000}"/>
    <cellStyle name="Input 2 4 10 2" xfId="26782" xr:uid="{00000000-0005-0000-0000-000099680000}"/>
    <cellStyle name="Input 2 4 10 3" xfId="26783" xr:uid="{00000000-0005-0000-0000-00009A680000}"/>
    <cellStyle name="Input 2 4 10 4" xfId="26784" xr:uid="{00000000-0005-0000-0000-00009B680000}"/>
    <cellStyle name="Input 2 4 10 5" xfId="26785" xr:uid="{00000000-0005-0000-0000-00009C680000}"/>
    <cellStyle name="Input 2 4 10 6" xfId="26786" xr:uid="{00000000-0005-0000-0000-00009D680000}"/>
    <cellStyle name="Input 2 4 11" xfId="26787" xr:uid="{00000000-0005-0000-0000-00009E680000}"/>
    <cellStyle name="Input 2 4 11 2" xfId="26788" xr:uid="{00000000-0005-0000-0000-00009F680000}"/>
    <cellStyle name="Input 2 4 11 3" xfId="26789" xr:uid="{00000000-0005-0000-0000-0000A0680000}"/>
    <cellStyle name="Input 2 4 11 4" xfId="26790" xr:uid="{00000000-0005-0000-0000-0000A1680000}"/>
    <cellStyle name="Input 2 4 11 5" xfId="26791" xr:uid="{00000000-0005-0000-0000-0000A2680000}"/>
    <cellStyle name="Input 2 4 12" xfId="26792" xr:uid="{00000000-0005-0000-0000-0000A3680000}"/>
    <cellStyle name="Input 2 4 13" xfId="26793" xr:uid="{00000000-0005-0000-0000-0000A4680000}"/>
    <cellStyle name="Input 2 4 14" xfId="26794" xr:uid="{00000000-0005-0000-0000-0000A5680000}"/>
    <cellStyle name="Input 2 4 15" xfId="26795" xr:uid="{00000000-0005-0000-0000-0000A6680000}"/>
    <cellStyle name="Input 2 4 2" xfId="26796" xr:uid="{00000000-0005-0000-0000-0000A7680000}"/>
    <cellStyle name="Input 2 4 2 10" xfId="26797" xr:uid="{00000000-0005-0000-0000-0000A8680000}"/>
    <cellStyle name="Input 2 4 2 10 2" xfId="26798" xr:uid="{00000000-0005-0000-0000-0000A9680000}"/>
    <cellStyle name="Input 2 4 2 10 3" xfId="26799" xr:uid="{00000000-0005-0000-0000-0000AA680000}"/>
    <cellStyle name="Input 2 4 2 10 4" xfId="26800" xr:uid="{00000000-0005-0000-0000-0000AB680000}"/>
    <cellStyle name="Input 2 4 2 10 5" xfId="26801" xr:uid="{00000000-0005-0000-0000-0000AC680000}"/>
    <cellStyle name="Input 2 4 2 11" xfId="26802" xr:uid="{00000000-0005-0000-0000-0000AD680000}"/>
    <cellStyle name="Input 2 4 2 12" xfId="26803" xr:uid="{00000000-0005-0000-0000-0000AE680000}"/>
    <cellStyle name="Input 2 4 2 13" xfId="26804" xr:uid="{00000000-0005-0000-0000-0000AF680000}"/>
    <cellStyle name="Input 2 4 2 14" xfId="26805" xr:uid="{00000000-0005-0000-0000-0000B0680000}"/>
    <cellStyle name="Input 2 4 2 2" xfId="26806" xr:uid="{00000000-0005-0000-0000-0000B1680000}"/>
    <cellStyle name="Input 2 4 2 2 2" xfId="26807" xr:uid="{00000000-0005-0000-0000-0000B2680000}"/>
    <cellStyle name="Input 2 4 2 2 2 2" xfId="26808" xr:uid="{00000000-0005-0000-0000-0000B3680000}"/>
    <cellStyle name="Input 2 4 2 2 2 2 2" xfId="26809" xr:uid="{00000000-0005-0000-0000-0000B4680000}"/>
    <cellStyle name="Input 2 4 2 2 2 2 3" xfId="26810" xr:uid="{00000000-0005-0000-0000-0000B5680000}"/>
    <cellStyle name="Input 2 4 2 2 2 2 4" xfId="26811" xr:uid="{00000000-0005-0000-0000-0000B6680000}"/>
    <cellStyle name="Input 2 4 2 2 2 2 5" xfId="26812" xr:uid="{00000000-0005-0000-0000-0000B7680000}"/>
    <cellStyle name="Input 2 4 2 2 2 2 6" xfId="26813" xr:uid="{00000000-0005-0000-0000-0000B8680000}"/>
    <cellStyle name="Input 2 4 2 2 2 3" xfId="26814" xr:uid="{00000000-0005-0000-0000-0000B9680000}"/>
    <cellStyle name="Input 2 4 2 2 2 4" xfId="26815" xr:uid="{00000000-0005-0000-0000-0000BA680000}"/>
    <cellStyle name="Input 2 4 2 2 2 5" xfId="26816" xr:uid="{00000000-0005-0000-0000-0000BB680000}"/>
    <cellStyle name="Input 2 4 2 2 2 6" xfId="26817" xr:uid="{00000000-0005-0000-0000-0000BC680000}"/>
    <cellStyle name="Input 2 4 2 2 3" xfId="26818" xr:uid="{00000000-0005-0000-0000-0000BD680000}"/>
    <cellStyle name="Input 2 4 2 2 3 2" xfId="26819" xr:uid="{00000000-0005-0000-0000-0000BE680000}"/>
    <cellStyle name="Input 2 4 2 2 3 2 2" xfId="26820" xr:uid="{00000000-0005-0000-0000-0000BF680000}"/>
    <cellStyle name="Input 2 4 2 2 3 2 3" xfId="26821" xr:uid="{00000000-0005-0000-0000-0000C0680000}"/>
    <cellStyle name="Input 2 4 2 2 3 2 4" xfId="26822" xr:uid="{00000000-0005-0000-0000-0000C1680000}"/>
    <cellStyle name="Input 2 4 2 2 3 2 5" xfId="26823" xr:uid="{00000000-0005-0000-0000-0000C2680000}"/>
    <cellStyle name="Input 2 4 2 2 3 2 6" xfId="26824" xr:uid="{00000000-0005-0000-0000-0000C3680000}"/>
    <cellStyle name="Input 2 4 2 2 3 3" xfId="26825" xr:uid="{00000000-0005-0000-0000-0000C4680000}"/>
    <cellStyle name="Input 2 4 2 2 3 4" xfId="26826" xr:uid="{00000000-0005-0000-0000-0000C5680000}"/>
    <cellStyle name="Input 2 4 2 2 3 5" xfId="26827" xr:uid="{00000000-0005-0000-0000-0000C6680000}"/>
    <cellStyle name="Input 2 4 2 2 3 6" xfId="26828" xr:uid="{00000000-0005-0000-0000-0000C7680000}"/>
    <cellStyle name="Input 2 4 2 2 4" xfId="26829" xr:uid="{00000000-0005-0000-0000-0000C8680000}"/>
    <cellStyle name="Input 2 4 2 2 4 2" xfId="26830" xr:uid="{00000000-0005-0000-0000-0000C9680000}"/>
    <cellStyle name="Input 2 4 2 2 4 3" xfId="26831" xr:uid="{00000000-0005-0000-0000-0000CA680000}"/>
    <cellStyle name="Input 2 4 2 2 4 4" xfId="26832" xr:uid="{00000000-0005-0000-0000-0000CB680000}"/>
    <cellStyle name="Input 2 4 2 2 4 5" xfId="26833" xr:uid="{00000000-0005-0000-0000-0000CC680000}"/>
    <cellStyle name="Input 2 4 2 2 4 6" xfId="26834" xr:uid="{00000000-0005-0000-0000-0000CD680000}"/>
    <cellStyle name="Input 2 4 2 2 5" xfId="26835" xr:uid="{00000000-0005-0000-0000-0000CE680000}"/>
    <cellStyle name="Input 2 4 2 2 6" xfId="26836" xr:uid="{00000000-0005-0000-0000-0000CF680000}"/>
    <cellStyle name="Input 2 4 2 2 7" xfId="26837" xr:uid="{00000000-0005-0000-0000-0000D0680000}"/>
    <cellStyle name="Input 2 4 2 2 8" xfId="26838" xr:uid="{00000000-0005-0000-0000-0000D1680000}"/>
    <cellStyle name="Input 2 4 2 3" xfId="26839" xr:uid="{00000000-0005-0000-0000-0000D2680000}"/>
    <cellStyle name="Input 2 4 2 3 2" xfId="26840" xr:uid="{00000000-0005-0000-0000-0000D3680000}"/>
    <cellStyle name="Input 2 4 2 3 2 2" xfId="26841" xr:uid="{00000000-0005-0000-0000-0000D4680000}"/>
    <cellStyle name="Input 2 4 2 3 2 2 2" xfId="26842" xr:uid="{00000000-0005-0000-0000-0000D5680000}"/>
    <cellStyle name="Input 2 4 2 3 2 2 3" xfId="26843" xr:uid="{00000000-0005-0000-0000-0000D6680000}"/>
    <cellStyle name="Input 2 4 2 3 2 2 4" xfId="26844" xr:uid="{00000000-0005-0000-0000-0000D7680000}"/>
    <cellStyle name="Input 2 4 2 3 2 2 5" xfId="26845" xr:uid="{00000000-0005-0000-0000-0000D8680000}"/>
    <cellStyle name="Input 2 4 2 3 2 2 6" xfId="26846" xr:uid="{00000000-0005-0000-0000-0000D9680000}"/>
    <cellStyle name="Input 2 4 2 3 2 3" xfId="26847" xr:uid="{00000000-0005-0000-0000-0000DA680000}"/>
    <cellStyle name="Input 2 4 2 3 2 4" xfId="26848" xr:uid="{00000000-0005-0000-0000-0000DB680000}"/>
    <cellStyle name="Input 2 4 2 3 2 5" xfId="26849" xr:uid="{00000000-0005-0000-0000-0000DC680000}"/>
    <cellStyle name="Input 2 4 2 3 2 6" xfId="26850" xr:uid="{00000000-0005-0000-0000-0000DD680000}"/>
    <cellStyle name="Input 2 4 2 3 3" xfId="26851" xr:uid="{00000000-0005-0000-0000-0000DE680000}"/>
    <cellStyle name="Input 2 4 2 3 3 2" xfId="26852" xr:uid="{00000000-0005-0000-0000-0000DF680000}"/>
    <cellStyle name="Input 2 4 2 3 3 2 2" xfId="26853" xr:uid="{00000000-0005-0000-0000-0000E0680000}"/>
    <cellStyle name="Input 2 4 2 3 3 2 3" xfId="26854" xr:uid="{00000000-0005-0000-0000-0000E1680000}"/>
    <cellStyle name="Input 2 4 2 3 3 2 4" xfId="26855" xr:uid="{00000000-0005-0000-0000-0000E2680000}"/>
    <cellStyle name="Input 2 4 2 3 3 2 5" xfId="26856" xr:uid="{00000000-0005-0000-0000-0000E3680000}"/>
    <cellStyle name="Input 2 4 2 3 3 2 6" xfId="26857" xr:uid="{00000000-0005-0000-0000-0000E4680000}"/>
    <cellStyle name="Input 2 4 2 3 3 3" xfId="26858" xr:uid="{00000000-0005-0000-0000-0000E5680000}"/>
    <cellStyle name="Input 2 4 2 3 3 4" xfId="26859" xr:uid="{00000000-0005-0000-0000-0000E6680000}"/>
    <cellStyle name="Input 2 4 2 3 3 5" xfId="26860" xr:uid="{00000000-0005-0000-0000-0000E7680000}"/>
    <cellStyle name="Input 2 4 2 3 3 6" xfId="26861" xr:uid="{00000000-0005-0000-0000-0000E8680000}"/>
    <cellStyle name="Input 2 4 2 3 4" xfId="26862" xr:uid="{00000000-0005-0000-0000-0000E9680000}"/>
    <cellStyle name="Input 2 4 2 3 4 2" xfId="26863" xr:uid="{00000000-0005-0000-0000-0000EA680000}"/>
    <cellStyle name="Input 2 4 2 3 4 3" xfId="26864" xr:uid="{00000000-0005-0000-0000-0000EB680000}"/>
    <cellStyle name="Input 2 4 2 3 4 4" xfId="26865" xr:uid="{00000000-0005-0000-0000-0000EC680000}"/>
    <cellStyle name="Input 2 4 2 3 4 5" xfId="26866" xr:uid="{00000000-0005-0000-0000-0000ED680000}"/>
    <cellStyle name="Input 2 4 2 3 4 6" xfId="26867" xr:uid="{00000000-0005-0000-0000-0000EE680000}"/>
    <cellStyle name="Input 2 4 2 3 5" xfId="26868" xr:uid="{00000000-0005-0000-0000-0000EF680000}"/>
    <cellStyle name="Input 2 4 2 3 6" xfId="26869" xr:uid="{00000000-0005-0000-0000-0000F0680000}"/>
    <cellStyle name="Input 2 4 2 3 7" xfId="26870" xr:uid="{00000000-0005-0000-0000-0000F1680000}"/>
    <cellStyle name="Input 2 4 2 3 8" xfId="26871" xr:uid="{00000000-0005-0000-0000-0000F2680000}"/>
    <cellStyle name="Input 2 4 2 4" xfId="26872" xr:uid="{00000000-0005-0000-0000-0000F3680000}"/>
    <cellStyle name="Input 2 4 2 4 2" xfId="26873" xr:uid="{00000000-0005-0000-0000-0000F4680000}"/>
    <cellStyle name="Input 2 4 2 4 2 2" xfId="26874" xr:uid="{00000000-0005-0000-0000-0000F5680000}"/>
    <cellStyle name="Input 2 4 2 4 2 2 2" xfId="26875" xr:uid="{00000000-0005-0000-0000-0000F6680000}"/>
    <cellStyle name="Input 2 4 2 4 2 2 3" xfId="26876" xr:uid="{00000000-0005-0000-0000-0000F7680000}"/>
    <cellStyle name="Input 2 4 2 4 2 2 4" xfId="26877" xr:uid="{00000000-0005-0000-0000-0000F8680000}"/>
    <cellStyle name="Input 2 4 2 4 2 2 5" xfId="26878" xr:uid="{00000000-0005-0000-0000-0000F9680000}"/>
    <cellStyle name="Input 2 4 2 4 2 2 6" xfId="26879" xr:uid="{00000000-0005-0000-0000-0000FA680000}"/>
    <cellStyle name="Input 2 4 2 4 2 3" xfId="26880" xr:uid="{00000000-0005-0000-0000-0000FB680000}"/>
    <cellStyle name="Input 2 4 2 4 2 4" xfId="26881" xr:uid="{00000000-0005-0000-0000-0000FC680000}"/>
    <cellStyle name="Input 2 4 2 4 2 5" xfId="26882" xr:uid="{00000000-0005-0000-0000-0000FD680000}"/>
    <cellStyle name="Input 2 4 2 4 2 6" xfId="26883" xr:uid="{00000000-0005-0000-0000-0000FE680000}"/>
    <cellStyle name="Input 2 4 2 4 3" xfId="26884" xr:uid="{00000000-0005-0000-0000-0000FF680000}"/>
    <cellStyle name="Input 2 4 2 4 3 2" xfId="26885" xr:uid="{00000000-0005-0000-0000-000000690000}"/>
    <cellStyle name="Input 2 4 2 4 3 2 2" xfId="26886" xr:uid="{00000000-0005-0000-0000-000001690000}"/>
    <cellStyle name="Input 2 4 2 4 3 2 3" xfId="26887" xr:uid="{00000000-0005-0000-0000-000002690000}"/>
    <cellStyle name="Input 2 4 2 4 3 2 4" xfId="26888" xr:uid="{00000000-0005-0000-0000-000003690000}"/>
    <cellStyle name="Input 2 4 2 4 3 2 5" xfId="26889" xr:uid="{00000000-0005-0000-0000-000004690000}"/>
    <cellStyle name="Input 2 4 2 4 3 2 6" xfId="26890" xr:uid="{00000000-0005-0000-0000-000005690000}"/>
    <cellStyle name="Input 2 4 2 4 3 3" xfId="26891" xr:uid="{00000000-0005-0000-0000-000006690000}"/>
    <cellStyle name="Input 2 4 2 4 3 4" xfId="26892" xr:uid="{00000000-0005-0000-0000-000007690000}"/>
    <cellStyle name="Input 2 4 2 4 3 5" xfId="26893" xr:uid="{00000000-0005-0000-0000-000008690000}"/>
    <cellStyle name="Input 2 4 2 4 3 6" xfId="26894" xr:uid="{00000000-0005-0000-0000-000009690000}"/>
    <cellStyle name="Input 2 4 2 4 4" xfId="26895" xr:uid="{00000000-0005-0000-0000-00000A690000}"/>
    <cellStyle name="Input 2 4 2 4 4 2" xfId="26896" xr:uid="{00000000-0005-0000-0000-00000B690000}"/>
    <cellStyle name="Input 2 4 2 4 4 3" xfId="26897" xr:uid="{00000000-0005-0000-0000-00000C690000}"/>
    <cellStyle name="Input 2 4 2 4 4 4" xfId="26898" xr:uid="{00000000-0005-0000-0000-00000D690000}"/>
    <cellStyle name="Input 2 4 2 4 4 5" xfId="26899" xr:uid="{00000000-0005-0000-0000-00000E690000}"/>
    <cellStyle name="Input 2 4 2 4 4 6" xfId="26900" xr:uid="{00000000-0005-0000-0000-00000F690000}"/>
    <cellStyle name="Input 2 4 2 4 5" xfId="26901" xr:uid="{00000000-0005-0000-0000-000010690000}"/>
    <cellStyle name="Input 2 4 2 4 6" xfId="26902" xr:uid="{00000000-0005-0000-0000-000011690000}"/>
    <cellStyle name="Input 2 4 2 4 7" xfId="26903" xr:uid="{00000000-0005-0000-0000-000012690000}"/>
    <cellStyle name="Input 2 4 2 4 8" xfId="26904" xr:uid="{00000000-0005-0000-0000-000013690000}"/>
    <cellStyle name="Input 2 4 2 5" xfId="26905" xr:uid="{00000000-0005-0000-0000-000014690000}"/>
    <cellStyle name="Input 2 4 2 5 2" xfId="26906" xr:uid="{00000000-0005-0000-0000-000015690000}"/>
    <cellStyle name="Input 2 4 2 5 2 2" xfId="26907" xr:uid="{00000000-0005-0000-0000-000016690000}"/>
    <cellStyle name="Input 2 4 2 5 2 2 2" xfId="26908" xr:uid="{00000000-0005-0000-0000-000017690000}"/>
    <cellStyle name="Input 2 4 2 5 2 2 3" xfId="26909" xr:uid="{00000000-0005-0000-0000-000018690000}"/>
    <cellStyle name="Input 2 4 2 5 2 2 4" xfId="26910" xr:uid="{00000000-0005-0000-0000-000019690000}"/>
    <cellStyle name="Input 2 4 2 5 2 2 5" xfId="26911" xr:uid="{00000000-0005-0000-0000-00001A690000}"/>
    <cellStyle name="Input 2 4 2 5 2 2 6" xfId="26912" xr:uid="{00000000-0005-0000-0000-00001B690000}"/>
    <cellStyle name="Input 2 4 2 5 2 3" xfId="26913" xr:uid="{00000000-0005-0000-0000-00001C690000}"/>
    <cellStyle name="Input 2 4 2 5 2 4" xfId="26914" xr:uid="{00000000-0005-0000-0000-00001D690000}"/>
    <cellStyle name="Input 2 4 2 5 2 5" xfId="26915" xr:uid="{00000000-0005-0000-0000-00001E690000}"/>
    <cellStyle name="Input 2 4 2 5 2 6" xfId="26916" xr:uid="{00000000-0005-0000-0000-00001F690000}"/>
    <cellStyle name="Input 2 4 2 5 3" xfId="26917" xr:uid="{00000000-0005-0000-0000-000020690000}"/>
    <cellStyle name="Input 2 4 2 5 3 2" xfId="26918" xr:uid="{00000000-0005-0000-0000-000021690000}"/>
    <cellStyle name="Input 2 4 2 5 3 2 2" xfId="26919" xr:uid="{00000000-0005-0000-0000-000022690000}"/>
    <cellStyle name="Input 2 4 2 5 3 2 3" xfId="26920" xr:uid="{00000000-0005-0000-0000-000023690000}"/>
    <cellStyle name="Input 2 4 2 5 3 2 4" xfId="26921" xr:uid="{00000000-0005-0000-0000-000024690000}"/>
    <cellStyle name="Input 2 4 2 5 3 2 5" xfId="26922" xr:uid="{00000000-0005-0000-0000-000025690000}"/>
    <cellStyle name="Input 2 4 2 5 3 2 6" xfId="26923" xr:uid="{00000000-0005-0000-0000-000026690000}"/>
    <cellStyle name="Input 2 4 2 5 3 3" xfId="26924" xr:uid="{00000000-0005-0000-0000-000027690000}"/>
    <cellStyle name="Input 2 4 2 5 3 4" xfId="26925" xr:uid="{00000000-0005-0000-0000-000028690000}"/>
    <cellStyle name="Input 2 4 2 5 3 5" xfId="26926" xr:uid="{00000000-0005-0000-0000-000029690000}"/>
    <cellStyle name="Input 2 4 2 5 3 6" xfId="26927" xr:uid="{00000000-0005-0000-0000-00002A690000}"/>
    <cellStyle name="Input 2 4 2 5 4" xfId="26928" xr:uid="{00000000-0005-0000-0000-00002B690000}"/>
    <cellStyle name="Input 2 4 2 5 4 2" xfId="26929" xr:uid="{00000000-0005-0000-0000-00002C690000}"/>
    <cellStyle name="Input 2 4 2 5 4 3" xfId="26930" xr:uid="{00000000-0005-0000-0000-00002D690000}"/>
    <cellStyle name="Input 2 4 2 5 4 4" xfId="26931" xr:uid="{00000000-0005-0000-0000-00002E690000}"/>
    <cellStyle name="Input 2 4 2 5 4 5" xfId="26932" xr:uid="{00000000-0005-0000-0000-00002F690000}"/>
    <cellStyle name="Input 2 4 2 5 4 6" xfId="26933" xr:uid="{00000000-0005-0000-0000-000030690000}"/>
    <cellStyle name="Input 2 4 2 5 5" xfId="26934" xr:uid="{00000000-0005-0000-0000-000031690000}"/>
    <cellStyle name="Input 2 4 2 5 6" xfId="26935" xr:uid="{00000000-0005-0000-0000-000032690000}"/>
    <cellStyle name="Input 2 4 2 5 7" xfId="26936" xr:uid="{00000000-0005-0000-0000-000033690000}"/>
    <cellStyle name="Input 2 4 2 5 8" xfId="26937" xr:uid="{00000000-0005-0000-0000-000034690000}"/>
    <cellStyle name="Input 2 4 2 6" xfId="26938" xr:uid="{00000000-0005-0000-0000-000035690000}"/>
    <cellStyle name="Input 2 4 2 6 2" xfId="26939" xr:uid="{00000000-0005-0000-0000-000036690000}"/>
    <cellStyle name="Input 2 4 2 6 2 2" xfId="26940" xr:uid="{00000000-0005-0000-0000-000037690000}"/>
    <cellStyle name="Input 2 4 2 6 2 2 2" xfId="26941" xr:uid="{00000000-0005-0000-0000-000038690000}"/>
    <cellStyle name="Input 2 4 2 6 2 2 3" xfId="26942" xr:uid="{00000000-0005-0000-0000-000039690000}"/>
    <cellStyle name="Input 2 4 2 6 2 2 4" xfId="26943" xr:uid="{00000000-0005-0000-0000-00003A690000}"/>
    <cellStyle name="Input 2 4 2 6 2 2 5" xfId="26944" xr:uid="{00000000-0005-0000-0000-00003B690000}"/>
    <cellStyle name="Input 2 4 2 6 2 2 6" xfId="26945" xr:uid="{00000000-0005-0000-0000-00003C690000}"/>
    <cellStyle name="Input 2 4 2 6 2 3" xfId="26946" xr:uid="{00000000-0005-0000-0000-00003D690000}"/>
    <cellStyle name="Input 2 4 2 6 2 4" xfId="26947" xr:uid="{00000000-0005-0000-0000-00003E690000}"/>
    <cellStyle name="Input 2 4 2 6 2 5" xfId="26948" xr:uid="{00000000-0005-0000-0000-00003F690000}"/>
    <cellStyle name="Input 2 4 2 6 2 6" xfId="26949" xr:uid="{00000000-0005-0000-0000-000040690000}"/>
    <cellStyle name="Input 2 4 2 6 3" xfId="26950" xr:uid="{00000000-0005-0000-0000-000041690000}"/>
    <cellStyle name="Input 2 4 2 6 3 2" xfId="26951" xr:uid="{00000000-0005-0000-0000-000042690000}"/>
    <cellStyle name="Input 2 4 2 6 3 2 2" xfId="26952" xr:uid="{00000000-0005-0000-0000-000043690000}"/>
    <cellStyle name="Input 2 4 2 6 3 2 3" xfId="26953" xr:uid="{00000000-0005-0000-0000-000044690000}"/>
    <cellStyle name="Input 2 4 2 6 3 2 4" xfId="26954" xr:uid="{00000000-0005-0000-0000-000045690000}"/>
    <cellStyle name="Input 2 4 2 6 3 2 5" xfId="26955" xr:uid="{00000000-0005-0000-0000-000046690000}"/>
    <cellStyle name="Input 2 4 2 6 3 2 6" xfId="26956" xr:uid="{00000000-0005-0000-0000-000047690000}"/>
    <cellStyle name="Input 2 4 2 6 3 3" xfId="26957" xr:uid="{00000000-0005-0000-0000-000048690000}"/>
    <cellStyle name="Input 2 4 2 6 3 4" xfId="26958" xr:uid="{00000000-0005-0000-0000-000049690000}"/>
    <cellStyle name="Input 2 4 2 6 3 5" xfId="26959" xr:uid="{00000000-0005-0000-0000-00004A690000}"/>
    <cellStyle name="Input 2 4 2 6 3 6" xfId="26960" xr:uid="{00000000-0005-0000-0000-00004B690000}"/>
    <cellStyle name="Input 2 4 2 6 4" xfId="26961" xr:uid="{00000000-0005-0000-0000-00004C690000}"/>
    <cellStyle name="Input 2 4 2 6 4 2" xfId="26962" xr:uid="{00000000-0005-0000-0000-00004D690000}"/>
    <cellStyle name="Input 2 4 2 6 4 3" xfId="26963" xr:uid="{00000000-0005-0000-0000-00004E690000}"/>
    <cellStyle name="Input 2 4 2 6 4 4" xfId="26964" xr:uid="{00000000-0005-0000-0000-00004F690000}"/>
    <cellStyle name="Input 2 4 2 6 4 5" xfId="26965" xr:uid="{00000000-0005-0000-0000-000050690000}"/>
    <cellStyle name="Input 2 4 2 6 4 6" xfId="26966" xr:uid="{00000000-0005-0000-0000-000051690000}"/>
    <cellStyle name="Input 2 4 2 6 5" xfId="26967" xr:uid="{00000000-0005-0000-0000-000052690000}"/>
    <cellStyle name="Input 2 4 2 6 6" xfId="26968" xr:uid="{00000000-0005-0000-0000-000053690000}"/>
    <cellStyle name="Input 2 4 2 6 7" xfId="26969" xr:uid="{00000000-0005-0000-0000-000054690000}"/>
    <cellStyle name="Input 2 4 2 6 8" xfId="26970" xr:uid="{00000000-0005-0000-0000-000055690000}"/>
    <cellStyle name="Input 2 4 2 7" xfId="26971" xr:uid="{00000000-0005-0000-0000-000056690000}"/>
    <cellStyle name="Input 2 4 2 7 2" xfId="26972" xr:uid="{00000000-0005-0000-0000-000057690000}"/>
    <cellStyle name="Input 2 4 2 7 2 2" xfId="26973" xr:uid="{00000000-0005-0000-0000-000058690000}"/>
    <cellStyle name="Input 2 4 2 7 2 3" xfId="26974" xr:uid="{00000000-0005-0000-0000-000059690000}"/>
    <cellStyle name="Input 2 4 2 7 2 4" xfId="26975" xr:uid="{00000000-0005-0000-0000-00005A690000}"/>
    <cellStyle name="Input 2 4 2 7 2 5" xfId="26976" xr:uid="{00000000-0005-0000-0000-00005B690000}"/>
    <cellStyle name="Input 2 4 2 7 2 6" xfId="26977" xr:uid="{00000000-0005-0000-0000-00005C690000}"/>
    <cellStyle name="Input 2 4 2 7 3" xfId="26978" xr:uid="{00000000-0005-0000-0000-00005D690000}"/>
    <cellStyle name="Input 2 4 2 7 4" xfId="26979" xr:uid="{00000000-0005-0000-0000-00005E690000}"/>
    <cellStyle name="Input 2 4 2 7 5" xfId="26980" xr:uid="{00000000-0005-0000-0000-00005F690000}"/>
    <cellStyle name="Input 2 4 2 7 6" xfId="26981" xr:uid="{00000000-0005-0000-0000-000060690000}"/>
    <cellStyle name="Input 2 4 2 8" xfId="26982" xr:uid="{00000000-0005-0000-0000-000061690000}"/>
    <cellStyle name="Input 2 4 2 8 2" xfId="26983" xr:uid="{00000000-0005-0000-0000-000062690000}"/>
    <cellStyle name="Input 2 4 2 8 2 2" xfId="26984" xr:uid="{00000000-0005-0000-0000-000063690000}"/>
    <cellStyle name="Input 2 4 2 8 2 3" xfId="26985" xr:uid="{00000000-0005-0000-0000-000064690000}"/>
    <cellStyle name="Input 2 4 2 8 2 4" xfId="26986" xr:uid="{00000000-0005-0000-0000-000065690000}"/>
    <cellStyle name="Input 2 4 2 8 2 5" xfId="26987" xr:uid="{00000000-0005-0000-0000-000066690000}"/>
    <cellStyle name="Input 2 4 2 8 2 6" xfId="26988" xr:uid="{00000000-0005-0000-0000-000067690000}"/>
    <cellStyle name="Input 2 4 2 8 3" xfId="26989" xr:uid="{00000000-0005-0000-0000-000068690000}"/>
    <cellStyle name="Input 2 4 2 8 4" xfId="26990" xr:uid="{00000000-0005-0000-0000-000069690000}"/>
    <cellStyle name="Input 2 4 2 8 5" xfId="26991" xr:uid="{00000000-0005-0000-0000-00006A690000}"/>
    <cellStyle name="Input 2 4 2 8 6" xfId="26992" xr:uid="{00000000-0005-0000-0000-00006B690000}"/>
    <cellStyle name="Input 2 4 2 9" xfId="26993" xr:uid="{00000000-0005-0000-0000-00006C690000}"/>
    <cellStyle name="Input 2 4 2 9 2" xfId="26994" xr:uid="{00000000-0005-0000-0000-00006D690000}"/>
    <cellStyle name="Input 2 4 2 9 3" xfId="26995" xr:uid="{00000000-0005-0000-0000-00006E690000}"/>
    <cellStyle name="Input 2 4 2 9 4" xfId="26996" xr:uid="{00000000-0005-0000-0000-00006F690000}"/>
    <cellStyle name="Input 2 4 2 9 5" xfId="26997" xr:uid="{00000000-0005-0000-0000-000070690000}"/>
    <cellStyle name="Input 2 4 2 9 6" xfId="26998" xr:uid="{00000000-0005-0000-0000-000071690000}"/>
    <cellStyle name="Input 2 4 3" xfId="26999" xr:uid="{00000000-0005-0000-0000-000072690000}"/>
    <cellStyle name="Input 2 4 3 2" xfId="27000" xr:uid="{00000000-0005-0000-0000-000073690000}"/>
    <cellStyle name="Input 2 4 3 2 2" xfId="27001" xr:uid="{00000000-0005-0000-0000-000074690000}"/>
    <cellStyle name="Input 2 4 3 2 2 2" xfId="27002" xr:uid="{00000000-0005-0000-0000-000075690000}"/>
    <cellStyle name="Input 2 4 3 2 2 3" xfId="27003" xr:uid="{00000000-0005-0000-0000-000076690000}"/>
    <cellStyle name="Input 2 4 3 2 2 4" xfId="27004" xr:uid="{00000000-0005-0000-0000-000077690000}"/>
    <cellStyle name="Input 2 4 3 2 2 5" xfId="27005" xr:uid="{00000000-0005-0000-0000-000078690000}"/>
    <cellStyle name="Input 2 4 3 2 2 6" xfId="27006" xr:uid="{00000000-0005-0000-0000-000079690000}"/>
    <cellStyle name="Input 2 4 3 2 3" xfId="27007" xr:uid="{00000000-0005-0000-0000-00007A690000}"/>
    <cellStyle name="Input 2 4 3 2 4" xfId="27008" xr:uid="{00000000-0005-0000-0000-00007B690000}"/>
    <cellStyle name="Input 2 4 3 2 5" xfId="27009" xr:uid="{00000000-0005-0000-0000-00007C690000}"/>
    <cellStyle name="Input 2 4 3 2 6" xfId="27010" xr:uid="{00000000-0005-0000-0000-00007D690000}"/>
    <cellStyle name="Input 2 4 3 3" xfId="27011" xr:uid="{00000000-0005-0000-0000-00007E690000}"/>
    <cellStyle name="Input 2 4 3 3 2" xfId="27012" xr:uid="{00000000-0005-0000-0000-00007F690000}"/>
    <cellStyle name="Input 2 4 3 3 2 2" xfId="27013" xr:uid="{00000000-0005-0000-0000-000080690000}"/>
    <cellStyle name="Input 2 4 3 3 2 3" xfId="27014" xr:uid="{00000000-0005-0000-0000-000081690000}"/>
    <cellStyle name="Input 2 4 3 3 2 4" xfId="27015" xr:uid="{00000000-0005-0000-0000-000082690000}"/>
    <cellStyle name="Input 2 4 3 3 2 5" xfId="27016" xr:uid="{00000000-0005-0000-0000-000083690000}"/>
    <cellStyle name="Input 2 4 3 3 2 6" xfId="27017" xr:uid="{00000000-0005-0000-0000-000084690000}"/>
    <cellStyle name="Input 2 4 3 3 3" xfId="27018" xr:uid="{00000000-0005-0000-0000-000085690000}"/>
    <cellStyle name="Input 2 4 3 3 4" xfId="27019" xr:uid="{00000000-0005-0000-0000-000086690000}"/>
    <cellStyle name="Input 2 4 3 3 5" xfId="27020" xr:uid="{00000000-0005-0000-0000-000087690000}"/>
    <cellStyle name="Input 2 4 3 3 6" xfId="27021" xr:uid="{00000000-0005-0000-0000-000088690000}"/>
    <cellStyle name="Input 2 4 3 4" xfId="27022" xr:uid="{00000000-0005-0000-0000-000089690000}"/>
    <cellStyle name="Input 2 4 3 4 2" xfId="27023" xr:uid="{00000000-0005-0000-0000-00008A690000}"/>
    <cellStyle name="Input 2 4 3 4 3" xfId="27024" xr:uid="{00000000-0005-0000-0000-00008B690000}"/>
    <cellStyle name="Input 2 4 3 4 4" xfId="27025" xr:uid="{00000000-0005-0000-0000-00008C690000}"/>
    <cellStyle name="Input 2 4 3 4 5" xfId="27026" xr:uid="{00000000-0005-0000-0000-00008D690000}"/>
    <cellStyle name="Input 2 4 3 4 6" xfId="27027" xr:uid="{00000000-0005-0000-0000-00008E690000}"/>
    <cellStyle name="Input 2 4 3 5" xfId="27028" xr:uid="{00000000-0005-0000-0000-00008F690000}"/>
    <cellStyle name="Input 2 4 3 6" xfId="27029" xr:uid="{00000000-0005-0000-0000-000090690000}"/>
    <cellStyle name="Input 2 4 3 7" xfId="27030" xr:uid="{00000000-0005-0000-0000-000091690000}"/>
    <cellStyle name="Input 2 4 3 8" xfId="27031" xr:uid="{00000000-0005-0000-0000-000092690000}"/>
    <cellStyle name="Input 2 4 4" xfId="27032" xr:uid="{00000000-0005-0000-0000-000093690000}"/>
    <cellStyle name="Input 2 4 4 2" xfId="27033" xr:uid="{00000000-0005-0000-0000-000094690000}"/>
    <cellStyle name="Input 2 4 4 2 2" xfId="27034" xr:uid="{00000000-0005-0000-0000-000095690000}"/>
    <cellStyle name="Input 2 4 4 2 2 2" xfId="27035" xr:uid="{00000000-0005-0000-0000-000096690000}"/>
    <cellStyle name="Input 2 4 4 2 2 3" xfId="27036" xr:uid="{00000000-0005-0000-0000-000097690000}"/>
    <cellStyle name="Input 2 4 4 2 2 4" xfId="27037" xr:uid="{00000000-0005-0000-0000-000098690000}"/>
    <cellStyle name="Input 2 4 4 2 2 5" xfId="27038" xr:uid="{00000000-0005-0000-0000-000099690000}"/>
    <cellStyle name="Input 2 4 4 2 2 6" xfId="27039" xr:uid="{00000000-0005-0000-0000-00009A690000}"/>
    <cellStyle name="Input 2 4 4 2 3" xfId="27040" xr:uid="{00000000-0005-0000-0000-00009B690000}"/>
    <cellStyle name="Input 2 4 4 2 4" xfId="27041" xr:uid="{00000000-0005-0000-0000-00009C690000}"/>
    <cellStyle name="Input 2 4 4 2 5" xfId="27042" xr:uid="{00000000-0005-0000-0000-00009D690000}"/>
    <cellStyle name="Input 2 4 4 2 6" xfId="27043" xr:uid="{00000000-0005-0000-0000-00009E690000}"/>
    <cellStyle name="Input 2 4 4 3" xfId="27044" xr:uid="{00000000-0005-0000-0000-00009F690000}"/>
    <cellStyle name="Input 2 4 4 3 2" xfId="27045" xr:uid="{00000000-0005-0000-0000-0000A0690000}"/>
    <cellStyle name="Input 2 4 4 3 2 2" xfId="27046" xr:uid="{00000000-0005-0000-0000-0000A1690000}"/>
    <cellStyle name="Input 2 4 4 3 2 3" xfId="27047" xr:uid="{00000000-0005-0000-0000-0000A2690000}"/>
    <cellStyle name="Input 2 4 4 3 2 4" xfId="27048" xr:uid="{00000000-0005-0000-0000-0000A3690000}"/>
    <cellStyle name="Input 2 4 4 3 2 5" xfId="27049" xr:uid="{00000000-0005-0000-0000-0000A4690000}"/>
    <cellStyle name="Input 2 4 4 3 2 6" xfId="27050" xr:uid="{00000000-0005-0000-0000-0000A5690000}"/>
    <cellStyle name="Input 2 4 4 3 3" xfId="27051" xr:uid="{00000000-0005-0000-0000-0000A6690000}"/>
    <cellStyle name="Input 2 4 4 3 4" xfId="27052" xr:uid="{00000000-0005-0000-0000-0000A7690000}"/>
    <cellStyle name="Input 2 4 4 3 5" xfId="27053" xr:uid="{00000000-0005-0000-0000-0000A8690000}"/>
    <cellStyle name="Input 2 4 4 3 6" xfId="27054" xr:uid="{00000000-0005-0000-0000-0000A9690000}"/>
    <cellStyle name="Input 2 4 4 4" xfId="27055" xr:uid="{00000000-0005-0000-0000-0000AA690000}"/>
    <cellStyle name="Input 2 4 4 4 2" xfId="27056" xr:uid="{00000000-0005-0000-0000-0000AB690000}"/>
    <cellStyle name="Input 2 4 4 4 3" xfId="27057" xr:uid="{00000000-0005-0000-0000-0000AC690000}"/>
    <cellStyle name="Input 2 4 4 4 4" xfId="27058" xr:uid="{00000000-0005-0000-0000-0000AD690000}"/>
    <cellStyle name="Input 2 4 4 4 5" xfId="27059" xr:uid="{00000000-0005-0000-0000-0000AE690000}"/>
    <cellStyle name="Input 2 4 4 4 6" xfId="27060" xr:uid="{00000000-0005-0000-0000-0000AF690000}"/>
    <cellStyle name="Input 2 4 4 5" xfId="27061" xr:uid="{00000000-0005-0000-0000-0000B0690000}"/>
    <cellStyle name="Input 2 4 4 6" xfId="27062" xr:uid="{00000000-0005-0000-0000-0000B1690000}"/>
    <cellStyle name="Input 2 4 4 7" xfId="27063" xr:uid="{00000000-0005-0000-0000-0000B2690000}"/>
    <cellStyle name="Input 2 4 4 8" xfId="27064" xr:uid="{00000000-0005-0000-0000-0000B3690000}"/>
    <cellStyle name="Input 2 4 5" xfId="27065" xr:uid="{00000000-0005-0000-0000-0000B4690000}"/>
    <cellStyle name="Input 2 4 5 2" xfId="27066" xr:uid="{00000000-0005-0000-0000-0000B5690000}"/>
    <cellStyle name="Input 2 4 5 2 2" xfId="27067" xr:uid="{00000000-0005-0000-0000-0000B6690000}"/>
    <cellStyle name="Input 2 4 5 2 2 2" xfId="27068" xr:uid="{00000000-0005-0000-0000-0000B7690000}"/>
    <cellStyle name="Input 2 4 5 2 2 3" xfId="27069" xr:uid="{00000000-0005-0000-0000-0000B8690000}"/>
    <cellStyle name="Input 2 4 5 2 2 4" xfId="27070" xr:uid="{00000000-0005-0000-0000-0000B9690000}"/>
    <cellStyle name="Input 2 4 5 2 2 5" xfId="27071" xr:uid="{00000000-0005-0000-0000-0000BA690000}"/>
    <cellStyle name="Input 2 4 5 2 2 6" xfId="27072" xr:uid="{00000000-0005-0000-0000-0000BB690000}"/>
    <cellStyle name="Input 2 4 5 2 3" xfId="27073" xr:uid="{00000000-0005-0000-0000-0000BC690000}"/>
    <cellStyle name="Input 2 4 5 2 4" xfId="27074" xr:uid="{00000000-0005-0000-0000-0000BD690000}"/>
    <cellStyle name="Input 2 4 5 2 5" xfId="27075" xr:uid="{00000000-0005-0000-0000-0000BE690000}"/>
    <cellStyle name="Input 2 4 5 2 6" xfId="27076" xr:uid="{00000000-0005-0000-0000-0000BF690000}"/>
    <cellStyle name="Input 2 4 5 3" xfId="27077" xr:uid="{00000000-0005-0000-0000-0000C0690000}"/>
    <cellStyle name="Input 2 4 5 3 2" xfId="27078" xr:uid="{00000000-0005-0000-0000-0000C1690000}"/>
    <cellStyle name="Input 2 4 5 3 2 2" xfId="27079" xr:uid="{00000000-0005-0000-0000-0000C2690000}"/>
    <cellStyle name="Input 2 4 5 3 2 3" xfId="27080" xr:uid="{00000000-0005-0000-0000-0000C3690000}"/>
    <cellStyle name="Input 2 4 5 3 2 4" xfId="27081" xr:uid="{00000000-0005-0000-0000-0000C4690000}"/>
    <cellStyle name="Input 2 4 5 3 2 5" xfId="27082" xr:uid="{00000000-0005-0000-0000-0000C5690000}"/>
    <cellStyle name="Input 2 4 5 3 2 6" xfId="27083" xr:uid="{00000000-0005-0000-0000-0000C6690000}"/>
    <cellStyle name="Input 2 4 5 3 3" xfId="27084" xr:uid="{00000000-0005-0000-0000-0000C7690000}"/>
    <cellStyle name="Input 2 4 5 3 4" xfId="27085" xr:uid="{00000000-0005-0000-0000-0000C8690000}"/>
    <cellStyle name="Input 2 4 5 3 5" xfId="27086" xr:uid="{00000000-0005-0000-0000-0000C9690000}"/>
    <cellStyle name="Input 2 4 5 3 6" xfId="27087" xr:uid="{00000000-0005-0000-0000-0000CA690000}"/>
    <cellStyle name="Input 2 4 5 4" xfId="27088" xr:uid="{00000000-0005-0000-0000-0000CB690000}"/>
    <cellStyle name="Input 2 4 5 4 2" xfId="27089" xr:uid="{00000000-0005-0000-0000-0000CC690000}"/>
    <cellStyle name="Input 2 4 5 4 3" xfId="27090" xr:uid="{00000000-0005-0000-0000-0000CD690000}"/>
    <cellStyle name="Input 2 4 5 4 4" xfId="27091" xr:uid="{00000000-0005-0000-0000-0000CE690000}"/>
    <cellStyle name="Input 2 4 5 4 5" xfId="27092" xr:uid="{00000000-0005-0000-0000-0000CF690000}"/>
    <cellStyle name="Input 2 4 5 4 6" xfId="27093" xr:uid="{00000000-0005-0000-0000-0000D0690000}"/>
    <cellStyle name="Input 2 4 5 5" xfId="27094" xr:uid="{00000000-0005-0000-0000-0000D1690000}"/>
    <cellStyle name="Input 2 4 5 6" xfId="27095" xr:uid="{00000000-0005-0000-0000-0000D2690000}"/>
    <cellStyle name="Input 2 4 5 7" xfId="27096" xr:uid="{00000000-0005-0000-0000-0000D3690000}"/>
    <cellStyle name="Input 2 4 5 8" xfId="27097" xr:uid="{00000000-0005-0000-0000-0000D4690000}"/>
    <cellStyle name="Input 2 4 6" xfId="27098" xr:uid="{00000000-0005-0000-0000-0000D5690000}"/>
    <cellStyle name="Input 2 4 6 2" xfId="27099" xr:uid="{00000000-0005-0000-0000-0000D6690000}"/>
    <cellStyle name="Input 2 4 6 2 2" xfId="27100" xr:uid="{00000000-0005-0000-0000-0000D7690000}"/>
    <cellStyle name="Input 2 4 6 2 2 2" xfId="27101" xr:uid="{00000000-0005-0000-0000-0000D8690000}"/>
    <cellStyle name="Input 2 4 6 2 2 3" xfId="27102" xr:uid="{00000000-0005-0000-0000-0000D9690000}"/>
    <cellStyle name="Input 2 4 6 2 2 4" xfId="27103" xr:uid="{00000000-0005-0000-0000-0000DA690000}"/>
    <cellStyle name="Input 2 4 6 2 2 5" xfId="27104" xr:uid="{00000000-0005-0000-0000-0000DB690000}"/>
    <cellStyle name="Input 2 4 6 2 2 6" xfId="27105" xr:uid="{00000000-0005-0000-0000-0000DC690000}"/>
    <cellStyle name="Input 2 4 6 2 3" xfId="27106" xr:uid="{00000000-0005-0000-0000-0000DD690000}"/>
    <cellStyle name="Input 2 4 6 2 4" xfId="27107" xr:uid="{00000000-0005-0000-0000-0000DE690000}"/>
    <cellStyle name="Input 2 4 6 2 5" xfId="27108" xr:uid="{00000000-0005-0000-0000-0000DF690000}"/>
    <cellStyle name="Input 2 4 6 2 6" xfId="27109" xr:uid="{00000000-0005-0000-0000-0000E0690000}"/>
    <cellStyle name="Input 2 4 6 3" xfId="27110" xr:uid="{00000000-0005-0000-0000-0000E1690000}"/>
    <cellStyle name="Input 2 4 6 3 2" xfId="27111" xr:uid="{00000000-0005-0000-0000-0000E2690000}"/>
    <cellStyle name="Input 2 4 6 3 2 2" xfId="27112" xr:uid="{00000000-0005-0000-0000-0000E3690000}"/>
    <cellStyle name="Input 2 4 6 3 2 3" xfId="27113" xr:uid="{00000000-0005-0000-0000-0000E4690000}"/>
    <cellStyle name="Input 2 4 6 3 2 4" xfId="27114" xr:uid="{00000000-0005-0000-0000-0000E5690000}"/>
    <cellStyle name="Input 2 4 6 3 2 5" xfId="27115" xr:uid="{00000000-0005-0000-0000-0000E6690000}"/>
    <cellStyle name="Input 2 4 6 3 2 6" xfId="27116" xr:uid="{00000000-0005-0000-0000-0000E7690000}"/>
    <cellStyle name="Input 2 4 6 3 3" xfId="27117" xr:uid="{00000000-0005-0000-0000-0000E8690000}"/>
    <cellStyle name="Input 2 4 6 3 4" xfId="27118" xr:uid="{00000000-0005-0000-0000-0000E9690000}"/>
    <cellStyle name="Input 2 4 6 3 5" xfId="27119" xr:uid="{00000000-0005-0000-0000-0000EA690000}"/>
    <cellStyle name="Input 2 4 6 3 6" xfId="27120" xr:uid="{00000000-0005-0000-0000-0000EB690000}"/>
    <cellStyle name="Input 2 4 6 4" xfId="27121" xr:uid="{00000000-0005-0000-0000-0000EC690000}"/>
    <cellStyle name="Input 2 4 6 4 2" xfId="27122" xr:uid="{00000000-0005-0000-0000-0000ED690000}"/>
    <cellStyle name="Input 2 4 6 4 3" xfId="27123" xr:uid="{00000000-0005-0000-0000-0000EE690000}"/>
    <cellStyle name="Input 2 4 6 4 4" xfId="27124" xr:uid="{00000000-0005-0000-0000-0000EF690000}"/>
    <cellStyle name="Input 2 4 6 4 5" xfId="27125" xr:uid="{00000000-0005-0000-0000-0000F0690000}"/>
    <cellStyle name="Input 2 4 6 4 6" xfId="27126" xr:uid="{00000000-0005-0000-0000-0000F1690000}"/>
    <cellStyle name="Input 2 4 6 5" xfId="27127" xr:uid="{00000000-0005-0000-0000-0000F2690000}"/>
    <cellStyle name="Input 2 4 6 6" xfId="27128" xr:uid="{00000000-0005-0000-0000-0000F3690000}"/>
    <cellStyle name="Input 2 4 6 7" xfId="27129" xr:uid="{00000000-0005-0000-0000-0000F4690000}"/>
    <cellStyle name="Input 2 4 6 8" xfId="27130" xr:uid="{00000000-0005-0000-0000-0000F5690000}"/>
    <cellStyle name="Input 2 4 7" xfId="27131" xr:uid="{00000000-0005-0000-0000-0000F6690000}"/>
    <cellStyle name="Input 2 4 7 2" xfId="27132" xr:uid="{00000000-0005-0000-0000-0000F7690000}"/>
    <cellStyle name="Input 2 4 7 2 2" xfId="27133" xr:uid="{00000000-0005-0000-0000-0000F8690000}"/>
    <cellStyle name="Input 2 4 7 2 2 2" xfId="27134" xr:uid="{00000000-0005-0000-0000-0000F9690000}"/>
    <cellStyle name="Input 2 4 7 2 2 3" xfId="27135" xr:uid="{00000000-0005-0000-0000-0000FA690000}"/>
    <cellStyle name="Input 2 4 7 2 2 4" xfId="27136" xr:uid="{00000000-0005-0000-0000-0000FB690000}"/>
    <cellStyle name="Input 2 4 7 2 2 5" xfId="27137" xr:uid="{00000000-0005-0000-0000-0000FC690000}"/>
    <cellStyle name="Input 2 4 7 2 2 6" xfId="27138" xr:uid="{00000000-0005-0000-0000-0000FD690000}"/>
    <cellStyle name="Input 2 4 7 2 3" xfId="27139" xr:uid="{00000000-0005-0000-0000-0000FE690000}"/>
    <cellStyle name="Input 2 4 7 2 4" xfId="27140" xr:uid="{00000000-0005-0000-0000-0000FF690000}"/>
    <cellStyle name="Input 2 4 7 2 5" xfId="27141" xr:uid="{00000000-0005-0000-0000-0000006A0000}"/>
    <cellStyle name="Input 2 4 7 2 6" xfId="27142" xr:uid="{00000000-0005-0000-0000-0000016A0000}"/>
    <cellStyle name="Input 2 4 7 3" xfId="27143" xr:uid="{00000000-0005-0000-0000-0000026A0000}"/>
    <cellStyle name="Input 2 4 7 3 2" xfId="27144" xr:uid="{00000000-0005-0000-0000-0000036A0000}"/>
    <cellStyle name="Input 2 4 7 3 2 2" xfId="27145" xr:uid="{00000000-0005-0000-0000-0000046A0000}"/>
    <cellStyle name="Input 2 4 7 3 2 3" xfId="27146" xr:uid="{00000000-0005-0000-0000-0000056A0000}"/>
    <cellStyle name="Input 2 4 7 3 2 4" xfId="27147" xr:uid="{00000000-0005-0000-0000-0000066A0000}"/>
    <cellStyle name="Input 2 4 7 3 2 5" xfId="27148" xr:uid="{00000000-0005-0000-0000-0000076A0000}"/>
    <cellStyle name="Input 2 4 7 3 2 6" xfId="27149" xr:uid="{00000000-0005-0000-0000-0000086A0000}"/>
    <cellStyle name="Input 2 4 7 3 3" xfId="27150" xr:uid="{00000000-0005-0000-0000-0000096A0000}"/>
    <cellStyle name="Input 2 4 7 3 4" xfId="27151" xr:uid="{00000000-0005-0000-0000-00000A6A0000}"/>
    <cellStyle name="Input 2 4 7 3 5" xfId="27152" xr:uid="{00000000-0005-0000-0000-00000B6A0000}"/>
    <cellStyle name="Input 2 4 7 3 6" xfId="27153" xr:uid="{00000000-0005-0000-0000-00000C6A0000}"/>
    <cellStyle name="Input 2 4 7 4" xfId="27154" xr:uid="{00000000-0005-0000-0000-00000D6A0000}"/>
    <cellStyle name="Input 2 4 7 4 2" xfId="27155" xr:uid="{00000000-0005-0000-0000-00000E6A0000}"/>
    <cellStyle name="Input 2 4 7 4 3" xfId="27156" xr:uid="{00000000-0005-0000-0000-00000F6A0000}"/>
    <cellStyle name="Input 2 4 7 4 4" xfId="27157" xr:uid="{00000000-0005-0000-0000-0000106A0000}"/>
    <cellStyle name="Input 2 4 7 4 5" xfId="27158" xr:uid="{00000000-0005-0000-0000-0000116A0000}"/>
    <cellStyle name="Input 2 4 7 4 6" xfId="27159" xr:uid="{00000000-0005-0000-0000-0000126A0000}"/>
    <cellStyle name="Input 2 4 7 5" xfId="27160" xr:uid="{00000000-0005-0000-0000-0000136A0000}"/>
    <cellStyle name="Input 2 4 7 6" xfId="27161" xr:uid="{00000000-0005-0000-0000-0000146A0000}"/>
    <cellStyle name="Input 2 4 7 7" xfId="27162" xr:uid="{00000000-0005-0000-0000-0000156A0000}"/>
    <cellStyle name="Input 2 4 7 8" xfId="27163" xr:uid="{00000000-0005-0000-0000-0000166A0000}"/>
    <cellStyle name="Input 2 4 8" xfId="27164" xr:uid="{00000000-0005-0000-0000-0000176A0000}"/>
    <cellStyle name="Input 2 4 8 2" xfId="27165" xr:uid="{00000000-0005-0000-0000-0000186A0000}"/>
    <cellStyle name="Input 2 4 8 2 2" xfId="27166" xr:uid="{00000000-0005-0000-0000-0000196A0000}"/>
    <cellStyle name="Input 2 4 8 2 3" xfId="27167" xr:uid="{00000000-0005-0000-0000-00001A6A0000}"/>
    <cellStyle name="Input 2 4 8 2 4" xfId="27168" xr:uid="{00000000-0005-0000-0000-00001B6A0000}"/>
    <cellStyle name="Input 2 4 8 2 5" xfId="27169" xr:uid="{00000000-0005-0000-0000-00001C6A0000}"/>
    <cellStyle name="Input 2 4 8 2 6" xfId="27170" xr:uid="{00000000-0005-0000-0000-00001D6A0000}"/>
    <cellStyle name="Input 2 4 8 3" xfId="27171" xr:uid="{00000000-0005-0000-0000-00001E6A0000}"/>
    <cellStyle name="Input 2 4 8 4" xfId="27172" xr:uid="{00000000-0005-0000-0000-00001F6A0000}"/>
    <cellStyle name="Input 2 4 8 5" xfId="27173" xr:uid="{00000000-0005-0000-0000-0000206A0000}"/>
    <cellStyle name="Input 2 4 8 6" xfId="27174" xr:uid="{00000000-0005-0000-0000-0000216A0000}"/>
    <cellStyle name="Input 2 4 9" xfId="27175" xr:uid="{00000000-0005-0000-0000-0000226A0000}"/>
    <cellStyle name="Input 2 4 9 2" xfId="27176" xr:uid="{00000000-0005-0000-0000-0000236A0000}"/>
    <cellStyle name="Input 2 4 9 2 2" xfId="27177" xr:uid="{00000000-0005-0000-0000-0000246A0000}"/>
    <cellStyle name="Input 2 4 9 2 3" xfId="27178" xr:uid="{00000000-0005-0000-0000-0000256A0000}"/>
    <cellStyle name="Input 2 4 9 2 4" xfId="27179" xr:uid="{00000000-0005-0000-0000-0000266A0000}"/>
    <cellStyle name="Input 2 4 9 2 5" xfId="27180" xr:uid="{00000000-0005-0000-0000-0000276A0000}"/>
    <cellStyle name="Input 2 4 9 2 6" xfId="27181" xr:uid="{00000000-0005-0000-0000-0000286A0000}"/>
    <cellStyle name="Input 2 4 9 3" xfId="27182" xr:uid="{00000000-0005-0000-0000-0000296A0000}"/>
    <cellStyle name="Input 2 4 9 4" xfId="27183" xr:uid="{00000000-0005-0000-0000-00002A6A0000}"/>
    <cellStyle name="Input 2 4 9 5" xfId="27184" xr:uid="{00000000-0005-0000-0000-00002B6A0000}"/>
    <cellStyle name="Input 2 4 9 6" xfId="27185" xr:uid="{00000000-0005-0000-0000-00002C6A0000}"/>
    <cellStyle name="Input 2 40" xfId="27186" xr:uid="{00000000-0005-0000-0000-00002D6A0000}"/>
    <cellStyle name="Input 2 40 2" xfId="27187" xr:uid="{00000000-0005-0000-0000-00002E6A0000}"/>
    <cellStyle name="Input 2 40 2 2" xfId="27188" xr:uid="{00000000-0005-0000-0000-00002F6A0000}"/>
    <cellStyle name="Input 2 40 2 3" xfId="27189" xr:uid="{00000000-0005-0000-0000-0000306A0000}"/>
    <cellStyle name="Input 2 40 2 4" xfId="27190" xr:uid="{00000000-0005-0000-0000-0000316A0000}"/>
    <cellStyle name="Input 2 40 2 5" xfId="27191" xr:uid="{00000000-0005-0000-0000-0000326A0000}"/>
    <cellStyle name="Input 2 40 3" xfId="27192" xr:uid="{00000000-0005-0000-0000-0000336A0000}"/>
    <cellStyle name="Input 2 40 4" xfId="27193" xr:uid="{00000000-0005-0000-0000-0000346A0000}"/>
    <cellStyle name="Input 2 40 5" xfId="27194" xr:uid="{00000000-0005-0000-0000-0000356A0000}"/>
    <cellStyle name="Input 2 40 6" xfId="27195" xr:uid="{00000000-0005-0000-0000-0000366A0000}"/>
    <cellStyle name="Input 2 41" xfId="27196" xr:uid="{00000000-0005-0000-0000-0000376A0000}"/>
    <cellStyle name="Input 2 41 2" xfId="27197" xr:uid="{00000000-0005-0000-0000-0000386A0000}"/>
    <cellStyle name="Input 2 41 2 2" xfId="27198" xr:uid="{00000000-0005-0000-0000-0000396A0000}"/>
    <cellStyle name="Input 2 41 2 3" xfId="27199" xr:uid="{00000000-0005-0000-0000-00003A6A0000}"/>
    <cellStyle name="Input 2 41 2 4" xfId="27200" xr:uid="{00000000-0005-0000-0000-00003B6A0000}"/>
    <cellStyle name="Input 2 41 2 5" xfId="27201" xr:uid="{00000000-0005-0000-0000-00003C6A0000}"/>
    <cellStyle name="Input 2 41 3" xfId="27202" xr:uid="{00000000-0005-0000-0000-00003D6A0000}"/>
    <cellStyle name="Input 2 41 4" xfId="27203" xr:uid="{00000000-0005-0000-0000-00003E6A0000}"/>
    <cellStyle name="Input 2 41 5" xfId="27204" xr:uid="{00000000-0005-0000-0000-00003F6A0000}"/>
    <cellStyle name="Input 2 41 6" xfId="27205" xr:uid="{00000000-0005-0000-0000-0000406A0000}"/>
    <cellStyle name="Input 2 42" xfId="27206" xr:uid="{00000000-0005-0000-0000-0000416A0000}"/>
    <cellStyle name="Input 2 42 2" xfId="27207" xr:uid="{00000000-0005-0000-0000-0000426A0000}"/>
    <cellStyle name="Input 2 42 3" xfId="27208" xr:uid="{00000000-0005-0000-0000-0000436A0000}"/>
    <cellStyle name="Input 2 42 4" xfId="27209" xr:uid="{00000000-0005-0000-0000-0000446A0000}"/>
    <cellStyle name="Input 2 42 5" xfId="27210" xr:uid="{00000000-0005-0000-0000-0000456A0000}"/>
    <cellStyle name="Input 2 43" xfId="27211" xr:uid="{00000000-0005-0000-0000-0000466A0000}"/>
    <cellStyle name="Input 2 44" xfId="27212" xr:uid="{00000000-0005-0000-0000-0000476A0000}"/>
    <cellStyle name="Input 2 45" xfId="27213" xr:uid="{00000000-0005-0000-0000-0000486A0000}"/>
    <cellStyle name="Input 2 46" xfId="27214" xr:uid="{00000000-0005-0000-0000-0000496A0000}"/>
    <cellStyle name="Input 2 5" xfId="27215" xr:uid="{00000000-0005-0000-0000-00004A6A0000}"/>
    <cellStyle name="Input 2 5 10" xfId="27216" xr:uid="{00000000-0005-0000-0000-00004B6A0000}"/>
    <cellStyle name="Input 2 5 10 2" xfId="27217" xr:uid="{00000000-0005-0000-0000-00004C6A0000}"/>
    <cellStyle name="Input 2 5 10 3" xfId="27218" xr:uid="{00000000-0005-0000-0000-00004D6A0000}"/>
    <cellStyle name="Input 2 5 10 4" xfId="27219" xr:uid="{00000000-0005-0000-0000-00004E6A0000}"/>
    <cellStyle name="Input 2 5 10 5" xfId="27220" xr:uid="{00000000-0005-0000-0000-00004F6A0000}"/>
    <cellStyle name="Input 2 5 11" xfId="27221" xr:uid="{00000000-0005-0000-0000-0000506A0000}"/>
    <cellStyle name="Input 2 5 12" xfId="27222" xr:uid="{00000000-0005-0000-0000-0000516A0000}"/>
    <cellStyle name="Input 2 5 13" xfId="27223" xr:uid="{00000000-0005-0000-0000-0000526A0000}"/>
    <cellStyle name="Input 2 5 14" xfId="27224" xr:uid="{00000000-0005-0000-0000-0000536A0000}"/>
    <cellStyle name="Input 2 5 2" xfId="27225" xr:uid="{00000000-0005-0000-0000-0000546A0000}"/>
    <cellStyle name="Input 2 5 2 2" xfId="27226" xr:uid="{00000000-0005-0000-0000-0000556A0000}"/>
    <cellStyle name="Input 2 5 2 2 2" xfId="27227" xr:uid="{00000000-0005-0000-0000-0000566A0000}"/>
    <cellStyle name="Input 2 5 2 2 2 2" xfId="27228" xr:uid="{00000000-0005-0000-0000-0000576A0000}"/>
    <cellStyle name="Input 2 5 2 2 2 3" xfId="27229" xr:uid="{00000000-0005-0000-0000-0000586A0000}"/>
    <cellStyle name="Input 2 5 2 2 2 4" xfId="27230" xr:uid="{00000000-0005-0000-0000-0000596A0000}"/>
    <cellStyle name="Input 2 5 2 2 2 5" xfId="27231" xr:uid="{00000000-0005-0000-0000-00005A6A0000}"/>
    <cellStyle name="Input 2 5 2 2 2 6" xfId="27232" xr:uid="{00000000-0005-0000-0000-00005B6A0000}"/>
    <cellStyle name="Input 2 5 2 2 3" xfId="27233" xr:uid="{00000000-0005-0000-0000-00005C6A0000}"/>
    <cellStyle name="Input 2 5 2 2 4" xfId="27234" xr:uid="{00000000-0005-0000-0000-00005D6A0000}"/>
    <cellStyle name="Input 2 5 2 2 5" xfId="27235" xr:uid="{00000000-0005-0000-0000-00005E6A0000}"/>
    <cellStyle name="Input 2 5 2 2 6" xfId="27236" xr:uid="{00000000-0005-0000-0000-00005F6A0000}"/>
    <cellStyle name="Input 2 5 2 3" xfId="27237" xr:uid="{00000000-0005-0000-0000-0000606A0000}"/>
    <cellStyle name="Input 2 5 2 3 2" xfId="27238" xr:uid="{00000000-0005-0000-0000-0000616A0000}"/>
    <cellStyle name="Input 2 5 2 3 2 2" xfId="27239" xr:uid="{00000000-0005-0000-0000-0000626A0000}"/>
    <cellStyle name="Input 2 5 2 3 2 3" xfId="27240" xr:uid="{00000000-0005-0000-0000-0000636A0000}"/>
    <cellStyle name="Input 2 5 2 3 2 4" xfId="27241" xr:uid="{00000000-0005-0000-0000-0000646A0000}"/>
    <cellStyle name="Input 2 5 2 3 2 5" xfId="27242" xr:uid="{00000000-0005-0000-0000-0000656A0000}"/>
    <cellStyle name="Input 2 5 2 3 2 6" xfId="27243" xr:uid="{00000000-0005-0000-0000-0000666A0000}"/>
    <cellStyle name="Input 2 5 2 3 3" xfId="27244" xr:uid="{00000000-0005-0000-0000-0000676A0000}"/>
    <cellStyle name="Input 2 5 2 3 4" xfId="27245" xr:uid="{00000000-0005-0000-0000-0000686A0000}"/>
    <cellStyle name="Input 2 5 2 3 5" xfId="27246" xr:uid="{00000000-0005-0000-0000-0000696A0000}"/>
    <cellStyle name="Input 2 5 2 3 6" xfId="27247" xr:uid="{00000000-0005-0000-0000-00006A6A0000}"/>
    <cellStyle name="Input 2 5 2 4" xfId="27248" xr:uid="{00000000-0005-0000-0000-00006B6A0000}"/>
    <cellStyle name="Input 2 5 2 4 2" xfId="27249" xr:uid="{00000000-0005-0000-0000-00006C6A0000}"/>
    <cellStyle name="Input 2 5 2 4 3" xfId="27250" xr:uid="{00000000-0005-0000-0000-00006D6A0000}"/>
    <cellStyle name="Input 2 5 2 4 4" xfId="27251" xr:uid="{00000000-0005-0000-0000-00006E6A0000}"/>
    <cellStyle name="Input 2 5 2 4 5" xfId="27252" xr:uid="{00000000-0005-0000-0000-00006F6A0000}"/>
    <cellStyle name="Input 2 5 2 4 6" xfId="27253" xr:uid="{00000000-0005-0000-0000-0000706A0000}"/>
    <cellStyle name="Input 2 5 2 5" xfId="27254" xr:uid="{00000000-0005-0000-0000-0000716A0000}"/>
    <cellStyle name="Input 2 5 2 5 2" xfId="27255" xr:uid="{00000000-0005-0000-0000-0000726A0000}"/>
    <cellStyle name="Input 2 5 2 5 3" xfId="27256" xr:uid="{00000000-0005-0000-0000-0000736A0000}"/>
    <cellStyle name="Input 2 5 2 5 4" xfId="27257" xr:uid="{00000000-0005-0000-0000-0000746A0000}"/>
    <cellStyle name="Input 2 5 2 5 5" xfId="27258" xr:uid="{00000000-0005-0000-0000-0000756A0000}"/>
    <cellStyle name="Input 2 5 2 6" xfId="27259" xr:uid="{00000000-0005-0000-0000-0000766A0000}"/>
    <cellStyle name="Input 2 5 2 7" xfId="27260" xr:uid="{00000000-0005-0000-0000-0000776A0000}"/>
    <cellStyle name="Input 2 5 2 8" xfId="27261" xr:uid="{00000000-0005-0000-0000-0000786A0000}"/>
    <cellStyle name="Input 2 5 2 9" xfId="27262" xr:uid="{00000000-0005-0000-0000-0000796A0000}"/>
    <cellStyle name="Input 2 5 3" xfId="27263" xr:uid="{00000000-0005-0000-0000-00007A6A0000}"/>
    <cellStyle name="Input 2 5 3 2" xfId="27264" xr:uid="{00000000-0005-0000-0000-00007B6A0000}"/>
    <cellStyle name="Input 2 5 3 2 2" xfId="27265" xr:uid="{00000000-0005-0000-0000-00007C6A0000}"/>
    <cellStyle name="Input 2 5 3 2 2 2" xfId="27266" xr:uid="{00000000-0005-0000-0000-00007D6A0000}"/>
    <cellStyle name="Input 2 5 3 2 2 3" xfId="27267" xr:uid="{00000000-0005-0000-0000-00007E6A0000}"/>
    <cellStyle name="Input 2 5 3 2 2 4" xfId="27268" xr:uid="{00000000-0005-0000-0000-00007F6A0000}"/>
    <cellStyle name="Input 2 5 3 2 2 5" xfId="27269" xr:uid="{00000000-0005-0000-0000-0000806A0000}"/>
    <cellStyle name="Input 2 5 3 2 2 6" xfId="27270" xr:uid="{00000000-0005-0000-0000-0000816A0000}"/>
    <cellStyle name="Input 2 5 3 2 3" xfId="27271" xr:uid="{00000000-0005-0000-0000-0000826A0000}"/>
    <cellStyle name="Input 2 5 3 2 4" xfId="27272" xr:uid="{00000000-0005-0000-0000-0000836A0000}"/>
    <cellStyle name="Input 2 5 3 2 5" xfId="27273" xr:uid="{00000000-0005-0000-0000-0000846A0000}"/>
    <cellStyle name="Input 2 5 3 2 6" xfId="27274" xr:uid="{00000000-0005-0000-0000-0000856A0000}"/>
    <cellStyle name="Input 2 5 3 3" xfId="27275" xr:uid="{00000000-0005-0000-0000-0000866A0000}"/>
    <cellStyle name="Input 2 5 3 3 2" xfId="27276" xr:uid="{00000000-0005-0000-0000-0000876A0000}"/>
    <cellStyle name="Input 2 5 3 3 2 2" xfId="27277" xr:uid="{00000000-0005-0000-0000-0000886A0000}"/>
    <cellStyle name="Input 2 5 3 3 2 3" xfId="27278" xr:uid="{00000000-0005-0000-0000-0000896A0000}"/>
    <cellStyle name="Input 2 5 3 3 2 4" xfId="27279" xr:uid="{00000000-0005-0000-0000-00008A6A0000}"/>
    <cellStyle name="Input 2 5 3 3 2 5" xfId="27280" xr:uid="{00000000-0005-0000-0000-00008B6A0000}"/>
    <cellStyle name="Input 2 5 3 3 2 6" xfId="27281" xr:uid="{00000000-0005-0000-0000-00008C6A0000}"/>
    <cellStyle name="Input 2 5 3 3 3" xfId="27282" xr:uid="{00000000-0005-0000-0000-00008D6A0000}"/>
    <cellStyle name="Input 2 5 3 3 4" xfId="27283" xr:uid="{00000000-0005-0000-0000-00008E6A0000}"/>
    <cellStyle name="Input 2 5 3 3 5" xfId="27284" xr:uid="{00000000-0005-0000-0000-00008F6A0000}"/>
    <cellStyle name="Input 2 5 3 3 6" xfId="27285" xr:uid="{00000000-0005-0000-0000-0000906A0000}"/>
    <cellStyle name="Input 2 5 3 4" xfId="27286" xr:uid="{00000000-0005-0000-0000-0000916A0000}"/>
    <cellStyle name="Input 2 5 3 4 2" xfId="27287" xr:uid="{00000000-0005-0000-0000-0000926A0000}"/>
    <cellStyle name="Input 2 5 3 4 3" xfId="27288" xr:uid="{00000000-0005-0000-0000-0000936A0000}"/>
    <cellStyle name="Input 2 5 3 4 4" xfId="27289" xr:uid="{00000000-0005-0000-0000-0000946A0000}"/>
    <cellStyle name="Input 2 5 3 4 5" xfId="27290" xr:uid="{00000000-0005-0000-0000-0000956A0000}"/>
    <cellStyle name="Input 2 5 3 4 6" xfId="27291" xr:uid="{00000000-0005-0000-0000-0000966A0000}"/>
    <cellStyle name="Input 2 5 3 5" xfId="27292" xr:uid="{00000000-0005-0000-0000-0000976A0000}"/>
    <cellStyle name="Input 2 5 3 6" xfId="27293" xr:uid="{00000000-0005-0000-0000-0000986A0000}"/>
    <cellStyle name="Input 2 5 3 7" xfId="27294" xr:uid="{00000000-0005-0000-0000-0000996A0000}"/>
    <cellStyle name="Input 2 5 3 8" xfId="27295" xr:uid="{00000000-0005-0000-0000-00009A6A0000}"/>
    <cellStyle name="Input 2 5 4" xfId="27296" xr:uid="{00000000-0005-0000-0000-00009B6A0000}"/>
    <cellStyle name="Input 2 5 4 2" xfId="27297" xr:uid="{00000000-0005-0000-0000-00009C6A0000}"/>
    <cellStyle name="Input 2 5 4 2 2" xfId="27298" xr:uid="{00000000-0005-0000-0000-00009D6A0000}"/>
    <cellStyle name="Input 2 5 4 2 2 2" xfId="27299" xr:uid="{00000000-0005-0000-0000-00009E6A0000}"/>
    <cellStyle name="Input 2 5 4 2 2 3" xfId="27300" xr:uid="{00000000-0005-0000-0000-00009F6A0000}"/>
    <cellStyle name="Input 2 5 4 2 2 4" xfId="27301" xr:uid="{00000000-0005-0000-0000-0000A06A0000}"/>
    <cellStyle name="Input 2 5 4 2 2 5" xfId="27302" xr:uid="{00000000-0005-0000-0000-0000A16A0000}"/>
    <cellStyle name="Input 2 5 4 2 2 6" xfId="27303" xr:uid="{00000000-0005-0000-0000-0000A26A0000}"/>
    <cellStyle name="Input 2 5 4 2 3" xfId="27304" xr:uid="{00000000-0005-0000-0000-0000A36A0000}"/>
    <cellStyle name="Input 2 5 4 2 4" xfId="27305" xr:uid="{00000000-0005-0000-0000-0000A46A0000}"/>
    <cellStyle name="Input 2 5 4 2 5" xfId="27306" xr:uid="{00000000-0005-0000-0000-0000A56A0000}"/>
    <cellStyle name="Input 2 5 4 2 6" xfId="27307" xr:uid="{00000000-0005-0000-0000-0000A66A0000}"/>
    <cellStyle name="Input 2 5 4 3" xfId="27308" xr:uid="{00000000-0005-0000-0000-0000A76A0000}"/>
    <cellStyle name="Input 2 5 4 3 2" xfId="27309" xr:uid="{00000000-0005-0000-0000-0000A86A0000}"/>
    <cellStyle name="Input 2 5 4 3 2 2" xfId="27310" xr:uid="{00000000-0005-0000-0000-0000A96A0000}"/>
    <cellStyle name="Input 2 5 4 3 2 3" xfId="27311" xr:uid="{00000000-0005-0000-0000-0000AA6A0000}"/>
    <cellStyle name="Input 2 5 4 3 2 4" xfId="27312" xr:uid="{00000000-0005-0000-0000-0000AB6A0000}"/>
    <cellStyle name="Input 2 5 4 3 2 5" xfId="27313" xr:uid="{00000000-0005-0000-0000-0000AC6A0000}"/>
    <cellStyle name="Input 2 5 4 3 2 6" xfId="27314" xr:uid="{00000000-0005-0000-0000-0000AD6A0000}"/>
    <cellStyle name="Input 2 5 4 3 3" xfId="27315" xr:uid="{00000000-0005-0000-0000-0000AE6A0000}"/>
    <cellStyle name="Input 2 5 4 3 4" xfId="27316" xr:uid="{00000000-0005-0000-0000-0000AF6A0000}"/>
    <cellStyle name="Input 2 5 4 3 5" xfId="27317" xr:uid="{00000000-0005-0000-0000-0000B06A0000}"/>
    <cellStyle name="Input 2 5 4 3 6" xfId="27318" xr:uid="{00000000-0005-0000-0000-0000B16A0000}"/>
    <cellStyle name="Input 2 5 4 4" xfId="27319" xr:uid="{00000000-0005-0000-0000-0000B26A0000}"/>
    <cellStyle name="Input 2 5 4 4 2" xfId="27320" xr:uid="{00000000-0005-0000-0000-0000B36A0000}"/>
    <cellStyle name="Input 2 5 4 4 3" xfId="27321" xr:uid="{00000000-0005-0000-0000-0000B46A0000}"/>
    <cellStyle name="Input 2 5 4 4 4" xfId="27322" xr:uid="{00000000-0005-0000-0000-0000B56A0000}"/>
    <cellStyle name="Input 2 5 4 4 5" xfId="27323" xr:uid="{00000000-0005-0000-0000-0000B66A0000}"/>
    <cellStyle name="Input 2 5 4 4 6" xfId="27324" xr:uid="{00000000-0005-0000-0000-0000B76A0000}"/>
    <cellStyle name="Input 2 5 4 5" xfId="27325" xr:uid="{00000000-0005-0000-0000-0000B86A0000}"/>
    <cellStyle name="Input 2 5 4 6" xfId="27326" xr:uid="{00000000-0005-0000-0000-0000B96A0000}"/>
    <cellStyle name="Input 2 5 4 7" xfId="27327" xr:uid="{00000000-0005-0000-0000-0000BA6A0000}"/>
    <cellStyle name="Input 2 5 4 8" xfId="27328" xr:uid="{00000000-0005-0000-0000-0000BB6A0000}"/>
    <cellStyle name="Input 2 5 5" xfId="27329" xr:uid="{00000000-0005-0000-0000-0000BC6A0000}"/>
    <cellStyle name="Input 2 5 5 2" xfId="27330" xr:uid="{00000000-0005-0000-0000-0000BD6A0000}"/>
    <cellStyle name="Input 2 5 5 2 2" xfId="27331" xr:uid="{00000000-0005-0000-0000-0000BE6A0000}"/>
    <cellStyle name="Input 2 5 5 2 2 2" xfId="27332" xr:uid="{00000000-0005-0000-0000-0000BF6A0000}"/>
    <cellStyle name="Input 2 5 5 2 2 3" xfId="27333" xr:uid="{00000000-0005-0000-0000-0000C06A0000}"/>
    <cellStyle name="Input 2 5 5 2 2 4" xfId="27334" xr:uid="{00000000-0005-0000-0000-0000C16A0000}"/>
    <cellStyle name="Input 2 5 5 2 2 5" xfId="27335" xr:uid="{00000000-0005-0000-0000-0000C26A0000}"/>
    <cellStyle name="Input 2 5 5 2 2 6" xfId="27336" xr:uid="{00000000-0005-0000-0000-0000C36A0000}"/>
    <cellStyle name="Input 2 5 5 2 3" xfId="27337" xr:uid="{00000000-0005-0000-0000-0000C46A0000}"/>
    <cellStyle name="Input 2 5 5 2 4" xfId="27338" xr:uid="{00000000-0005-0000-0000-0000C56A0000}"/>
    <cellStyle name="Input 2 5 5 2 5" xfId="27339" xr:uid="{00000000-0005-0000-0000-0000C66A0000}"/>
    <cellStyle name="Input 2 5 5 2 6" xfId="27340" xr:uid="{00000000-0005-0000-0000-0000C76A0000}"/>
    <cellStyle name="Input 2 5 5 3" xfId="27341" xr:uid="{00000000-0005-0000-0000-0000C86A0000}"/>
    <cellStyle name="Input 2 5 5 3 2" xfId="27342" xr:uid="{00000000-0005-0000-0000-0000C96A0000}"/>
    <cellStyle name="Input 2 5 5 3 2 2" xfId="27343" xr:uid="{00000000-0005-0000-0000-0000CA6A0000}"/>
    <cellStyle name="Input 2 5 5 3 2 3" xfId="27344" xr:uid="{00000000-0005-0000-0000-0000CB6A0000}"/>
    <cellStyle name="Input 2 5 5 3 2 4" xfId="27345" xr:uid="{00000000-0005-0000-0000-0000CC6A0000}"/>
    <cellStyle name="Input 2 5 5 3 2 5" xfId="27346" xr:uid="{00000000-0005-0000-0000-0000CD6A0000}"/>
    <cellStyle name="Input 2 5 5 3 2 6" xfId="27347" xr:uid="{00000000-0005-0000-0000-0000CE6A0000}"/>
    <cellStyle name="Input 2 5 5 3 3" xfId="27348" xr:uid="{00000000-0005-0000-0000-0000CF6A0000}"/>
    <cellStyle name="Input 2 5 5 3 4" xfId="27349" xr:uid="{00000000-0005-0000-0000-0000D06A0000}"/>
    <cellStyle name="Input 2 5 5 3 5" xfId="27350" xr:uid="{00000000-0005-0000-0000-0000D16A0000}"/>
    <cellStyle name="Input 2 5 5 3 6" xfId="27351" xr:uid="{00000000-0005-0000-0000-0000D26A0000}"/>
    <cellStyle name="Input 2 5 5 4" xfId="27352" xr:uid="{00000000-0005-0000-0000-0000D36A0000}"/>
    <cellStyle name="Input 2 5 5 4 2" xfId="27353" xr:uid="{00000000-0005-0000-0000-0000D46A0000}"/>
    <cellStyle name="Input 2 5 5 4 3" xfId="27354" xr:uid="{00000000-0005-0000-0000-0000D56A0000}"/>
    <cellStyle name="Input 2 5 5 4 4" xfId="27355" xr:uid="{00000000-0005-0000-0000-0000D66A0000}"/>
    <cellStyle name="Input 2 5 5 4 5" xfId="27356" xr:uid="{00000000-0005-0000-0000-0000D76A0000}"/>
    <cellStyle name="Input 2 5 5 4 6" xfId="27357" xr:uid="{00000000-0005-0000-0000-0000D86A0000}"/>
    <cellStyle name="Input 2 5 5 5" xfId="27358" xr:uid="{00000000-0005-0000-0000-0000D96A0000}"/>
    <cellStyle name="Input 2 5 5 6" xfId="27359" xr:uid="{00000000-0005-0000-0000-0000DA6A0000}"/>
    <cellStyle name="Input 2 5 5 7" xfId="27360" xr:uid="{00000000-0005-0000-0000-0000DB6A0000}"/>
    <cellStyle name="Input 2 5 5 8" xfId="27361" xr:uid="{00000000-0005-0000-0000-0000DC6A0000}"/>
    <cellStyle name="Input 2 5 6" xfId="27362" xr:uid="{00000000-0005-0000-0000-0000DD6A0000}"/>
    <cellStyle name="Input 2 5 6 2" xfId="27363" xr:uid="{00000000-0005-0000-0000-0000DE6A0000}"/>
    <cellStyle name="Input 2 5 6 2 2" xfId="27364" xr:uid="{00000000-0005-0000-0000-0000DF6A0000}"/>
    <cellStyle name="Input 2 5 6 2 2 2" xfId="27365" xr:uid="{00000000-0005-0000-0000-0000E06A0000}"/>
    <cellStyle name="Input 2 5 6 2 2 3" xfId="27366" xr:uid="{00000000-0005-0000-0000-0000E16A0000}"/>
    <cellStyle name="Input 2 5 6 2 2 4" xfId="27367" xr:uid="{00000000-0005-0000-0000-0000E26A0000}"/>
    <cellStyle name="Input 2 5 6 2 2 5" xfId="27368" xr:uid="{00000000-0005-0000-0000-0000E36A0000}"/>
    <cellStyle name="Input 2 5 6 2 2 6" xfId="27369" xr:uid="{00000000-0005-0000-0000-0000E46A0000}"/>
    <cellStyle name="Input 2 5 6 2 3" xfId="27370" xr:uid="{00000000-0005-0000-0000-0000E56A0000}"/>
    <cellStyle name="Input 2 5 6 2 4" xfId="27371" xr:uid="{00000000-0005-0000-0000-0000E66A0000}"/>
    <cellStyle name="Input 2 5 6 2 5" xfId="27372" xr:uid="{00000000-0005-0000-0000-0000E76A0000}"/>
    <cellStyle name="Input 2 5 6 2 6" xfId="27373" xr:uid="{00000000-0005-0000-0000-0000E86A0000}"/>
    <cellStyle name="Input 2 5 6 3" xfId="27374" xr:uid="{00000000-0005-0000-0000-0000E96A0000}"/>
    <cellStyle name="Input 2 5 6 3 2" xfId="27375" xr:uid="{00000000-0005-0000-0000-0000EA6A0000}"/>
    <cellStyle name="Input 2 5 6 3 2 2" xfId="27376" xr:uid="{00000000-0005-0000-0000-0000EB6A0000}"/>
    <cellStyle name="Input 2 5 6 3 2 3" xfId="27377" xr:uid="{00000000-0005-0000-0000-0000EC6A0000}"/>
    <cellStyle name="Input 2 5 6 3 2 4" xfId="27378" xr:uid="{00000000-0005-0000-0000-0000ED6A0000}"/>
    <cellStyle name="Input 2 5 6 3 2 5" xfId="27379" xr:uid="{00000000-0005-0000-0000-0000EE6A0000}"/>
    <cellStyle name="Input 2 5 6 3 2 6" xfId="27380" xr:uid="{00000000-0005-0000-0000-0000EF6A0000}"/>
    <cellStyle name="Input 2 5 6 3 3" xfId="27381" xr:uid="{00000000-0005-0000-0000-0000F06A0000}"/>
    <cellStyle name="Input 2 5 6 3 4" xfId="27382" xr:uid="{00000000-0005-0000-0000-0000F16A0000}"/>
    <cellStyle name="Input 2 5 6 3 5" xfId="27383" xr:uid="{00000000-0005-0000-0000-0000F26A0000}"/>
    <cellStyle name="Input 2 5 6 3 6" xfId="27384" xr:uid="{00000000-0005-0000-0000-0000F36A0000}"/>
    <cellStyle name="Input 2 5 6 4" xfId="27385" xr:uid="{00000000-0005-0000-0000-0000F46A0000}"/>
    <cellStyle name="Input 2 5 6 4 2" xfId="27386" xr:uid="{00000000-0005-0000-0000-0000F56A0000}"/>
    <cellStyle name="Input 2 5 6 4 3" xfId="27387" xr:uid="{00000000-0005-0000-0000-0000F66A0000}"/>
    <cellStyle name="Input 2 5 6 4 4" xfId="27388" xr:uid="{00000000-0005-0000-0000-0000F76A0000}"/>
    <cellStyle name="Input 2 5 6 4 5" xfId="27389" xr:uid="{00000000-0005-0000-0000-0000F86A0000}"/>
    <cellStyle name="Input 2 5 6 4 6" xfId="27390" xr:uid="{00000000-0005-0000-0000-0000F96A0000}"/>
    <cellStyle name="Input 2 5 6 5" xfId="27391" xr:uid="{00000000-0005-0000-0000-0000FA6A0000}"/>
    <cellStyle name="Input 2 5 6 6" xfId="27392" xr:uid="{00000000-0005-0000-0000-0000FB6A0000}"/>
    <cellStyle name="Input 2 5 6 7" xfId="27393" xr:uid="{00000000-0005-0000-0000-0000FC6A0000}"/>
    <cellStyle name="Input 2 5 6 8" xfId="27394" xr:uid="{00000000-0005-0000-0000-0000FD6A0000}"/>
    <cellStyle name="Input 2 5 7" xfId="27395" xr:uid="{00000000-0005-0000-0000-0000FE6A0000}"/>
    <cellStyle name="Input 2 5 7 2" xfId="27396" xr:uid="{00000000-0005-0000-0000-0000FF6A0000}"/>
    <cellStyle name="Input 2 5 7 2 2" xfId="27397" xr:uid="{00000000-0005-0000-0000-0000006B0000}"/>
    <cellStyle name="Input 2 5 7 2 3" xfId="27398" xr:uid="{00000000-0005-0000-0000-0000016B0000}"/>
    <cellStyle name="Input 2 5 7 2 4" xfId="27399" xr:uid="{00000000-0005-0000-0000-0000026B0000}"/>
    <cellStyle name="Input 2 5 7 2 5" xfId="27400" xr:uid="{00000000-0005-0000-0000-0000036B0000}"/>
    <cellStyle name="Input 2 5 7 2 6" xfId="27401" xr:uid="{00000000-0005-0000-0000-0000046B0000}"/>
    <cellStyle name="Input 2 5 7 3" xfId="27402" xr:uid="{00000000-0005-0000-0000-0000056B0000}"/>
    <cellStyle name="Input 2 5 7 4" xfId="27403" xr:uid="{00000000-0005-0000-0000-0000066B0000}"/>
    <cellStyle name="Input 2 5 7 5" xfId="27404" xr:uid="{00000000-0005-0000-0000-0000076B0000}"/>
    <cellStyle name="Input 2 5 7 6" xfId="27405" xr:uid="{00000000-0005-0000-0000-0000086B0000}"/>
    <cellStyle name="Input 2 5 8" xfId="27406" xr:uid="{00000000-0005-0000-0000-0000096B0000}"/>
    <cellStyle name="Input 2 5 8 2" xfId="27407" xr:uid="{00000000-0005-0000-0000-00000A6B0000}"/>
    <cellStyle name="Input 2 5 8 2 2" xfId="27408" xr:uid="{00000000-0005-0000-0000-00000B6B0000}"/>
    <cellStyle name="Input 2 5 8 2 3" xfId="27409" xr:uid="{00000000-0005-0000-0000-00000C6B0000}"/>
    <cellStyle name="Input 2 5 8 2 4" xfId="27410" xr:uid="{00000000-0005-0000-0000-00000D6B0000}"/>
    <cellStyle name="Input 2 5 8 2 5" xfId="27411" xr:uid="{00000000-0005-0000-0000-00000E6B0000}"/>
    <cellStyle name="Input 2 5 8 2 6" xfId="27412" xr:uid="{00000000-0005-0000-0000-00000F6B0000}"/>
    <cellStyle name="Input 2 5 8 3" xfId="27413" xr:uid="{00000000-0005-0000-0000-0000106B0000}"/>
    <cellStyle name="Input 2 5 8 4" xfId="27414" xr:uid="{00000000-0005-0000-0000-0000116B0000}"/>
    <cellStyle name="Input 2 5 8 5" xfId="27415" xr:uid="{00000000-0005-0000-0000-0000126B0000}"/>
    <cellStyle name="Input 2 5 8 6" xfId="27416" xr:uid="{00000000-0005-0000-0000-0000136B0000}"/>
    <cellStyle name="Input 2 5 9" xfId="27417" xr:uid="{00000000-0005-0000-0000-0000146B0000}"/>
    <cellStyle name="Input 2 5 9 2" xfId="27418" xr:uid="{00000000-0005-0000-0000-0000156B0000}"/>
    <cellStyle name="Input 2 5 9 3" xfId="27419" xr:uid="{00000000-0005-0000-0000-0000166B0000}"/>
    <cellStyle name="Input 2 5 9 4" xfId="27420" xr:uid="{00000000-0005-0000-0000-0000176B0000}"/>
    <cellStyle name="Input 2 5 9 5" xfId="27421" xr:uid="{00000000-0005-0000-0000-0000186B0000}"/>
    <cellStyle name="Input 2 5 9 6" xfId="27422" xr:uid="{00000000-0005-0000-0000-0000196B0000}"/>
    <cellStyle name="Input 2 6" xfId="27423" xr:uid="{00000000-0005-0000-0000-00001A6B0000}"/>
    <cellStyle name="Input 2 6 2" xfId="27424" xr:uid="{00000000-0005-0000-0000-00001B6B0000}"/>
    <cellStyle name="Input 2 6 2 2" xfId="27425" xr:uid="{00000000-0005-0000-0000-00001C6B0000}"/>
    <cellStyle name="Input 2 6 2 2 2" xfId="27426" xr:uid="{00000000-0005-0000-0000-00001D6B0000}"/>
    <cellStyle name="Input 2 6 2 2 3" xfId="27427" xr:uid="{00000000-0005-0000-0000-00001E6B0000}"/>
    <cellStyle name="Input 2 6 2 2 4" xfId="27428" xr:uid="{00000000-0005-0000-0000-00001F6B0000}"/>
    <cellStyle name="Input 2 6 2 2 5" xfId="27429" xr:uid="{00000000-0005-0000-0000-0000206B0000}"/>
    <cellStyle name="Input 2 6 2 2 6" xfId="27430" xr:uid="{00000000-0005-0000-0000-0000216B0000}"/>
    <cellStyle name="Input 2 6 2 3" xfId="27431" xr:uid="{00000000-0005-0000-0000-0000226B0000}"/>
    <cellStyle name="Input 2 6 2 3 2" xfId="27432" xr:uid="{00000000-0005-0000-0000-0000236B0000}"/>
    <cellStyle name="Input 2 6 2 3 3" xfId="27433" xr:uid="{00000000-0005-0000-0000-0000246B0000}"/>
    <cellStyle name="Input 2 6 2 3 4" xfId="27434" xr:uid="{00000000-0005-0000-0000-0000256B0000}"/>
    <cellStyle name="Input 2 6 2 3 5" xfId="27435" xr:uid="{00000000-0005-0000-0000-0000266B0000}"/>
    <cellStyle name="Input 2 6 2 4" xfId="27436" xr:uid="{00000000-0005-0000-0000-0000276B0000}"/>
    <cellStyle name="Input 2 6 2 5" xfId="27437" xr:uid="{00000000-0005-0000-0000-0000286B0000}"/>
    <cellStyle name="Input 2 6 2 6" xfId="27438" xr:uid="{00000000-0005-0000-0000-0000296B0000}"/>
    <cellStyle name="Input 2 6 2 7" xfId="27439" xr:uid="{00000000-0005-0000-0000-00002A6B0000}"/>
    <cellStyle name="Input 2 6 3" xfId="27440" xr:uid="{00000000-0005-0000-0000-00002B6B0000}"/>
    <cellStyle name="Input 2 6 3 2" xfId="27441" xr:uid="{00000000-0005-0000-0000-00002C6B0000}"/>
    <cellStyle name="Input 2 6 3 2 2" xfId="27442" xr:uid="{00000000-0005-0000-0000-00002D6B0000}"/>
    <cellStyle name="Input 2 6 3 2 3" xfId="27443" xr:uid="{00000000-0005-0000-0000-00002E6B0000}"/>
    <cellStyle name="Input 2 6 3 2 4" xfId="27444" xr:uid="{00000000-0005-0000-0000-00002F6B0000}"/>
    <cellStyle name="Input 2 6 3 2 5" xfId="27445" xr:uid="{00000000-0005-0000-0000-0000306B0000}"/>
    <cellStyle name="Input 2 6 3 2 6" xfId="27446" xr:uid="{00000000-0005-0000-0000-0000316B0000}"/>
    <cellStyle name="Input 2 6 3 3" xfId="27447" xr:uid="{00000000-0005-0000-0000-0000326B0000}"/>
    <cellStyle name="Input 2 6 3 4" xfId="27448" xr:uid="{00000000-0005-0000-0000-0000336B0000}"/>
    <cellStyle name="Input 2 6 3 5" xfId="27449" xr:uid="{00000000-0005-0000-0000-0000346B0000}"/>
    <cellStyle name="Input 2 6 3 6" xfId="27450" xr:uid="{00000000-0005-0000-0000-0000356B0000}"/>
    <cellStyle name="Input 2 6 4" xfId="27451" xr:uid="{00000000-0005-0000-0000-0000366B0000}"/>
    <cellStyle name="Input 2 6 4 2" xfId="27452" xr:uid="{00000000-0005-0000-0000-0000376B0000}"/>
    <cellStyle name="Input 2 6 4 3" xfId="27453" xr:uid="{00000000-0005-0000-0000-0000386B0000}"/>
    <cellStyle name="Input 2 6 4 4" xfId="27454" xr:uid="{00000000-0005-0000-0000-0000396B0000}"/>
    <cellStyle name="Input 2 6 4 5" xfId="27455" xr:uid="{00000000-0005-0000-0000-00003A6B0000}"/>
    <cellStyle name="Input 2 6 4 6" xfId="27456" xr:uid="{00000000-0005-0000-0000-00003B6B0000}"/>
    <cellStyle name="Input 2 6 5" xfId="27457" xr:uid="{00000000-0005-0000-0000-00003C6B0000}"/>
    <cellStyle name="Input 2 6 5 2" xfId="27458" xr:uid="{00000000-0005-0000-0000-00003D6B0000}"/>
    <cellStyle name="Input 2 6 5 3" xfId="27459" xr:uid="{00000000-0005-0000-0000-00003E6B0000}"/>
    <cellStyle name="Input 2 6 5 4" xfId="27460" xr:uid="{00000000-0005-0000-0000-00003F6B0000}"/>
    <cellStyle name="Input 2 6 5 5" xfId="27461" xr:uid="{00000000-0005-0000-0000-0000406B0000}"/>
    <cellStyle name="Input 2 6 6" xfId="27462" xr:uid="{00000000-0005-0000-0000-0000416B0000}"/>
    <cellStyle name="Input 2 6 7" xfId="27463" xr:uid="{00000000-0005-0000-0000-0000426B0000}"/>
    <cellStyle name="Input 2 6 8" xfId="27464" xr:uid="{00000000-0005-0000-0000-0000436B0000}"/>
    <cellStyle name="Input 2 6 9" xfId="27465" xr:uid="{00000000-0005-0000-0000-0000446B0000}"/>
    <cellStyle name="Input 2 7" xfId="27466" xr:uid="{00000000-0005-0000-0000-0000456B0000}"/>
    <cellStyle name="Input 2 7 2" xfId="27467" xr:uid="{00000000-0005-0000-0000-0000466B0000}"/>
    <cellStyle name="Input 2 7 2 2" xfId="27468" xr:uid="{00000000-0005-0000-0000-0000476B0000}"/>
    <cellStyle name="Input 2 7 2 2 2" xfId="27469" xr:uid="{00000000-0005-0000-0000-0000486B0000}"/>
    <cellStyle name="Input 2 7 2 2 3" xfId="27470" xr:uid="{00000000-0005-0000-0000-0000496B0000}"/>
    <cellStyle name="Input 2 7 2 2 4" xfId="27471" xr:uid="{00000000-0005-0000-0000-00004A6B0000}"/>
    <cellStyle name="Input 2 7 2 2 5" xfId="27472" xr:uid="{00000000-0005-0000-0000-00004B6B0000}"/>
    <cellStyle name="Input 2 7 2 2 6" xfId="27473" xr:uid="{00000000-0005-0000-0000-00004C6B0000}"/>
    <cellStyle name="Input 2 7 2 3" xfId="27474" xr:uid="{00000000-0005-0000-0000-00004D6B0000}"/>
    <cellStyle name="Input 2 7 2 3 2" xfId="27475" xr:uid="{00000000-0005-0000-0000-00004E6B0000}"/>
    <cellStyle name="Input 2 7 2 3 3" xfId="27476" xr:uid="{00000000-0005-0000-0000-00004F6B0000}"/>
    <cellStyle name="Input 2 7 2 3 4" xfId="27477" xr:uid="{00000000-0005-0000-0000-0000506B0000}"/>
    <cellStyle name="Input 2 7 2 3 5" xfId="27478" xr:uid="{00000000-0005-0000-0000-0000516B0000}"/>
    <cellStyle name="Input 2 7 2 4" xfId="27479" xr:uid="{00000000-0005-0000-0000-0000526B0000}"/>
    <cellStyle name="Input 2 7 2 5" xfId="27480" xr:uid="{00000000-0005-0000-0000-0000536B0000}"/>
    <cellStyle name="Input 2 7 2 6" xfId="27481" xr:uid="{00000000-0005-0000-0000-0000546B0000}"/>
    <cellStyle name="Input 2 7 2 7" xfId="27482" xr:uid="{00000000-0005-0000-0000-0000556B0000}"/>
    <cellStyle name="Input 2 7 3" xfId="27483" xr:uid="{00000000-0005-0000-0000-0000566B0000}"/>
    <cellStyle name="Input 2 7 3 2" xfId="27484" xr:uid="{00000000-0005-0000-0000-0000576B0000}"/>
    <cellStyle name="Input 2 7 3 2 2" xfId="27485" xr:uid="{00000000-0005-0000-0000-0000586B0000}"/>
    <cellStyle name="Input 2 7 3 2 3" xfId="27486" xr:uid="{00000000-0005-0000-0000-0000596B0000}"/>
    <cellStyle name="Input 2 7 3 2 4" xfId="27487" xr:uid="{00000000-0005-0000-0000-00005A6B0000}"/>
    <cellStyle name="Input 2 7 3 2 5" xfId="27488" xr:uid="{00000000-0005-0000-0000-00005B6B0000}"/>
    <cellStyle name="Input 2 7 3 2 6" xfId="27489" xr:uid="{00000000-0005-0000-0000-00005C6B0000}"/>
    <cellStyle name="Input 2 7 3 3" xfId="27490" xr:uid="{00000000-0005-0000-0000-00005D6B0000}"/>
    <cellStyle name="Input 2 7 3 4" xfId="27491" xr:uid="{00000000-0005-0000-0000-00005E6B0000}"/>
    <cellStyle name="Input 2 7 3 5" xfId="27492" xr:uid="{00000000-0005-0000-0000-00005F6B0000}"/>
    <cellStyle name="Input 2 7 3 6" xfId="27493" xr:uid="{00000000-0005-0000-0000-0000606B0000}"/>
    <cellStyle name="Input 2 7 4" xfId="27494" xr:uid="{00000000-0005-0000-0000-0000616B0000}"/>
    <cellStyle name="Input 2 7 4 2" xfId="27495" xr:uid="{00000000-0005-0000-0000-0000626B0000}"/>
    <cellStyle name="Input 2 7 4 3" xfId="27496" xr:uid="{00000000-0005-0000-0000-0000636B0000}"/>
    <cellStyle name="Input 2 7 4 4" xfId="27497" xr:uid="{00000000-0005-0000-0000-0000646B0000}"/>
    <cellStyle name="Input 2 7 4 5" xfId="27498" xr:uid="{00000000-0005-0000-0000-0000656B0000}"/>
    <cellStyle name="Input 2 7 4 6" xfId="27499" xr:uid="{00000000-0005-0000-0000-0000666B0000}"/>
    <cellStyle name="Input 2 7 5" xfId="27500" xr:uid="{00000000-0005-0000-0000-0000676B0000}"/>
    <cellStyle name="Input 2 7 5 2" xfId="27501" xr:uid="{00000000-0005-0000-0000-0000686B0000}"/>
    <cellStyle name="Input 2 7 5 3" xfId="27502" xr:uid="{00000000-0005-0000-0000-0000696B0000}"/>
    <cellStyle name="Input 2 7 5 4" xfId="27503" xr:uid="{00000000-0005-0000-0000-00006A6B0000}"/>
    <cellStyle name="Input 2 7 5 5" xfId="27504" xr:uid="{00000000-0005-0000-0000-00006B6B0000}"/>
    <cellStyle name="Input 2 7 6" xfId="27505" xr:uid="{00000000-0005-0000-0000-00006C6B0000}"/>
    <cellStyle name="Input 2 7 7" xfId="27506" xr:uid="{00000000-0005-0000-0000-00006D6B0000}"/>
    <cellStyle name="Input 2 7 8" xfId="27507" xr:uid="{00000000-0005-0000-0000-00006E6B0000}"/>
    <cellStyle name="Input 2 7 9" xfId="27508" xr:uid="{00000000-0005-0000-0000-00006F6B0000}"/>
    <cellStyle name="Input 2 8" xfId="27509" xr:uid="{00000000-0005-0000-0000-0000706B0000}"/>
    <cellStyle name="Input 2 8 2" xfId="27510" xr:uid="{00000000-0005-0000-0000-0000716B0000}"/>
    <cellStyle name="Input 2 8 2 2" xfId="27511" xr:uid="{00000000-0005-0000-0000-0000726B0000}"/>
    <cellStyle name="Input 2 8 2 2 2" xfId="27512" xr:uid="{00000000-0005-0000-0000-0000736B0000}"/>
    <cellStyle name="Input 2 8 2 2 3" xfId="27513" xr:uid="{00000000-0005-0000-0000-0000746B0000}"/>
    <cellStyle name="Input 2 8 2 2 4" xfId="27514" xr:uid="{00000000-0005-0000-0000-0000756B0000}"/>
    <cellStyle name="Input 2 8 2 2 5" xfId="27515" xr:uid="{00000000-0005-0000-0000-0000766B0000}"/>
    <cellStyle name="Input 2 8 2 2 6" xfId="27516" xr:uid="{00000000-0005-0000-0000-0000776B0000}"/>
    <cellStyle name="Input 2 8 2 3" xfId="27517" xr:uid="{00000000-0005-0000-0000-0000786B0000}"/>
    <cellStyle name="Input 2 8 2 3 2" xfId="27518" xr:uid="{00000000-0005-0000-0000-0000796B0000}"/>
    <cellStyle name="Input 2 8 2 3 3" xfId="27519" xr:uid="{00000000-0005-0000-0000-00007A6B0000}"/>
    <cellStyle name="Input 2 8 2 3 4" xfId="27520" xr:uid="{00000000-0005-0000-0000-00007B6B0000}"/>
    <cellStyle name="Input 2 8 2 3 5" xfId="27521" xr:uid="{00000000-0005-0000-0000-00007C6B0000}"/>
    <cellStyle name="Input 2 8 2 4" xfId="27522" xr:uid="{00000000-0005-0000-0000-00007D6B0000}"/>
    <cellStyle name="Input 2 8 2 5" xfId="27523" xr:uid="{00000000-0005-0000-0000-00007E6B0000}"/>
    <cellStyle name="Input 2 8 2 6" xfId="27524" xr:uid="{00000000-0005-0000-0000-00007F6B0000}"/>
    <cellStyle name="Input 2 8 2 7" xfId="27525" xr:uid="{00000000-0005-0000-0000-0000806B0000}"/>
    <cellStyle name="Input 2 8 3" xfId="27526" xr:uid="{00000000-0005-0000-0000-0000816B0000}"/>
    <cellStyle name="Input 2 8 3 2" xfId="27527" xr:uid="{00000000-0005-0000-0000-0000826B0000}"/>
    <cellStyle name="Input 2 8 3 2 2" xfId="27528" xr:uid="{00000000-0005-0000-0000-0000836B0000}"/>
    <cellStyle name="Input 2 8 3 2 3" xfId="27529" xr:uid="{00000000-0005-0000-0000-0000846B0000}"/>
    <cellStyle name="Input 2 8 3 2 4" xfId="27530" xr:uid="{00000000-0005-0000-0000-0000856B0000}"/>
    <cellStyle name="Input 2 8 3 2 5" xfId="27531" xr:uid="{00000000-0005-0000-0000-0000866B0000}"/>
    <cellStyle name="Input 2 8 3 2 6" xfId="27532" xr:uid="{00000000-0005-0000-0000-0000876B0000}"/>
    <cellStyle name="Input 2 8 3 3" xfId="27533" xr:uid="{00000000-0005-0000-0000-0000886B0000}"/>
    <cellStyle name="Input 2 8 3 4" xfId="27534" xr:uid="{00000000-0005-0000-0000-0000896B0000}"/>
    <cellStyle name="Input 2 8 3 5" xfId="27535" xr:uid="{00000000-0005-0000-0000-00008A6B0000}"/>
    <cellStyle name="Input 2 8 3 6" xfId="27536" xr:uid="{00000000-0005-0000-0000-00008B6B0000}"/>
    <cellStyle name="Input 2 8 4" xfId="27537" xr:uid="{00000000-0005-0000-0000-00008C6B0000}"/>
    <cellStyle name="Input 2 8 4 2" xfId="27538" xr:uid="{00000000-0005-0000-0000-00008D6B0000}"/>
    <cellStyle name="Input 2 8 4 3" xfId="27539" xr:uid="{00000000-0005-0000-0000-00008E6B0000}"/>
    <cellStyle name="Input 2 8 4 4" xfId="27540" xr:uid="{00000000-0005-0000-0000-00008F6B0000}"/>
    <cellStyle name="Input 2 8 4 5" xfId="27541" xr:uid="{00000000-0005-0000-0000-0000906B0000}"/>
    <cellStyle name="Input 2 8 4 6" xfId="27542" xr:uid="{00000000-0005-0000-0000-0000916B0000}"/>
    <cellStyle name="Input 2 8 5" xfId="27543" xr:uid="{00000000-0005-0000-0000-0000926B0000}"/>
    <cellStyle name="Input 2 8 5 2" xfId="27544" xr:uid="{00000000-0005-0000-0000-0000936B0000}"/>
    <cellStyle name="Input 2 8 5 3" xfId="27545" xr:uid="{00000000-0005-0000-0000-0000946B0000}"/>
    <cellStyle name="Input 2 8 5 4" xfId="27546" xr:uid="{00000000-0005-0000-0000-0000956B0000}"/>
    <cellStyle name="Input 2 8 5 5" xfId="27547" xr:uid="{00000000-0005-0000-0000-0000966B0000}"/>
    <cellStyle name="Input 2 8 6" xfId="27548" xr:uid="{00000000-0005-0000-0000-0000976B0000}"/>
    <cellStyle name="Input 2 8 7" xfId="27549" xr:uid="{00000000-0005-0000-0000-0000986B0000}"/>
    <cellStyle name="Input 2 8 8" xfId="27550" xr:uid="{00000000-0005-0000-0000-0000996B0000}"/>
    <cellStyle name="Input 2 8 9" xfId="27551" xr:uid="{00000000-0005-0000-0000-00009A6B0000}"/>
    <cellStyle name="Input 2 9" xfId="27552" xr:uid="{00000000-0005-0000-0000-00009B6B0000}"/>
    <cellStyle name="Input 2 9 2" xfId="27553" xr:uid="{00000000-0005-0000-0000-00009C6B0000}"/>
    <cellStyle name="Input 2 9 2 2" xfId="27554" xr:uid="{00000000-0005-0000-0000-00009D6B0000}"/>
    <cellStyle name="Input 2 9 2 2 2" xfId="27555" xr:uid="{00000000-0005-0000-0000-00009E6B0000}"/>
    <cellStyle name="Input 2 9 2 2 3" xfId="27556" xr:uid="{00000000-0005-0000-0000-00009F6B0000}"/>
    <cellStyle name="Input 2 9 2 2 4" xfId="27557" xr:uid="{00000000-0005-0000-0000-0000A06B0000}"/>
    <cellStyle name="Input 2 9 2 2 5" xfId="27558" xr:uid="{00000000-0005-0000-0000-0000A16B0000}"/>
    <cellStyle name="Input 2 9 2 3" xfId="27559" xr:uid="{00000000-0005-0000-0000-0000A26B0000}"/>
    <cellStyle name="Input 2 9 2 4" xfId="27560" xr:uid="{00000000-0005-0000-0000-0000A36B0000}"/>
    <cellStyle name="Input 2 9 2 5" xfId="27561" xr:uid="{00000000-0005-0000-0000-0000A46B0000}"/>
    <cellStyle name="Input 2 9 2 6" xfId="27562" xr:uid="{00000000-0005-0000-0000-0000A56B0000}"/>
    <cellStyle name="Input 2 9 2 7" xfId="27563" xr:uid="{00000000-0005-0000-0000-0000A66B0000}"/>
    <cellStyle name="Input 2 9 3" xfId="27564" xr:uid="{00000000-0005-0000-0000-0000A76B0000}"/>
    <cellStyle name="Input 2 9 3 2" xfId="27565" xr:uid="{00000000-0005-0000-0000-0000A86B0000}"/>
    <cellStyle name="Input 2 9 3 3" xfId="27566" xr:uid="{00000000-0005-0000-0000-0000A96B0000}"/>
    <cellStyle name="Input 2 9 3 4" xfId="27567" xr:uid="{00000000-0005-0000-0000-0000AA6B0000}"/>
    <cellStyle name="Input 2 9 3 5" xfId="27568" xr:uid="{00000000-0005-0000-0000-0000AB6B0000}"/>
    <cellStyle name="Input 2 9 4" xfId="27569" xr:uid="{00000000-0005-0000-0000-0000AC6B0000}"/>
    <cellStyle name="Input 2 9 5" xfId="27570" xr:uid="{00000000-0005-0000-0000-0000AD6B0000}"/>
    <cellStyle name="Input 2 9 6" xfId="27571" xr:uid="{00000000-0005-0000-0000-0000AE6B0000}"/>
    <cellStyle name="Input 2 9 7" xfId="27572" xr:uid="{00000000-0005-0000-0000-0000AF6B0000}"/>
    <cellStyle name="Input 3" xfId="27573" xr:uid="{00000000-0005-0000-0000-0000B06B0000}"/>
    <cellStyle name="Input 3 10" xfId="27574" xr:uid="{00000000-0005-0000-0000-0000B16B0000}"/>
    <cellStyle name="Input 3 10 2" xfId="27575" xr:uid="{00000000-0005-0000-0000-0000B26B0000}"/>
    <cellStyle name="Input 3 10 2 2" xfId="27576" xr:uid="{00000000-0005-0000-0000-0000B36B0000}"/>
    <cellStyle name="Input 3 10 2 3" xfId="27577" xr:uid="{00000000-0005-0000-0000-0000B46B0000}"/>
    <cellStyle name="Input 3 10 2 4" xfId="27578" xr:uid="{00000000-0005-0000-0000-0000B56B0000}"/>
    <cellStyle name="Input 3 10 2 5" xfId="27579" xr:uid="{00000000-0005-0000-0000-0000B66B0000}"/>
    <cellStyle name="Input 3 10 2 6" xfId="27580" xr:uid="{00000000-0005-0000-0000-0000B76B0000}"/>
    <cellStyle name="Input 3 10 3" xfId="27581" xr:uid="{00000000-0005-0000-0000-0000B86B0000}"/>
    <cellStyle name="Input 3 10 4" xfId="27582" xr:uid="{00000000-0005-0000-0000-0000B96B0000}"/>
    <cellStyle name="Input 3 10 5" xfId="27583" xr:uid="{00000000-0005-0000-0000-0000BA6B0000}"/>
    <cellStyle name="Input 3 10 6" xfId="27584" xr:uid="{00000000-0005-0000-0000-0000BB6B0000}"/>
    <cellStyle name="Input 3 11" xfId="27585" xr:uid="{00000000-0005-0000-0000-0000BC6B0000}"/>
    <cellStyle name="Input 3 11 2" xfId="27586" xr:uid="{00000000-0005-0000-0000-0000BD6B0000}"/>
    <cellStyle name="Input 3 11 3" xfId="27587" xr:uid="{00000000-0005-0000-0000-0000BE6B0000}"/>
    <cellStyle name="Input 3 11 4" xfId="27588" xr:uid="{00000000-0005-0000-0000-0000BF6B0000}"/>
    <cellStyle name="Input 3 11 5" xfId="27589" xr:uid="{00000000-0005-0000-0000-0000C06B0000}"/>
    <cellStyle name="Input 3 11 6" xfId="27590" xr:uid="{00000000-0005-0000-0000-0000C16B0000}"/>
    <cellStyle name="Input 3 12" xfId="27591" xr:uid="{00000000-0005-0000-0000-0000C26B0000}"/>
    <cellStyle name="Input 3 13" xfId="27592" xr:uid="{00000000-0005-0000-0000-0000C36B0000}"/>
    <cellStyle name="Input 3 14" xfId="27593" xr:uid="{00000000-0005-0000-0000-0000C46B0000}"/>
    <cellStyle name="Input 3 15" xfId="27594" xr:uid="{00000000-0005-0000-0000-0000C56B0000}"/>
    <cellStyle name="Input 3 2" xfId="27595" xr:uid="{00000000-0005-0000-0000-0000C66B0000}"/>
    <cellStyle name="Input 3 3" xfId="27596" xr:uid="{00000000-0005-0000-0000-0000C76B0000}"/>
    <cellStyle name="Input 3 3 10" xfId="27597" xr:uid="{00000000-0005-0000-0000-0000C86B0000}"/>
    <cellStyle name="Input 3 3 11" xfId="27598" xr:uid="{00000000-0005-0000-0000-0000C96B0000}"/>
    <cellStyle name="Input 3 3 12" xfId="27599" xr:uid="{00000000-0005-0000-0000-0000CA6B0000}"/>
    <cellStyle name="Input 3 3 13" xfId="27600" xr:uid="{00000000-0005-0000-0000-0000CB6B0000}"/>
    <cellStyle name="Input 3 3 2" xfId="27601" xr:uid="{00000000-0005-0000-0000-0000CC6B0000}"/>
    <cellStyle name="Input 3 3 2 10" xfId="27602" xr:uid="{00000000-0005-0000-0000-0000CD6B0000}"/>
    <cellStyle name="Input 3 3 2 10 2" xfId="27603" xr:uid="{00000000-0005-0000-0000-0000CE6B0000}"/>
    <cellStyle name="Input 3 3 2 10 3" xfId="27604" xr:uid="{00000000-0005-0000-0000-0000CF6B0000}"/>
    <cellStyle name="Input 3 3 2 10 4" xfId="27605" xr:uid="{00000000-0005-0000-0000-0000D06B0000}"/>
    <cellStyle name="Input 3 3 2 10 5" xfId="27606" xr:uid="{00000000-0005-0000-0000-0000D16B0000}"/>
    <cellStyle name="Input 3 3 2 10 6" xfId="27607" xr:uid="{00000000-0005-0000-0000-0000D26B0000}"/>
    <cellStyle name="Input 3 3 2 11" xfId="27608" xr:uid="{00000000-0005-0000-0000-0000D36B0000}"/>
    <cellStyle name="Input 3 3 2 12" xfId="27609" xr:uid="{00000000-0005-0000-0000-0000D46B0000}"/>
    <cellStyle name="Input 3 3 2 13" xfId="27610" xr:uid="{00000000-0005-0000-0000-0000D56B0000}"/>
    <cellStyle name="Input 3 3 2 14" xfId="27611" xr:uid="{00000000-0005-0000-0000-0000D66B0000}"/>
    <cellStyle name="Input 3 3 2 2" xfId="27612" xr:uid="{00000000-0005-0000-0000-0000D76B0000}"/>
    <cellStyle name="Input 3 3 2 2 10" xfId="27613" xr:uid="{00000000-0005-0000-0000-0000D86B0000}"/>
    <cellStyle name="Input 3 3 2 2 11" xfId="27614" xr:uid="{00000000-0005-0000-0000-0000D96B0000}"/>
    <cellStyle name="Input 3 3 2 2 12" xfId="27615" xr:uid="{00000000-0005-0000-0000-0000DA6B0000}"/>
    <cellStyle name="Input 3 3 2 2 13" xfId="27616" xr:uid="{00000000-0005-0000-0000-0000DB6B0000}"/>
    <cellStyle name="Input 3 3 2 2 2" xfId="27617" xr:uid="{00000000-0005-0000-0000-0000DC6B0000}"/>
    <cellStyle name="Input 3 3 2 2 2 2" xfId="27618" xr:uid="{00000000-0005-0000-0000-0000DD6B0000}"/>
    <cellStyle name="Input 3 3 2 2 2 2 2" xfId="27619" xr:uid="{00000000-0005-0000-0000-0000DE6B0000}"/>
    <cellStyle name="Input 3 3 2 2 2 2 2 2" xfId="27620" xr:uid="{00000000-0005-0000-0000-0000DF6B0000}"/>
    <cellStyle name="Input 3 3 2 2 2 2 2 3" xfId="27621" xr:uid="{00000000-0005-0000-0000-0000E06B0000}"/>
    <cellStyle name="Input 3 3 2 2 2 2 2 4" xfId="27622" xr:uid="{00000000-0005-0000-0000-0000E16B0000}"/>
    <cellStyle name="Input 3 3 2 2 2 2 2 5" xfId="27623" xr:uid="{00000000-0005-0000-0000-0000E26B0000}"/>
    <cellStyle name="Input 3 3 2 2 2 2 2 6" xfId="27624" xr:uid="{00000000-0005-0000-0000-0000E36B0000}"/>
    <cellStyle name="Input 3 3 2 2 2 2 3" xfId="27625" xr:uid="{00000000-0005-0000-0000-0000E46B0000}"/>
    <cellStyle name="Input 3 3 2 2 2 2 4" xfId="27626" xr:uid="{00000000-0005-0000-0000-0000E56B0000}"/>
    <cellStyle name="Input 3 3 2 2 2 2 5" xfId="27627" xr:uid="{00000000-0005-0000-0000-0000E66B0000}"/>
    <cellStyle name="Input 3 3 2 2 2 2 6" xfId="27628" xr:uid="{00000000-0005-0000-0000-0000E76B0000}"/>
    <cellStyle name="Input 3 3 2 2 2 3" xfId="27629" xr:uid="{00000000-0005-0000-0000-0000E86B0000}"/>
    <cellStyle name="Input 3 3 2 2 2 3 2" xfId="27630" xr:uid="{00000000-0005-0000-0000-0000E96B0000}"/>
    <cellStyle name="Input 3 3 2 2 2 3 2 2" xfId="27631" xr:uid="{00000000-0005-0000-0000-0000EA6B0000}"/>
    <cellStyle name="Input 3 3 2 2 2 3 2 3" xfId="27632" xr:uid="{00000000-0005-0000-0000-0000EB6B0000}"/>
    <cellStyle name="Input 3 3 2 2 2 3 2 4" xfId="27633" xr:uid="{00000000-0005-0000-0000-0000EC6B0000}"/>
    <cellStyle name="Input 3 3 2 2 2 3 2 5" xfId="27634" xr:uid="{00000000-0005-0000-0000-0000ED6B0000}"/>
    <cellStyle name="Input 3 3 2 2 2 3 2 6" xfId="27635" xr:uid="{00000000-0005-0000-0000-0000EE6B0000}"/>
    <cellStyle name="Input 3 3 2 2 2 3 3" xfId="27636" xr:uid="{00000000-0005-0000-0000-0000EF6B0000}"/>
    <cellStyle name="Input 3 3 2 2 2 3 4" xfId="27637" xr:uid="{00000000-0005-0000-0000-0000F06B0000}"/>
    <cellStyle name="Input 3 3 2 2 2 3 5" xfId="27638" xr:uid="{00000000-0005-0000-0000-0000F16B0000}"/>
    <cellStyle name="Input 3 3 2 2 2 3 6" xfId="27639" xr:uid="{00000000-0005-0000-0000-0000F26B0000}"/>
    <cellStyle name="Input 3 3 2 2 2 4" xfId="27640" xr:uid="{00000000-0005-0000-0000-0000F36B0000}"/>
    <cellStyle name="Input 3 3 2 2 2 4 2" xfId="27641" xr:uid="{00000000-0005-0000-0000-0000F46B0000}"/>
    <cellStyle name="Input 3 3 2 2 2 4 3" xfId="27642" xr:uid="{00000000-0005-0000-0000-0000F56B0000}"/>
    <cellStyle name="Input 3 3 2 2 2 4 4" xfId="27643" xr:uid="{00000000-0005-0000-0000-0000F66B0000}"/>
    <cellStyle name="Input 3 3 2 2 2 4 5" xfId="27644" xr:uid="{00000000-0005-0000-0000-0000F76B0000}"/>
    <cellStyle name="Input 3 3 2 2 2 4 6" xfId="27645" xr:uid="{00000000-0005-0000-0000-0000F86B0000}"/>
    <cellStyle name="Input 3 3 2 2 2 5" xfId="27646" xr:uid="{00000000-0005-0000-0000-0000F96B0000}"/>
    <cellStyle name="Input 3 3 2 2 2 6" xfId="27647" xr:uid="{00000000-0005-0000-0000-0000FA6B0000}"/>
    <cellStyle name="Input 3 3 2 2 2 7" xfId="27648" xr:uid="{00000000-0005-0000-0000-0000FB6B0000}"/>
    <cellStyle name="Input 3 3 2 2 2 8" xfId="27649" xr:uid="{00000000-0005-0000-0000-0000FC6B0000}"/>
    <cellStyle name="Input 3 3 2 2 3" xfId="27650" xr:uid="{00000000-0005-0000-0000-0000FD6B0000}"/>
    <cellStyle name="Input 3 3 2 2 3 2" xfId="27651" xr:uid="{00000000-0005-0000-0000-0000FE6B0000}"/>
    <cellStyle name="Input 3 3 2 2 3 2 2" xfId="27652" xr:uid="{00000000-0005-0000-0000-0000FF6B0000}"/>
    <cellStyle name="Input 3 3 2 2 3 2 2 2" xfId="27653" xr:uid="{00000000-0005-0000-0000-0000006C0000}"/>
    <cellStyle name="Input 3 3 2 2 3 2 2 3" xfId="27654" xr:uid="{00000000-0005-0000-0000-0000016C0000}"/>
    <cellStyle name="Input 3 3 2 2 3 2 2 4" xfId="27655" xr:uid="{00000000-0005-0000-0000-0000026C0000}"/>
    <cellStyle name="Input 3 3 2 2 3 2 2 5" xfId="27656" xr:uid="{00000000-0005-0000-0000-0000036C0000}"/>
    <cellStyle name="Input 3 3 2 2 3 2 2 6" xfId="27657" xr:uid="{00000000-0005-0000-0000-0000046C0000}"/>
    <cellStyle name="Input 3 3 2 2 3 2 3" xfId="27658" xr:uid="{00000000-0005-0000-0000-0000056C0000}"/>
    <cellStyle name="Input 3 3 2 2 3 2 4" xfId="27659" xr:uid="{00000000-0005-0000-0000-0000066C0000}"/>
    <cellStyle name="Input 3 3 2 2 3 2 5" xfId="27660" xr:uid="{00000000-0005-0000-0000-0000076C0000}"/>
    <cellStyle name="Input 3 3 2 2 3 2 6" xfId="27661" xr:uid="{00000000-0005-0000-0000-0000086C0000}"/>
    <cellStyle name="Input 3 3 2 2 3 3" xfId="27662" xr:uid="{00000000-0005-0000-0000-0000096C0000}"/>
    <cellStyle name="Input 3 3 2 2 3 3 2" xfId="27663" xr:uid="{00000000-0005-0000-0000-00000A6C0000}"/>
    <cellStyle name="Input 3 3 2 2 3 3 2 2" xfId="27664" xr:uid="{00000000-0005-0000-0000-00000B6C0000}"/>
    <cellStyle name="Input 3 3 2 2 3 3 2 3" xfId="27665" xr:uid="{00000000-0005-0000-0000-00000C6C0000}"/>
    <cellStyle name="Input 3 3 2 2 3 3 2 4" xfId="27666" xr:uid="{00000000-0005-0000-0000-00000D6C0000}"/>
    <cellStyle name="Input 3 3 2 2 3 3 2 5" xfId="27667" xr:uid="{00000000-0005-0000-0000-00000E6C0000}"/>
    <cellStyle name="Input 3 3 2 2 3 3 2 6" xfId="27668" xr:uid="{00000000-0005-0000-0000-00000F6C0000}"/>
    <cellStyle name="Input 3 3 2 2 3 3 3" xfId="27669" xr:uid="{00000000-0005-0000-0000-0000106C0000}"/>
    <cellStyle name="Input 3 3 2 2 3 3 4" xfId="27670" xr:uid="{00000000-0005-0000-0000-0000116C0000}"/>
    <cellStyle name="Input 3 3 2 2 3 3 5" xfId="27671" xr:uid="{00000000-0005-0000-0000-0000126C0000}"/>
    <cellStyle name="Input 3 3 2 2 3 3 6" xfId="27672" xr:uid="{00000000-0005-0000-0000-0000136C0000}"/>
    <cellStyle name="Input 3 3 2 2 3 4" xfId="27673" xr:uid="{00000000-0005-0000-0000-0000146C0000}"/>
    <cellStyle name="Input 3 3 2 2 3 4 2" xfId="27674" xr:uid="{00000000-0005-0000-0000-0000156C0000}"/>
    <cellStyle name="Input 3 3 2 2 3 4 3" xfId="27675" xr:uid="{00000000-0005-0000-0000-0000166C0000}"/>
    <cellStyle name="Input 3 3 2 2 3 4 4" xfId="27676" xr:uid="{00000000-0005-0000-0000-0000176C0000}"/>
    <cellStyle name="Input 3 3 2 2 3 4 5" xfId="27677" xr:uid="{00000000-0005-0000-0000-0000186C0000}"/>
    <cellStyle name="Input 3 3 2 2 3 4 6" xfId="27678" xr:uid="{00000000-0005-0000-0000-0000196C0000}"/>
    <cellStyle name="Input 3 3 2 2 3 5" xfId="27679" xr:uid="{00000000-0005-0000-0000-00001A6C0000}"/>
    <cellStyle name="Input 3 3 2 2 3 6" xfId="27680" xr:uid="{00000000-0005-0000-0000-00001B6C0000}"/>
    <cellStyle name="Input 3 3 2 2 3 7" xfId="27681" xr:uid="{00000000-0005-0000-0000-00001C6C0000}"/>
    <cellStyle name="Input 3 3 2 2 3 8" xfId="27682" xr:uid="{00000000-0005-0000-0000-00001D6C0000}"/>
    <cellStyle name="Input 3 3 2 2 4" xfId="27683" xr:uid="{00000000-0005-0000-0000-00001E6C0000}"/>
    <cellStyle name="Input 3 3 2 2 4 2" xfId="27684" xr:uid="{00000000-0005-0000-0000-00001F6C0000}"/>
    <cellStyle name="Input 3 3 2 2 4 2 2" xfId="27685" xr:uid="{00000000-0005-0000-0000-0000206C0000}"/>
    <cellStyle name="Input 3 3 2 2 4 2 2 2" xfId="27686" xr:uid="{00000000-0005-0000-0000-0000216C0000}"/>
    <cellStyle name="Input 3 3 2 2 4 2 2 3" xfId="27687" xr:uid="{00000000-0005-0000-0000-0000226C0000}"/>
    <cellStyle name="Input 3 3 2 2 4 2 2 4" xfId="27688" xr:uid="{00000000-0005-0000-0000-0000236C0000}"/>
    <cellStyle name="Input 3 3 2 2 4 2 2 5" xfId="27689" xr:uid="{00000000-0005-0000-0000-0000246C0000}"/>
    <cellStyle name="Input 3 3 2 2 4 2 2 6" xfId="27690" xr:uid="{00000000-0005-0000-0000-0000256C0000}"/>
    <cellStyle name="Input 3 3 2 2 4 2 3" xfId="27691" xr:uid="{00000000-0005-0000-0000-0000266C0000}"/>
    <cellStyle name="Input 3 3 2 2 4 2 4" xfId="27692" xr:uid="{00000000-0005-0000-0000-0000276C0000}"/>
    <cellStyle name="Input 3 3 2 2 4 2 5" xfId="27693" xr:uid="{00000000-0005-0000-0000-0000286C0000}"/>
    <cellStyle name="Input 3 3 2 2 4 2 6" xfId="27694" xr:uid="{00000000-0005-0000-0000-0000296C0000}"/>
    <cellStyle name="Input 3 3 2 2 4 3" xfId="27695" xr:uid="{00000000-0005-0000-0000-00002A6C0000}"/>
    <cellStyle name="Input 3 3 2 2 4 3 2" xfId="27696" xr:uid="{00000000-0005-0000-0000-00002B6C0000}"/>
    <cellStyle name="Input 3 3 2 2 4 3 2 2" xfId="27697" xr:uid="{00000000-0005-0000-0000-00002C6C0000}"/>
    <cellStyle name="Input 3 3 2 2 4 3 2 3" xfId="27698" xr:uid="{00000000-0005-0000-0000-00002D6C0000}"/>
    <cellStyle name="Input 3 3 2 2 4 3 2 4" xfId="27699" xr:uid="{00000000-0005-0000-0000-00002E6C0000}"/>
    <cellStyle name="Input 3 3 2 2 4 3 2 5" xfId="27700" xr:uid="{00000000-0005-0000-0000-00002F6C0000}"/>
    <cellStyle name="Input 3 3 2 2 4 3 2 6" xfId="27701" xr:uid="{00000000-0005-0000-0000-0000306C0000}"/>
    <cellStyle name="Input 3 3 2 2 4 3 3" xfId="27702" xr:uid="{00000000-0005-0000-0000-0000316C0000}"/>
    <cellStyle name="Input 3 3 2 2 4 3 4" xfId="27703" xr:uid="{00000000-0005-0000-0000-0000326C0000}"/>
    <cellStyle name="Input 3 3 2 2 4 3 5" xfId="27704" xr:uid="{00000000-0005-0000-0000-0000336C0000}"/>
    <cellStyle name="Input 3 3 2 2 4 3 6" xfId="27705" xr:uid="{00000000-0005-0000-0000-0000346C0000}"/>
    <cellStyle name="Input 3 3 2 2 4 4" xfId="27706" xr:uid="{00000000-0005-0000-0000-0000356C0000}"/>
    <cellStyle name="Input 3 3 2 2 4 4 2" xfId="27707" xr:uid="{00000000-0005-0000-0000-0000366C0000}"/>
    <cellStyle name="Input 3 3 2 2 4 4 3" xfId="27708" xr:uid="{00000000-0005-0000-0000-0000376C0000}"/>
    <cellStyle name="Input 3 3 2 2 4 4 4" xfId="27709" xr:uid="{00000000-0005-0000-0000-0000386C0000}"/>
    <cellStyle name="Input 3 3 2 2 4 4 5" xfId="27710" xr:uid="{00000000-0005-0000-0000-0000396C0000}"/>
    <cellStyle name="Input 3 3 2 2 4 4 6" xfId="27711" xr:uid="{00000000-0005-0000-0000-00003A6C0000}"/>
    <cellStyle name="Input 3 3 2 2 4 5" xfId="27712" xr:uid="{00000000-0005-0000-0000-00003B6C0000}"/>
    <cellStyle name="Input 3 3 2 2 4 6" xfId="27713" xr:uid="{00000000-0005-0000-0000-00003C6C0000}"/>
    <cellStyle name="Input 3 3 2 2 4 7" xfId="27714" xr:uid="{00000000-0005-0000-0000-00003D6C0000}"/>
    <cellStyle name="Input 3 3 2 2 4 8" xfId="27715" xr:uid="{00000000-0005-0000-0000-00003E6C0000}"/>
    <cellStyle name="Input 3 3 2 2 5" xfId="27716" xr:uid="{00000000-0005-0000-0000-00003F6C0000}"/>
    <cellStyle name="Input 3 3 2 2 5 2" xfId="27717" xr:uid="{00000000-0005-0000-0000-0000406C0000}"/>
    <cellStyle name="Input 3 3 2 2 5 2 2" xfId="27718" xr:uid="{00000000-0005-0000-0000-0000416C0000}"/>
    <cellStyle name="Input 3 3 2 2 5 2 2 2" xfId="27719" xr:uid="{00000000-0005-0000-0000-0000426C0000}"/>
    <cellStyle name="Input 3 3 2 2 5 2 2 3" xfId="27720" xr:uid="{00000000-0005-0000-0000-0000436C0000}"/>
    <cellStyle name="Input 3 3 2 2 5 2 2 4" xfId="27721" xr:uid="{00000000-0005-0000-0000-0000446C0000}"/>
    <cellStyle name="Input 3 3 2 2 5 2 2 5" xfId="27722" xr:uid="{00000000-0005-0000-0000-0000456C0000}"/>
    <cellStyle name="Input 3 3 2 2 5 2 2 6" xfId="27723" xr:uid="{00000000-0005-0000-0000-0000466C0000}"/>
    <cellStyle name="Input 3 3 2 2 5 2 3" xfId="27724" xr:uid="{00000000-0005-0000-0000-0000476C0000}"/>
    <cellStyle name="Input 3 3 2 2 5 2 4" xfId="27725" xr:uid="{00000000-0005-0000-0000-0000486C0000}"/>
    <cellStyle name="Input 3 3 2 2 5 2 5" xfId="27726" xr:uid="{00000000-0005-0000-0000-0000496C0000}"/>
    <cellStyle name="Input 3 3 2 2 5 2 6" xfId="27727" xr:uid="{00000000-0005-0000-0000-00004A6C0000}"/>
    <cellStyle name="Input 3 3 2 2 5 3" xfId="27728" xr:uid="{00000000-0005-0000-0000-00004B6C0000}"/>
    <cellStyle name="Input 3 3 2 2 5 3 2" xfId="27729" xr:uid="{00000000-0005-0000-0000-00004C6C0000}"/>
    <cellStyle name="Input 3 3 2 2 5 3 2 2" xfId="27730" xr:uid="{00000000-0005-0000-0000-00004D6C0000}"/>
    <cellStyle name="Input 3 3 2 2 5 3 2 3" xfId="27731" xr:uid="{00000000-0005-0000-0000-00004E6C0000}"/>
    <cellStyle name="Input 3 3 2 2 5 3 2 4" xfId="27732" xr:uid="{00000000-0005-0000-0000-00004F6C0000}"/>
    <cellStyle name="Input 3 3 2 2 5 3 2 5" xfId="27733" xr:uid="{00000000-0005-0000-0000-0000506C0000}"/>
    <cellStyle name="Input 3 3 2 2 5 3 2 6" xfId="27734" xr:uid="{00000000-0005-0000-0000-0000516C0000}"/>
    <cellStyle name="Input 3 3 2 2 5 3 3" xfId="27735" xr:uid="{00000000-0005-0000-0000-0000526C0000}"/>
    <cellStyle name="Input 3 3 2 2 5 3 4" xfId="27736" xr:uid="{00000000-0005-0000-0000-0000536C0000}"/>
    <cellStyle name="Input 3 3 2 2 5 3 5" xfId="27737" xr:uid="{00000000-0005-0000-0000-0000546C0000}"/>
    <cellStyle name="Input 3 3 2 2 5 3 6" xfId="27738" xr:uid="{00000000-0005-0000-0000-0000556C0000}"/>
    <cellStyle name="Input 3 3 2 2 5 4" xfId="27739" xr:uid="{00000000-0005-0000-0000-0000566C0000}"/>
    <cellStyle name="Input 3 3 2 2 5 4 2" xfId="27740" xr:uid="{00000000-0005-0000-0000-0000576C0000}"/>
    <cellStyle name="Input 3 3 2 2 5 4 3" xfId="27741" xr:uid="{00000000-0005-0000-0000-0000586C0000}"/>
    <cellStyle name="Input 3 3 2 2 5 4 4" xfId="27742" xr:uid="{00000000-0005-0000-0000-0000596C0000}"/>
    <cellStyle name="Input 3 3 2 2 5 4 5" xfId="27743" xr:uid="{00000000-0005-0000-0000-00005A6C0000}"/>
    <cellStyle name="Input 3 3 2 2 5 4 6" xfId="27744" xr:uid="{00000000-0005-0000-0000-00005B6C0000}"/>
    <cellStyle name="Input 3 3 2 2 5 5" xfId="27745" xr:uid="{00000000-0005-0000-0000-00005C6C0000}"/>
    <cellStyle name="Input 3 3 2 2 5 6" xfId="27746" xr:uid="{00000000-0005-0000-0000-00005D6C0000}"/>
    <cellStyle name="Input 3 3 2 2 5 7" xfId="27747" xr:uid="{00000000-0005-0000-0000-00005E6C0000}"/>
    <cellStyle name="Input 3 3 2 2 5 8" xfId="27748" xr:uid="{00000000-0005-0000-0000-00005F6C0000}"/>
    <cellStyle name="Input 3 3 2 2 6" xfId="27749" xr:uid="{00000000-0005-0000-0000-0000606C0000}"/>
    <cellStyle name="Input 3 3 2 2 6 2" xfId="27750" xr:uid="{00000000-0005-0000-0000-0000616C0000}"/>
    <cellStyle name="Input 3 3 2 2 6 2 2" xfId="27751" xr:uid="{00000000-0005-0000-0000-0000626C0000}"/>
    <cellStyle name="Input 3 3 2 2 6 2 2 2" xfId="27752" xr:uid="{00000000-0005-0000-0000-0000636C0000}"/>
    <cellStyle name="Input 3 3 2 2 6 2 2 3" xfId="27753" xr:uid="{00000000-0005-0000-0000-0000646C0000}"/>
    <cellStyle name="Input 3 3 2 2 6 2 2 4" xfId="27754" xr:uid="{00000000-0005-0000-0000-0000656C0000}"/>
    <cellStyle name="Input 3 3 2 2 6 2 2 5" xfId="27755" xr:uid="{00000000-0005-0000-0000-0000666C0000}"/>
    <cellStyle name="Input 3 3 2 2 6 2 2 6" xfId="27756" xr:uid="{00000000-0005-0000-0000-0000676C0000}"/>
    <cellStyle name="Input 3 3 2 2 6 2 3" xfId="27757" xr:uid="{00000000-0005-0000-0000-0000686C0000}"/>
    <cellStyle name="Input 3 3 2 2 6 2 4" xfId="27758" xr:uid="{00000000-0005-0000-0000-0000696C0000}"/>
    <cellStyle name="Input 3 3 2 2 6 2 5" xfId="27759" xr:uid="{00000000-0005-0000-0000-00006A6C0000}"/>
    <cellStyle name="Input 3 3 2 2 6 2 6" xfId="27760" xr:uid="{00000000-0005-0000-0000-00006B6C0000}"/>
    <cellStyle name="Input 3 3 2 2 6 3" xfId="27761" xr:uid="{00000000-0005-0000-0000-00006C6C0000}"/>
    <cellStyle name="Input 3 3 2 2 6 3 2" xfId="27762" xr:uid="{00000000-0005-0000-0000-00006D6C0000}"/>
    <cellStyle name="Input 3 3 2 2 6 3 2 2" xfId="27763" xr:uid="{00000000-0005-0000-0000-00006E6C0000}"/>
    <cellStyle name="Input 3 3 2 2 6 3 2 3" xfId="27764" xr:uid="{00000000-0005-0000-0000-00006F6C0000}"/>
    <cellStyle name="Input 3 3 2 2 6 3 2 4" xfId="27765" xr:uid="{00000000-0005-0000-0000-0000706C0000}"/>
    <cellStyle name="Input 3 3 2 2 6 3 2 5" xfId="27766" xr:uid="{00000000-0005-0000-0000-0000716C0000}"/>
    <cellStyle name="Input 3 3 2 2 6 3 2 6" xfId="27767" xr:uid="{00000000-0005-0000-0000-0000726C0000}"/>
    <cellStyle name="Input 3 3 2 2 6 3 3" xfId="27768" xr:uid="{00000000-0005-0000-0000-0000736C0000}"/>
    <cellStyle name="Input 3 3 2 2 6 3 4" xfId="27769" xr:uid="{00000000-0005-0000-0000-0000746C0000}"/>
    <cellStyle name="Input 3 3 2 2 6 3 5" xfId="27770" xr:uid="{00000000-0005-0000-0000-0000756C0000}"/>
    <cellStyle name="Input 3 3 2 2 6 3 6" xfId="27771" xr:uid="{00000000-0005-0000-0000-0000766C0000}"/>
    <cellStyle name="Input 3 3 2 2 6 4" xfId="27772" xr:uid="{00000000-0005-0000-0000-0000776C0000}"/>
    <cellStyle name="Input 3 3 2 2 6 4 2" xfId="27773" xr:uid="{00000000-0005-0000-0000-0000786C0000}"/>
    <cellStyle name="Input 3 3 2 2 6 4 3" xfId="27774" xr:uid="{00000000-0005-0000-0000-0000796C0000}"/>
    <cellStyle name="Input 3 3 2 2 6 4 4" xfId="27775" xr:uid="{00000000-0005-0000-0000-00007A6C0000}"/>
    <cellStyle name="Input 3 3 2 2 6 4 5" xfId="27776" xr:uid="{00000000-0005-0000-0000-00007B6C0000}"/>
    <cellStyle name="Input 3 3 2 2 6 4 6" xfId="27777" xr:uid="{00000000-0005-0000-0000-00007C6C0000}"/>
    <cellStyle name="Input 3 3 2 2 6 5" xfId="27778" xr:uid="{00000000-0005-0000-0000-00007D6C0000}"/>
    <cellStyle name="Input 3 3 2 2 6 6" xfId="27779" xr:uid="{00000000-0005-0000-0000-00007E6C0000}"/>
    <cellStyle name="Input 3 3 2 2 6 7" xfId="27780" xr:uid="{00000000-0005-0000-0000-00007F6C0000}"/>
    <cellStyle name="Input 3 3 2 2 6 8" xfId="27781" xr:uid="{00000000-0005-0000-0000-0000806C0000}"/>
    <cellStyle name="Input 3 3 2 2 7" xfId="27782" xr:uid="{00000000-0005-0000-0000-0000816C0000}"/>
    <cellStyle name="Input 3 3 2 2 7 2" xfId="27783" xr:uid="{00000000-0005-0000-0000-0000826C0000}"/>
    <cellStyle name="Input 3 3 2 2 7 2 2" xfId="27784" xr:uid="{00000000-0005-0000-0000-0000836C0000}"/>
    <cellStyle name="Input 3 3 2 2 7 2 3" xfId="27785" xr:uid="{00000000-0005-0000-0000-0000846C0000}"/>
    <cellStyle name="Input 3 3 2 2 7 2 4" xfId="27786" xr:uid="{00000000-0005-0000-0000-0000856C0000}"/>
    <cellStyle name="Input 3 3 2 2 7 2 5" xfId="27787" xr:uid="{00000000-0005-0000-0000-0000866C0000}"/>
    <cellStyle name="Input 3 3 2 2 7 2 6" xfId="27788" xr:uid="{00000000-0005-0000-0000-0000876C0000}"/>
    <cellStyle name="Input 3 3 2 2 7 3" xfId="27789" xr:uid="{00000000-0005-0000-0000-0000886C0000}"/>
    <cellStyle name="Input 3 3 2 2 7 4" xfId="27790" xr:uid="{00000000-0005-0000-0000-0000896C0000}"/>
    <cellStyle name="Input 3 3 2 2 7 5" xfId="27791" xr:uid="{00000000-0005-0000-0000-00008A6C0000}"/>
    <cellStyle name="Input 3 3 2 2 7 6" xfId="27792" xr:uid="{00000000-0005-0000-0000-00008B6C0000}"/>
    <cellStyle name="Input 3 3 2 2 8" xfId="27793" xr:uid="{00000000-0005-0000-0000-00008C6C0000}"/>
    <cellStyle name="Input 3 3 2 2 8 2" xfId="27794" xr:uid="{00000000-0005-0000-0000-00008D6C0000}"/>
    <cellStyle name="Input 3 3 2 2 8 2 2" xfId="27795" xr:uid="{00000000-0005-0000-0000-00008E6C0000}"/>
    <cellStyle name="Input 3 3 2 2 8 2 3" xfId="27796" xr:uid="{00000000-0005-0000-0000-00008F6C0000}"/>
    <cellStyle name="Input 3 3 2 2 8 2 4" xfId="27797" xr:uid="{00000000-0005-0000-0000-0000906C0000}"/>
    <cellStyle name="Input 3 3 2 2 8 2 5" xfId="27798" xr:uid="{00000000-0005-0000-0000-0000916C0000}"/>
    <cellStyle name="Input 3 3 2 2 8 2 6" xfId="27799" xr:uid="{00000000-0005-0000-0000-0000926C0000}"/>
    <cellStyle name="Input 3 3 2 2 8 3" xfId="27800" xr:uid="{00000000-0005-0000-0000-0000936C0000}"/>
    <cellStyle name="Input 3 3 2 2 8 4" xfId="27801" xr:uid="{00000000-0005-0000-0000-0000946C0000}"/>
    <cellStyle name="Input 3 3 2 2 8 5" xfId="27802" xr:uid="{00000000-0005-0000-0000-0000956C0000}"/>
    <cellStyle name="Input 3 3 2 2 8 6" xfId="27803" xr:uid="{00000000-0005-0000-0000-0000966C0000}"/>
    <cellStyle name="Input 3 3 2 2 9" xfId="27804" xr:uid="{00000000-0005-0000-0000-0000976C0000}"/>
    <cellStyle name="Input 3 3 2 2 9 2" xfId="27805" xr:uid="{00000000-0005-0000-0000-0000986C0000}"/>
    <cellStyle name="Input 3 3 2 2 9 3" xfId="27806" xr:uid="{00000000-0005-0000-0000-0000996C0000}"/>
    <cellStyle name="Input 3 3 2 2 9 4" xfId="27807" xr:uid="{00000000-0005-0000-0000-00009A6C0000}"/>
    <cellStyle name="Input 3 3 2 2 9 5" xfId="27808" xr:uid="{00000000-0005-0000-0000-00009B6C0000}"/>
    <cellStyle name="Input 3 3 2 2 9 6" xfId="27809" xr:uid="{00000000-0005-0000-0000-00009C6C0000}"/>
    <cellStyle name="Input 3 3 2 3" xfId="27810" xr:uid="{00000000-0005-0000-0000-00009D6C0000}"/>
    <cellStyle name="Input 3 3 2 3 2" xfId="27811" xr:uid="{00000000-0005-0000-0000-00009E6C0000}"/>
    <cellStyle name="Input 3 3 2 3 2 2" xfId="27812" xr:uid="{00000000-0005-0000-0000-00009F6C0000}"/>
    <cellStyle name="Input 3 3 2 3 2 2 2" xfId="27813" xr:uid="{00000000-0005-0000-0000-0000A06C0000}"/>
    <cellStyle name="Input 3 3 2 3 2 2 3" xfId="27814" xr:uid="{00000000-0005-0000-0000-0000A16C0000}"/>
    <cellStyle name="Input 3 3 2 3 2 2 4" xfId="27815" xr:uid="{00000000-0005-0000-0000-0000A26C0000}"/>
    <cellStyle name="Input 3 3 2 3 2 2 5" xfId="27816" xr:uid="{00000000-0005-0000-0000-0000A36C0000}"/>
    <cellStyle name="Input 3 3 2 3 2 2 6" xfId="27817" xr:uid="{00000000-0005-0000-0000-0000A46C0000}"/>
    <cellStyle name="Input 3 3 2 3 2 3" xfId="27818" xr:uid="{00000000-0005-0000-0000-0000A56C0000}"/>
    <cellStyle name="Input 3 3 2 3 2 4" xfId="27819" xr:uid="{00000000-0005-0000-0000-0000A66C0000}"/>
    <cellStyle name="Input 3 3 2 3 2 5" xfId="27820" xr:uid="{00000000-0005-0000-0000-0000A76C0000}"/>
    <cellStyle name="Input 3 3 2 3 2 6" xfId="27821" xr:uid="{00000000-0005-0000-0000-0000A86C0000}"/>
    <cellStyle name="Input 3 3 2 3 3" xfId="27822" xr:uid="{00000000-0005-0000-0000-0000A96C0000}"/>
    <cellStyle name="Input 3 3 2 3 3 2" xfId="27823" xr:uid="{00000000-0005-0000-0000-0000AA6C0000}"/>
    <cellStyle name="Input 3 3 2 3 3 2 2" xfId="27824" xr:uid="{00000000-0005-0000-0000-0000AB6C0000}"/>
    <cellStyle name="Input 3 3 2 3 3 2 3" xfId="27825" xr:uid="{00000000-0005-0000-0000-0000AC6C0000}"/>
    <cellStyle name="Input 3 3 2 3 3 2 4" xfId="27826" xr:uid="{00000000-0005-0000-0000-0000AD6C0000}"/>
    <cellStyle name="Input 3 3 2 3 3 2 5" xfId="27827" xr:uid="{00000000-0005-0000-0000-0000AE6C0000}"/>
    <cellStyle name="Input 3 3 2 3 3 2 6" xfId="27828" xr:uid="{00000000-0005-0000-0000-0000AF6C0000}"/>
    <cellStyle name="Input 3 3 2 3 3 3" xfId="27829" xr:uid="{00000000-0005-0000-0000-0000B06C0000}"/>
    <cellStyle name="Input 3 3 2 3 3 4" xfId="27830" xr:uid="{00000000-0005-0000-0000-0000B16C0000}"/>
    <cellStyle name="Input 3 3 2 3 3 5" xfId="27831" xr:uid="{00000000-0005-0000-0000-0000B26C0000}"/>
    <cellStyle name="Input 3 3 2 3 3 6" xfId="27832" xr:uid="{00000000-0005-0000-0000-0000B36C0000}"/>
    <cellStyle name="Input 3 3 2 3 4" xfId="27833" xr:uid="{00000000-0005-0000-0000-0000B46C0000}"/>
    <cellStyle name="Input 3 3 2 3 4 2" xfId="27834" xr:uid="{00000000-0005-0000-0000-0000B56C0000}"/>
    <cellStyle name="Input 3 3 2 3 4 3" xfId="27835" xr:uid="{00000000-0005-0000-0000-0000B66C0000}"/>
    <cellStyle name="Input 3 3 2 3 4 4" xfId="27836" xr:uid="{00000000-0005-0000-0000-0000B76C0000}"/>
    <cellStyle name="Input 3 3 2 3 4 5" xfId="27837" xr:uid="{00000000-0005-0000-0000-0000B86C0000}"/>
    <cellStyle name="Input 3 3 2 3 4 6" xfId="27838" xr:uid="{00000000-0005-0000-0000-0000B96C0000}"/>
    <cellStyle name="Input 3 3 2 3 5" xfId="27839" xr:uid="{00000000-0005-0000-0000-0000BA6C0000}"/>
    <cellStyle name="Input 3 3 2 3 6" xfId="27840" xr:uid="{00000000-0005-0000-0000-0000BB6C0000}"/>
    <cellStyle name="Input 3 3 2 3 7" xfId="27841" xr:uid="{00000000-0005-0000-0000-0000BC6C0000}"/>
    <cellStyle name="Input 3 3 2 3 8" xfId="27842" xr:uid="{00000000-0005-0000-0000-0000BD6C0000}"/>
    <cellStyle name="Input 3 3 2 4" xfId="27843" xr:uid="{00000000-0005-0000-0000-0000BE6C0000}"/>
    <cellStyle name="Input 3 3 2 4 2" xfId="27844" xr:uid="{00000000-0005-0000-0000-0000BF6C0000}"/>
    <cellStyle name="Input 3 3 2 4 2 2" xfId="27845" xr:uid="{00000000-0005-0000-0000-0000C06C0000}"/>
    <cellStyle name="Input 3 3 2 4 2 2 2" xfId="27846" xr:uid="{00000000-0005-0000-0000-0000C16C0000}"/>
    <cellStyle name="Input 3 3 2 4 2 2 3" xfId="27847" xr:uid="{00000000-0005-0000-0000-0000C26C0000}"/>
    <cellStyle name="Input 3 3 2 4 2 2 4" xfId="27848" xr:uid="{00000000-0005-0000-0000-0000C36C0000}"/>
    <cellStyle name="Input 3 3 2 4 2 2 5" xfId="27849" xr:uid="{00000000-0005-0000-0000-0000C46C0000}"/>
    <cellStyle name="Input 3 3 2 4 2 2 6" xfId="27850" xr:uid="{00000000-0005-0000-0000-0000C56C0000}"/>
    <cellStyle name="Input 3 3 2 4 2 3" xfId="27851" xr:uid="{00000000-0005-0000-0000-0000C66C0000}"/>
    <cellStyle name="Input 3 3 2 4 2 4" xfId="27852" xr:uid="{00000000-0005-0000-0000-0000C76C0000}"/>
    <cellStyle name="Input 3 3 2 4 2 5" xfId="27853" xr:uid="{00000000-0005-0000-0000-0000C86C0000}"/>
    <cellStyle name="Input 3 3 2 4 2 6" xfId="27854" xr:uid="{00000000-0005-0000-0000-0000C96C0000}"/>
    <cellStyle name="Input 3 3 2 4 3" xfId="27855" xr:uid="{00000000-0005-0000-0000-0000CA6C0000}"/>
    <cellStyle name="Input 3 3 2 4 3 2" xfId="27856" xr:uid="{00000000-0005-0000-0000-0000CB6C0000}"/>
    <cellStyle name="Input 3 3 2 4 3 2 2" xfId="27857" xr:uid="{00000000-0005-0000-0000-0000CC6C0000}"/>
    <cellStyle name="Input 3 3 2 4 3 2 3" xfId="27858" xr:uid="{00000000-0005-0000-0000-0000CD6C0000}"/>
    <cellStyle name="Input 3 3 2 4 3 2 4" xfId="27859" xr:uid="{00000000-0005-0000-0000-0000CE6C0000}"/>
    <cellStyle name="Input 3 3 2 4 3 2 5" xfId="27860" xr:uid="{00000000-0005-0000-0000-0000CF6C0000}"/>
    <cellStyle name="Input 3 3 2 4 3 2 6" xfId="27861" xr:uid="{00000000-0005-0000-0000-0000D06C0000}"/>
    <cellStyle name="Input 3 3 2 4 3 3" xfId="27862" xr:uid="{00000000-0005-0000-0000-0000D16C0000}"/>
    <cellStyle name="Input 3 3 2 4 3 4" xfId="27863" xr:uid="{00000000-0005-0000-0000-0000D26C0000}"/>
    <cellStyle name="Input 3 3 2 4 3 5" xfId="27864" xr:uid="{00000000-0005-0000-0000-0000D36C0000}"/>
    <cellStyle name="Input 3 3 2 4 3 6" xfId="27865" xr:uid="{00000000-0005-0000-0000-0000D46C0000}"/>
    <cellStyle name="Input 3 3 2 4 4" xfId="27866" xr:uid="{00000000-0005-0000-0000-0000D56C0000}"/>
    <cellStyle name="Input 3 3 2 4 4 2" xfId="27867" xr:uid="{00000000-0005-0000-0000-0000D66C0000}"/>
    <cellStyle name="Input 3 3 2 4 4 3" xfId="27868" xr:uid="{00000000-0005-0000-0000-0000D76C0000}"/>
    <cellStyle name="Input 3 3 2 4 4 4" xfId="27869" xr:uid="{00000000-0005-0000-0000-0000D86C0000}"/>
    <cellStyle name="Input 3 3 2 4 4 5" xfId="27870" xr:uid="{00000000-0005-0000-0000-0000D96C0000}"/>
    <cellStyle name="Input 3 3 2 4 4 6" xfId="27871" xr:uid="{00000000-0005-0000-0000-0000DA6C0000}"/>
    <cellStyle name="Input 3 3 2 4 5" xfId="27872" xr:uid="{00000000-0005-0000-0000-0000DB6C0000}"/>
    <cellStyle name="Input 3 3 2 4 6" xfId="27873" xr:uid="{00000000-0005-0000-0000-0000DC6C0000}"/>
    <cellStyle name="Input 3 3 2 4 7" xfId="27874" xr:uid="{00000000-0005-0000-0000-0000DD6C0000}"/>
    <cellStyle name="Input 3 3 2 4 8" xfId="27875" xr:uid="{00000000-0005-0000-0000-0000DE6C0000}"/>
    <cellStyle name="Input 3 3 2 5" xfId="27876" xr:uid="{00000000-0005-0000-0000-0000DF6C0000}"/>
    <cellStyle name="Input 3 3 2 5 2" xfId="27877" xr:uid="{00000000-0005-0000-0000-0000E06C0000}"/>
    <cellStyle name="Input 3 3 2 5 2 2" xfId="27878" xr:uid="{00000000-0005-0000-0000-0000E16C0000}"/>
    <cellStyle name="Input 3 3 2 5 2 2 2" xfId="27879" xr:uid="{00000000-0005-0000-0000-0000E26C0000}"/>
    <cellStyle name="Input 3 3 2 5 2 2 3" xfId="27880" xr:uid="{00000000-0005-0000-0000-0000E36C0000}"/>
    <cellStyle name="Input 3 3 2 5 2 2 4" xfId="27881" xr:uid="{00000000-0005-0000-0000-0000E46C0000}"/>
    <cellStyle name="Input 3 3 2 5 2 2 5" xfId="27882" xr:uid="{00000000-0005-0000-0000-0000E56C0000}"/>
    <cellStyle name="Input 3 3 2 5 2 2 6" xfId="27883" xr:uid="{00000000-0005-0000-0000-0000E66C0000}"/>
    <cellStyle name="Input 3 3 2 5 2 3" xfId="27884" xr:uid="{00000000-0005-0000-0000-0000E76C0000}"/>
    <cellStyle name="Input 3 3 2 5 2 4" xfId="27885" xr:uid="{00000000-0005-0000-0000-0000E86C0000}"/>
    <cellStyle name="Input 3 3 2 5 2 5" xfId="27886" xr:uid="{00000000-0005-0000-0000-0000E96C0000}"/>
    <cellStyle name="Input 3 3 2 5 2 6" xfId="27887" xr:uid="{00000000-0005-0000-0000-0000EA6C0000}"/>
    <cellStyle name="Input 3 3 2 5 3" xfId="27888" xr:uid="{00000000-0005-0000-0000-0000EB6C0000}"/>
    <cellStyle name="Input 3 3 2 5 3 2" xfId="27889" xr:uid="{00000000-0005-0000-0000-0000EC6C0000}"/>
    <cellStyle name="Input 3 3 2 5 3 2 2" xfId="27890" xr:uid="{00000000-0005-0000-0000-0000ED6C0000}"/>
    <cellStyle name="Input 3 3 2 5 3 2 3" xfId="27891" xr:uid="{00000000-0005-0000-0000-0000EE6C0000}"/>
    <cellStyle name="Input 3 3 2 5 3 2 4" xfId="27892" xr:uid="{00000000-0005-0000-0000-0000EF6C0000}"/>
    <cellStyle name="Input 3 3 2 5 3 2 5" xfId="27893" xr:uid="{00000000-0005-0000-0000-0000F06C0000}"/>
    <cellStyle name="Input 3 3 2 5 3 2 6" xfId="27894" xr:uid="{00000000-0005-0000-0000-0000F16C0000}"/>
    <cellStyle name="Input 3 3 2 5 3 3" xfId="27895" xr:uid="{00000000-0005-0000-0000-0000F26C0000}"/>
    <cellStyle name="Input 3 3 2 5 3 4" xfId="27896" xr:uid="{00000000-0005-0000-0000-0000F36C0000}"/>
    <cellStyle name="Input 3 3 2 5 3 5" xfId="27897" xr:uid="{00000000-0005-0000-0000-0000F46C0000}"/>
    <cellStyle name="Input 3 3 2 5 3 6" xfId="27898" xr:uid="{00000000-0005-0000-0000-0000F56C0000}"/>
    <cellStyle name="Input 3 3 2 5 4" xfId="27899" xr:uid="{00000000-0005-0000-0000-0000F66C0000}"/>
    <cellStyle name="Input 3 3 2 5 4 2" xfId="27900" xr:uid="{00000000-0005-0000-0000-0000F76C0000}"/>
    <cellStyle name="Input 3 3 2 5 4 3" xfId="27901" xr:uid="{00000000-0005-0000-0000-0000F86C0000}"/>
    <cellStyle name="Input 3 3 2 5 4 4" xfId="27902" xr:uid="{00000000-0005-0000-0000-0000F96C0000}"/>
    <cellStyle name="Input 3 3 2 5 4 5" xfId="27903" xr:uid="{00000000-0005-0000-0000-0000FA6C0000}"/>
    <cellStyle name="Input 3 3 2 5 4 6" xfId="27904" xr:uid="{00000000-0005-0000-0000-0000FB6C0000}"/>
    <cellStyle name="Input 3 3 2 5 5" xfId="27905" xr:uid="{00000000-0005-0000-0000-0000FC6C0000}"/>
    <cellStyle name="Input 3 3 2 5 6" xfId="27906" xr:uid="{00000000-0005-0000-0000-0000FD6C0000}"/>
    <cellStyle name="Input 3 3 2 5 7" xfId="27907" xr:uid="{00000000-0005-0000-0000-0000FE6C0000}"/>
    <cellStyle name="Input 3 3 2 5 8" xfId="27908" xr:uid="{00000000-0005-0000-0000-0000FF6C0000}"/>
    <cellStyle name="Input 3 3 2 6" xfId="27909" xr:uid="{00000000-0005-0000-0000-0000006D0000}"/>
    <cellStyle name="Input 3 3 2 6 2" xfId="27910" xr:uid="{00000000-0005-0000-0000-0000016D0000}"/>
    <cellStyle name="Input 3 3 2 6 2 2" xfId="27911" xr:uid="{00000000-0005-0000-0000-0000026D0000}"/>
    <cellStyle name="Input 3 3 2 6 2 2 2" xfId="27912" xr:uid="{00000000-0005-0000-0000-0000036D0000}"/>
    <cellStyle name="Input 3 3 2 6 2 2 3" xfId="27913" xr:uid="{00000000-0005-0000-0000-0000046D0000}"/>
    <cellStyle name="Input 3 3 2 6 2 2 4" xfId="27914" xr:uid="{00000000-0005-0000-0000-0000056D0000}"/>
    <cellStyle name="Input 3 3 2 6 2 2 5" xfId="27915" xr:uid="{00000000-0005-0000-0000-0000066D0000}"/>
    <cellStyle name="Input 3 3 2 6 2 2 6" xfId="27916" xr:uid="{00000000-0005-0000-0000-0000076D0000}"/>
    <cellStyle name="Input 3 3 2 6 2 3" xfId="27917" xr:uid="{00000000-0005-0000-0000-0000086D0000}"/>
    <cellStyle name="Input 3 3 2 6 2 4" xfId="27918" xr:uid="{00000000-0005-0000-0000-0000096D0000}"/>
    <cellStyle name="Input 3 3 2 6 2 5" xfId="27919" xr:uid="{00000000-0005-0000-0000-00000A6D0000}"/>
    <cellStyle name="Input 3 3 2 6 2 6" xfId="27920" xr:uid="{00000000-0005-0000-0000-00000B6D0000}"/>
    <cellStyle name="Input 3 3 2 6 3" xfId="27921" xr:uid="{00000000-0005-0000-0000-00000C6D0000}"/>
    <cellStyle name="Input 3 3 2 6 3 2" xfId="27922" xr:uid="{00000000-0005-0000-0000-00000D6D0000}"/>
    <cellStyle name="Input 3 3 2 6 3 2 2" xfId="27923" xr:uid="{00000000-0005-0000-0000-00000E6D0000}"/>
    <cellStyle name="Input 3 3 2 6 3 2 3" xfId="27924" xr:uid="{00000000-0005-0000-0000-00000F6D0000}"/>
    <cellStyle name="Input 3 3 2 6 3 2 4" xfId="27925" xr:uid="{00000000-0005-0000-0000-0000106D0000}"/>
    <cellStyle name="Input 3 3 2 6 3 2 5" xfId="27926" xr:uid="{00000000-0005-0000-0000-0000116D0000}"/>
    <cellStyle name="Input 3 3 2 6 3 2 6" xfId="27927" xr:uid="{00000000-0005-0000-0000-0000126D0000}"/>
    <cellStyle name="Input 3 3 2 6 3 3" xfId="27928" xr:uid="{00000000-0005-0000-0000-0000136D0000}"/>
    <cellStyle name="Input 3 3 2 6 3 4" xfId="27929" xr:uid="{00000000-0005-0000-0000-0000146D0000}"/>
    <cellStyle name="Input 3 3 2 6 3 5" xfId="27930" xr:uid="{00000000-0005-0000-0000-0000156D0000}"/>
    <cellStyle name="Input 3 3 2 6 3 6" xfId="27931" xr:uid="{00000000-0005-0000-0000-0000166D0000}"/>
    <cellStyle name="Input 3 3 2 6 4" xfId="27932" xr:uid="{00000000-0005-0000-0000-0000176D0000}"/>
    <cellStyle name="Input 3 3 2 6 4 2" xfId="27933" xr:uid="{00000000-0005-0000-0000-0000186D0000}"/>
    <cellStyle name="Input 3 3 2 6 4 3" xfId="27934" xr:uid="{00000000-0005-0000-0000-0000196D0000}"/>
    <cellStyle name="Input 3 3 2 6 4 4" xfId="27935" xr:uid="{00000000-0005-0000-0000-00001A6D0000}"/>
    <cellStyle name="Input 3 3 2 6 4 5" xfId="27936" xr:uid="{00000000-0005-0000-0000-00001B6D0000}"/>
    <cellStyle name="Input 3 3 2 6 4 6" xfId="27937" xr:uid="{00000000-0005-0000-0000-00001C6D0000}"/>
    <cellStyle name="Input 3 3 2 6 5" xfId="27938" xr:uid="{00000000-0005-0000-0000-00001D6D0000}"/>
    <cellStyle name="Input 3 3 2 6 6" xfId="27939" xr:uid="{00000000-0005-0000-0000-00001E6D0000}"/>
    <cellStyle name="Input 3 3 2 6 7" xfId="27940" xr:uid="{00000000-0005-0000-0000-00001F6D0000}"/>
    <cellStyle name="Input 3 3 2 6 8" xfId="27941" xr:uid="{00000000-0005-0000-0000-0000206D0000}"/>
    <cellStyle name="Input 3 3 2 7" xfId="27942" xr:uid="{00000000-0005-0000-0000-0000216D0000}"/>
    <cellStyle name="Input 3 3 2 7 2" xfId="27943" xr:uid="{00000000-0005-0000-0000-0000226D0000}"/>
    <cellStyle name="Input 3 3 2 7 2 2" xfId="27944" xr:uid="{00000000-0005-0000-0000-0000236D0000}"/>
    <cellStyle name="Input 3 3 2 7 2 2 2" xfId="27945" xr:uid="{00000000-0005-0000-0000-0000246D0000}"/>
    <cellStyle name="Input 3 3 2 7 2 2 3" xfId="27946" xr:uid="{00000000-0005-0000-0000-0000256D0000}"/>
    <cellStyle name="Input 3 3 2 7 2 2 4" xfId="27947" xr:uid="{00000000-0005-0000-0000-0000266D0000}"/>
    <cellStyle name="Input 3 3 2 7 2 2 5" xfId="27948" xr:uid="{00000000-0005-0000-0000-0000276D0000}"/>
    <cellStyle name="Input 3 3 2 7 2 2 6" xfId="27949" xr:uid="{00000000-0005-0000-0000-0000286D0000}"/>
    <cellStyle name="Input 3 3 2 7 2 3" xfId="27950" xr:uid="{00000000-0005-0000-0000-0000296D0000}"/>
    <cellStyle name="Input 3 3 2 7 2 4" xfId="27951" xr:uid="{00000000-0005-0000-0000-00002A6D0000}"/>
    <cellStyle name="Input 3 3 2 7 2 5" xfId="27952" xr:uid="{00000000-0005-0000-0000-00002B6D0000}"/>
    <cellStyle name="Input 3 3 2 7 2 6" xfId="27953" xr:uid="{00000000-0005-0000-0000-00002C6D0000}"/>
    <cellStyle name="Input 3 3 2 7 3" xfId="27954" xr:uid="{00000000-0005-0000-0000-00002D6D0000}"/>
    <cellStyle name="Input 3 3 2 7 3 2" xfId="27955" xr:uid="{00000000-0005-0000-0000-00002E6D0000}"/>
    <cellStyle name="Input 3 3 2 7 3 2 2" xfId="27956" xr:uid="{00000000-0005-0000-0000-00002F6D0000}"/>
    <cellStyle name="Input 3 3 2 7 3 2 3" xfId="27957" xr:uid="{00000000-0005-0000-0000-0000306D0000}"/>
    <cellStyle name="Input 3 3 2 7 3 2 4" xfId="27958" xr:uid="{00000000-0005-0000-0000-0000316D0000}"/>
    <cellStyle name="Input 3 3 2 7 3 2 5" xfId="27959" xr:uid="{00000000-0005-0000-0000-0000326D0000}"/>
    <cellStyle name="Input 3 3 2 7 3 2 6" xfId="27960" xr:uid="{00000000-0005-0000-0000-0000336D0000}"/>
    <cellStyle name="Input 3 3 2 7 3 3" xfId="27961" xr:uid="{00000000-0005-0000-0000-0000346D0000}"/>
    <cellStyle name="Input 3 3 2 7 3 4" xfId="27962" xr:uid="{00000000-0005-0000-0000-0000356D0000}"/>
    <cellStyle name="Input 3 3 2 7 3 5" xfId="27963" xr:uid="{00000000-0005-0000-0000-0000366D0000}"/>
    <cellStyle name="Input 3 3 2 7 3 6" xfId="27964" xr:uid="{00000000-0005-0000-0000-0000376D0000}"/>
    <cellStyle name="Input 3 3 2 7 4" xfId="27965" xr:uid="{00000000-0005-0000-0000-0000386D0000}"/>
    <cellStyle name="Input 3 3 2 7 4 2" xfId="27966" xr:uid="{00000000-0005-0000-0000-0000396D0000}"/>
    <cellStyle name="Input 3 3 2 7 4 3" xfId="27967" xr:uid="{00000000-0005-0000-0000-00003A6D0000}"/>
    <cellStyle name="Input 3 3 2 7 4 4" xfId="27968" xr:uid="{00000000-0005-0000-0000-00003B6D0000}"/>
    <cellStyle name="Input 3 3 2 7 4 5" xfId="27969" xr:uid="{00000000-0005-0000-0000-00003C6D0000}"/>
    <cellStyle name="Input 3 3 2 7 4 6" xfId="27970" xr:uid="{00000000-0005-0000-0000-00003D6D0000}"/>
    <cellStyle name="Input 3 3 2 7 5" xfId="27971" xr:uid="{00000000-0005-0000-0000-00003E6D0000}"/>
    <cellStyle name="Input 3 3 2 7 6" xfId="27972" xr:uid="{00000000-0005-0000-0000-00003F6D0000}"/>
    <cellStyle name="Input 3 3 2 7 7" xfId="27973" xr:uid="{00000000-0005-0000-0000-0000406D0000}"/>
    <cellStyle name="Input 3 3 2 7 8" xfId="27974" xr:uid="{00000000-0005-0000-0000-0000416D0000}"/>
    <cellStyle name="Input 3 3 2 8" xfId="27975" xr:uid="{00000000-0005-0000-0000-0000426D0000}"/>
    <cellStyle name="Input 3 3 2 8 2" xfId="27976" xr:uid="{00000000-0005-0000-0000-0000436D0000}"/>
    <cellStyle name="Input 3 3 2 8 2 2" xfId="27977" xr:uid="{00000000-0005-0000-0000-0000446D0000}"/>
    <cellStyle name="Input 3 3 2 8 2 3" xfId="27978" xr:uid="{00000000-0005-0000-0000-0000456D0000}"/>
    <cellStyle name="Input 3 3 2 8 2 4" xfId="27979" xr:uid="{00000000-0005-0000-0000-0000466D0000}"/>
    <cellStyle name="Input 3 3 2 8 2 5" xfId="27980" xr:uid="{00000000-0005-0000-0000-0000476D0000}"/>
    <cellStyle name="Input 3 3 2 8 2 6" xfId="27981" xr:uid="{00000000-0005-0000-0000-0000486D0000}"/>
    <cellStyle name="Input 3 3 2 8 3" xfId="27982" xr:uid="{00000000-0005-0000-0000-0000496D0000}"/>
    <cellStyle name="Input 3 3 2 8 4" xfId="27983" xr:uid="{00000000-0005-0000-0000-00004A6D0000}"/>
    <cellStyle name="Input 3 3 2 8 5" xfId="27984" xr:uid="{00000000-0005-0000-0000-00004B6D0000}"/>
    <cellStyle name="Input 3 3 2 8 6" xfId="27985" xr:uid="{00000000-0005-0000-0000-00004C6D0000}"/>
    <cellStyle name="Input 3 3 2 9" xfId="27986" xr:uid="{00000000-0005-0000-0000-00004D6D0000}"/>
    <cellStyle name="Input 3 3 2 9 2" xfId="27987" xr:uid="{00000000-0005-0000-0000-00004E6D0000}"/>
    <cellStyle name="Input 3 3 2 9 2 2" xfId="27988" xr:uid="{00000000-0005-0000-0000-00004F6D0000}"/>
    <cellStyle name="Input 3 3 2 9 2 3" xfId="27989" xr:uid="{00000000-0005-0000-0000-0000506D0000}"/>
    <cellStyle name="Input 3 3 2 9 2 4" xfId="27990" xr:uid="{00000000-0005-0000-0000-0000516D0000}"/>
    <cellStyle name="Input 3 3 2 9 2 5" xfId="27991" xr:uid="{00000000-0005-0000-0000-0000526D0000}"/>
    <cellStyle name="Input 3 3 2 9 2 6" xfId="27992" xr:uid="{00000000-0005-0000-0000-0000536D0000}"/>
    <cellStyle name="Input 3 3 2 9 3" xfId="27993" xr:uid="{00000000-0005-0000-0000-0000546D0000}"/>
    <cellStyle name="Input 3 3 2 9 4" xfId="27994" xr:uid="{00000000-0005-0000-0000-0000556D0000}"/>
    <cellStyle name="Input 3 3 2 9 5" xfId="27995" xr:uid="{00000000-0005-0000-0000-0000566D0000}"/>
    <cellStyle name="Input 3 3 2 9 6" xfId="27996" xr:uid="{00000000-0005-0000-0000-0000576D0000}"/>
    <cellStyle name="Input 3 3 3" xfId="27997" xr:uid="{00000000-0005-0000-0000-0000586D0000}"/>
    <cellStyle name="Input 3 3 3 10" xfId="27998" xr:uid="{00000000-0005-0000-0000-0000596D0000}"/>
    <cellStyle name="Input 3 3 3 11" xfId="27999" xr:uid="{00000000-0005-0000-0000-00005A6D0000}"/>
    <cellStyle name="Input 3 3 3 12" xfId="28000" xr:uid="{00000000-0005-0000-0000-00005B6D0000}"/>
    <cellStyle name="Input 3 3 3 13" xfId="28001" xr:uid="{00000000-0005-0000-0000-00005C6D0000}"/>
    <cellStyle name="Input 3 3 3 2" xfId="28002" xr:uid="{00000000-0005-0000-0000-00005D6D0000}"/>
    <cellStyle name="Input 3 3 3 2 2" xfId="28003" xr:uid="{00000000-0005-0000-0000-00005E6D0000}"/>
    <cellStyle name="Input 3 3 3 2 2 2" xfId="28004" xr:uid="{00000000-0005-0000-0000-00005F6D0000}"/>
    <cellStyle name="Input 3 3 3 2 2 2 2" xfId="28005" xr:uid="{00000000-0005-0000-0000-0000606D0000}"/>
    <cellStyle name="Input 3 3 3 2 2 2 3" xfId="28006" xr:uid="{00000000-0005-0000-0000-0000616D0000}"/>
    <cellStyle name="Input 3 3 3 2 2 2 4" xfId="28007" xr:uid="{00000000-0005-0000-0000-0000626D0000}"/>
    <cellStyle name="Input 3 3 3 2 2 2 5" xfId="28008" xr:uid="{00000000-0005-0000-0000-0000636D0000}"/>
    <cellStyle name="Input 3 3 3 2 2 2 6" xfId="28009" xr:uid="{00000000-0005-0000-0000-0000646D0000}"/>
    <cellStyle name="Input 3 3 3 2 2 3" xfId="28010" xr:uid="{00000000-0005-0000-0000-0000656D0000}"/>
    <cellStyle name="Input 3 3 3 2 2 4" xfId="28011" xr:uid="{00000000-0005-0000-0000-0000666D0000}"/>
    <cellStyle name="Input 3 3 3 2 2 5" xfId="28012" xr:uid="{00000000-0005-0000-0000-0000676D0000}"/>
    <cellStyle name="Input 3 3 3 2 2 6" xfId="28013" xr:uid="{00000000-0005-0000-0000-0000686D0000}"/>
    <cellStyle name="Input 3 3 3 2 3" xfId="28014" xr:uid="{00000000-0005-0000-0000-0000696D0000}"/>
    <cellStyle name="Input 3 3 3 2 3 2" xfId="28015" xr:uid="{00000000-0005-0000-0000-00006A6D0000}"/>
    <cellStyle name="Input 3 3 3 2 3 2 2" xfId="28016" xr:uid="{00000000-0005-0000-0000-00006B6D0000}"/>
    <cellStyle name="Input 3 3 3 2 3 2 3" xfId="28017" xr:uid="{00000000-0005-0000-0000-00006C6D0000}"/>
    <cellStyle name="Input 3 3 3 2 3 2 4" xfId="28018" xr:uid="{00000000-0005-0000-0000-00006D6D0000}"/>
    <cellStyle name="Input 3 3 3 2 3 2 5" xfId="28019" xr:uid="{00000000-0005-0000-0000-00006E6D0000}"/>
    <cellStyle name="Input 3 3 3 2 3 2 6" xfId="28020" xr:uid="{00000000-0005-0000-0000-00006F6D0000}"/>
    <cellStyle name="Input 3 3 3 2 3 3" xfId="28021" xr:uid="{00000000-0005-0000-0000-0000706D0000}"/>
    <cellStyle name="Input 3 3 3 2 3 4" xfId="28022" xr:uid="{00000000-0005-0000-0000-0000716D0000}"/>
    <cellStyle name="Input 3 3 3 2 3 5" xfId="28023" xr:uid="{00000000-0005-0000-0000-0000726D0000}"/>
    <cellStyle name="Input 3 3 3 2 3 6" xfId="28024" xr:uid="{00000000-0005-0000-0000-0000736D0000}"/>
    <cellStyle name="Input 3 3 3 2 4" xfId="28025" xr:uid="{00000000-0005-0000-0000-0000746D0000}"/>
    <cellStyle name="Input 3 3 3 2 4 2" xfId="28026" xr:uid="{00000000-0005-0000-0000-0000756D0000}"/>
    <cellStyle name="Input 3 3 3 2 4 3" xfId="28027" xr:uid="{00000000-0005-0000-0000-0000766D0000}"/>
    <cellStyle name="Input 3 3 3 2 4 4" xfId="28028" xr:uid="{00000000-0005-0000-0000-0000776D0000}"/>
    <cellStyle name="Input 3 3 3 2 4 5" xfId="28029" xr:uid="{00000000-0005-0000-0000-0000786D0000}"/>
    <cellStyle name="Input 3 3 3 2 4 6" xfId="28030" xr:uid="{00000000-0005-0000-0000-0000796D0000}"/>
    <cellStyle name="Input 3 3 3 2 5" xfId="28031" xr:uid="{00000000-0005-0000-0000-00007A6D0000}"/>
    <cellStyle name="Input 3 3 3 2 6" xfId="28032" xr:uid="{00000000-0005-0000-0000-00007B6D0000}"/>
    <cellStyle name="Input 3 3 3 2 7" xfId="28033" xr:uid="{00000000-0005-0000-0000-00007C6D0000}"/>
    <cellStyle name="Input 3 3 3 2 8" xfId="28034" xr:uid="{00000000-0005-0000-0000-00007D6D0000}"/>
    <cellStyle name="Input 3 3 3 3" xfId="28035" xr:uid="{00000000-0005-0000-0000-00007E6D0000}"/>
    <cellStyle name="Input 3 3 3 3 2" xfId="28036" xr:uid="{00000000-0005-0000-0000-00007F6D0000}"/>
    <cellStyle name="Input 3 3 3 3 2 2" xfId="28037" xr:uid="{00000000-0005-0000-0000-0000806D0000}"/>
    <cellStyle name="Input 3 3 3 3 2 2 2" xfId="28038" xr:uid="{00000000-0005-0000-0000-0000816D0000}"/>
    <cellStyle name="Input 3 3 3 3 2 2 3" xfId="28039" xr:uid="{00000000-0005-0000-0000-0000826D0000}"/>
    <cellStyle name="Input 3 3 3 3 2 2 4" xfId="28040" xr:uid="{00000000-0005-0000-0000-0000836D0000}"/>
    <cellStyle name="Input 3 3 3 3 2 2 5" xfId="28041" xr:uid="{00000000-0005-0000-0000-0000846D0000}"/>
    <cellStyle name="Input 3 3 3 3 2 2 6" xfId="28042" xr:uid="{00000000-0005-0000-0000-0000856D0000}"/>
    <cellStyle name="Input 3 3 3 3 2 3" xfId="28043" xr:uid="{00000000-0005-0000-0000-0000866D0000}"/>
    <cellStyle name="Input 3 3 3 3 2 4" xfId="28044" xr:uid="{00000000-0005-0000-0000-0000876D0000}"/>
    <cellStyle name="Input 3 3 3 3 2 5" xfId="28045" xr:uid="{00000000-0005-0000-0000-0000886D0000}"/>
    <cellStyle name="Input 3 3 3 3 2 6" xfId="28046" xr:uid="{00000000-0005-0000-0000-0000896D0000}"/>
    <cellStyle name="Input 3 3 3 3 3" xfId="28047" xr:uid="{00000000-0005-0000-0000-00008A6D0000}"/>
    <cellStyle name="Input 3 3 3 3 3 2" xfId="28048" xr:uid="{00000000-0005-0000-0000-00008B6D0000}"/>
    <cellStyle name="Input 3 3 3 3 3 2 2" xfId="28049" xr:uid="{00000000-0005-0000-0000-00008C6D0000}"/>
    <cellStyle name="Input 3 3 3 3 3 2 3" xfId="28050" xr:uid="{00000000-0005-0000-0000-00008D6D0000}"/>
    <cellStyle name="Input 3 3 3 3 3 2 4" xfId="28051" xr:uid="{00000000-0005-0000-0000-00008E6D0000}"/>
    <cellStyle name="Input 3 3 3 3 3 2 5" xfId="28052" xr:uid="{00000000-0005-0000-0000-00008F6D0000}"/>
    <cellStyle name="Input 3 3 3 3 3 2 6" xfId="28053" xr:uid="{00000000-0005-0000-0000-0000906D0000}"/>
    <cellStyle name="Input 3 3 3 3 3 3" xfId="28054" xr:uid="{00000000-0005-0000-0000-0000916D0000}"/>
    <cellStyle name="Input 3 3 3 3 3 4" xfId="28055" xr:uid="{00000000-0005-0000-0000-0000926D0000}"/>
    <cellStyle name="Input 3 3 3 3 3 5" xfId="28056" xr:uid="{00000000-0005-0000-0000-0000936D0000}"/>
    <cellStyle name="Input 3 3 3 3 3 6" xfId="28057" xr:uid="{00000000-0005-0000-0000-0000946D0000}"/>
    <cellStyle name="Input 3 3 3 3 4" xfId="28058" xr:uid="{00000000-0005-0000-0000-0000956D0000}"/>
    <cellStyle name="Input 3 3 3 3 4 2" xfId="28059" xr:uid="{00000000-0005-0000-0000-0000966D0000}"/>
    <cellStyle name="Input 3 3 3 3 4 3" xfId="28060" xr:uid="{00000000-0005-0000-0000-0000976D0000}"/>
    <cellStyle name="Input 3 3 3 3 4 4" xfId="28061" xr:uid="{00000000-0005-0000-0000-0000986D0000}"/>
    <cellStyle name="Input 3 3 3 3 4 5" xfId="28062" xr:uid="{00000000-0005-0000-0000-0000996D0000}"/>
    <cellStyle name="Input 3 3 3 3 4 6" xfId="28063" xr:uid="{00000000-0005-0000-0000-00009A6D0000}"/>
    <cellStyle name="Input 3 3 3 3 5" xfId="28064" xr:uid="{00000000-0005-0000-0000-00009B6D0000}"/>
    <cellStyle name="Input 3 3 3 3 6" xfId="28065" xr:uid="{00000000-0005-0000-0000-00009C6D0000}"/>
    <cellStyle name="Input 3 3 3 3 7" xfId="28066" xr:uid="{00000000-0005-0000-0000-00009D6D0000}"/>
    <cellStyle name="Input 3 3 3 3 8" xfId="28067" xr:uid="{00000000-0005-0000-0000-00009E6D0000}"/>
    <cellStyle name="Input 3 3 3 4" xfId="28068" xr:uid="{00000000-0005-0000-0000-00009F6D0000}"/>
    <cellStyle name="Input 3 3 3 4 2" xfId="28069" xr:uid="{00000000-0005-0000-0000-0000A06D0000}"/>
    <cellStyle name="Input 3 3 3 4 2 2" xfId="28070" xr:uid="{00000000-0005-0000-0000-0000A16D0000}"/>
    <cellStyle name="Input 3 3 3 4 2 2 2" xfId="28071" xr:uid="{00000000-0005-0000-0000-0000A26D0000}"/>
    <cellStyle name="Input 3 3 3 4 2 2 3" xfId="28072" xr:uid="{00000000-0005-0000-0000-0000A36D0000}"/>
    <cellStyle name="Input 3 3 3 4 2 2 4" xfId="28073" xr:uid="{00000000-0005-0000-0000-0000A46D0000}"/>
    <cellStyle name="Input 3 3 3 4 2 2 5" xfId="28074" xr:uid="{00000000-0005-0000-0000-0000A56D0000}"/>
    <cellStyle name="Input 3 3 3 4 2 2 6" xfId="28075" xr:uid="{00000000-0005-0000-0000-0000A66D0000}"/>
    <cellStyle name="Input 3 3 3 4 2 3" xfId="28076" xr:uid="{00000000-0005-0000-0000-0000A76D0000}"/>
    <cellStyle name="Input 3 3 3 4 2 4" xfId="28077" xr:uid="{00000000-0005-0000-0000-0000A86D0000}"/>
    <cellStyle name="Input 3 3 3 4 2 5" xfId="28078" xr:uid="{00000000-0005-0000-0000-0000A96D0000}"/>
    <cellStyle name="Input 3 3 3 4 2 6" xfId="28079" xr:uid="{00000000-0005-0000-0000-0000AA6D0000}"/>
    <cellStyle name="Input 3 3 3 4 3" xfId="28080" xr:uid="{00000000-0005-0000-0000-0000AB6D0000}"/>
    <cellStyle name="Input 3 3 3 4 3 2" xfId="28081" xr:uid="{00000000-0005-0000-0000-0000AC6D0000}"/>
    <cellStyle name="Input 3 3 3 4 3 2 2" xfId="28082" xr:uid="{00000000-0005-0000-0000-0000AD6D0000}"/>
    <cellStyle name="Input 3 3 3 4 3 2 3" xfId="28083" xr:uid="{00000000-0005-0000-0000-0000AE6D0000}"/>
    <cellStyle name="Input 3 3 3 4 3 2 4" xfId="28084" xr:uid="{00000000-0005-0000-0000-0000AF6D0000}"/>
    <cellStyle name="Input 3 3 3 4 3 2 5" xfId="28085" xr:uid="{00000000-0005-0000-0000-0000B06D0000}"/>
    <cellStyle name="Input 3 3 3 4 3 2 6" xfId="28086" xr:uid="{00000000-0005-0000-0000-0000B16D0000}"/>
    <cellStyle name="Input 3 3 3 4 3 3" xfId="28087" xr:uid="{00000000-0005-0000-0000-0000B26D0000}"/>
    <cellStyle name="Input 3 3 3 4 3 4" xfId="28088" xr:uid="{00000000-0005-0000-0000-0000B36D0000}"/>
    <cellStyle name="Input 3 3 3 4 3 5" xfId="28089" xr:uid="{00000000-0005-0000-0000-0000B46D0000}"/>
    <cellStyle name="Input 3 3 3 4 3 6" xfId="28090" xr:uid="{00000000-0005-0000-0000-0000B56D0000}"/>
    <cellStyle name="Input 3 3 3 4 4" xfId="28091" xr:uid="{00000000-0005-0000-0000-0000B66D0000}"/>
    <cellStyle name="Input 3 3 3 4 4 2" xfId="28092" xr:uid="{00000000-0005-0000-0000-0000B76D0000}"/>
    <cellStyle name="Input 3 3 3 4 4 3" xfId="28093" xr:uid="{00000000-0005-0000-0000-0000B86D0000}"/>
    <cellStyle name="Input 3 3 3 4 4 4" xfId="28094" xr:uid="{00000000-0005-0000-0000-0000B96D0000}"/>
    <cellStyle name="Input 3 3 3 4 4 5" xfId="28095" xr:uid="{00000000-0005-0000-0000-0000BA6D0000}"/>
    <cellStyle name="Input 3 3 3 4 4 6" xfId="28096" xr:uid="{00000000-0005-0000-0000-0000BB6D0000}"/>
    <cellStyle name="Input 3 3 3 4 5" xfId="28097" xr:uid="{00000000-0005-0000-0000-0000BC6D0000}"/>
    <cellStyle name="Input 3 3 3 4 6" xfId="28098" xr:uid="{00000000-0005-0000-0000-0000BD6D0000}"/>
    <cellStyle name="Input 3 3 3 4 7" xfId="28099" xr:uid="{00000000-0005-0000-0000-0000BE6D0000}"/>
    <cellStyle name="Input 3 3 3 4 8" xfId="28100" xr:uid="{00000000-0005-0000-0000-0000BF6D0000}"/>
    <cellStyle name="Input 3 3 3 5" xfId="28101" xr:uid="{00000000-0005-0000-0000-0000C06D0000}"/>
    <cellStyle name="Input 3 3 3 5 2" xfId="28102" xr:uid="{00000000-0005-0000-0000-0000C16D0000}"/>
    <cellStyle name="Input 3 3 3 5 2 2" xfId="28103" xr:uid="{00000000-0005-0000-0000-0000C26D0000}"/>
    <cellStyle name="Input 3 3 3 5 2 2 2" xfId="28104" xr:uid="{00000000-0005-0000-0000-0000C36D0000}"/>
    <cellStyle name="Input 3 3 3 5 2 2 3" xfId="28105" xr:uid="{00000000-0005-0000-0000-0000C46D0000}"/>
    <cellStyle name="Input 3 3 3 5 2 2 4" xfId="28106" xr:uid="{00000000-0005-0000-0000-0000C56D0000}"/>
    <cellStyle name="Input 3 3 3 5 2 2 5" xfId="28107" xr:uid="{00000000-0005-0000-0000-0000C66D0000}"/>
    <cellStyle name="Input 3 3 3 5 2 2 6" xfId="28108" xr:uid="{00000000-0005-0000-0000-0000C76D0000}"/>
    <cellStyle name="Input 3 3 3 5 2 3" xfId="28109" xr:uid="{00000000-0005-0000-0000-0000C86D0000}"/>
    <cellStyle name="Input 3 3 3 5 2 4" xfId="28110" xr:uid="{00000000-0005-0000-0000-0000C96D0000}"/>
    <cellStyle name="Input 3 3 3 5 2 5" xfId="28111" xr:uid="{00000000-0005-0000-0000-0000CA6D0000}"/>
    <cellStyle name="Input 3 3 3 5 2 6" xfId="28112" xr:uid="{00000000-0005-0000-0000-0000CB6D0000}"/>
    <cellStyle name="Input 3 3 3 5 3" xfId="28113" xr:uid="{00000000-0005-0000-0000-0000CC6D0000}"/>
    <cellStyle name="Input 3 3 3 5 3 2" xfId="28114" xr:uid="{00000000-0005-0000-0000-0000CD6D0000}"/>
    <cellStyle name="Input 3 3 3 5 3 2 2" xfId="28115" xr:uid="{00000000-0005-0000-0000-0000CE6D0000}"/>
    <cellStyle name="Input 3 3 3 5 3 2 3" xfId="28116" xr:uid="{00000000-0005-0000-0000-0000CF6D0000}"/>
    <cellStyle name="Input 3 3 3 5 3 2 4" xfId="28117" xr:uid="{00000000-0005-0000-0000-0000D06D0000}"/>
    <cellStyle name="Input 3 3 3 5 3 2 5" xfId="28118" xr:uid="{00000000-0005-0000-0000-0000D16D0000}"/>
    <cellStyle name="Input 3 3 3 5 3 2 6" xfId="28119" xr:uid="{00000000-0005-0000-0000-0000D26D0000}"/>
    <cellStyle name="Input 3 3 3 5 3 3" xfId="28120" xr:uid="{00000000-0005-0000-0000-0000D36D0000}"/>
    <cellStyle name="Input 3 3 3 5 3 4" xfId="28121" xr:uid="{00000000-0005-0000-0000-0000D46D0000}"/>
    <cellStyle name="Input 3 3 3 5 3 5" xfId="28122" xr:uid="{00000000-0005-0000-0000-0000D56D0000}"/>
    <cellStyle name="Input 3 3 3 5 3 6" xfId="28123" xr:uid="{00000000-0005-0000-0000-0000D66D0000}"/>
    <cellStyle name="Input 3 3 3 5 4" xfId="28124" xr:uid="{00000000-0005-0000-0000-0000D76D0000}"/>
    <cellStyle name="Input 3 3 3 5 4 2" xfId="28125" xr:uid="{00000000-0005-0000-0000-0000D86D0000}"/>
    <cellStyle name="Input 3 3 3 5 4 3" xfId="28126" xr:uid="{00000000-0005-0000-0000-0000D96D0000}"/>
    <cellStyle name="Input 3 3 3 5 4 4" xfId="28127" xr:uid="{00000000-0005-0000-0000-0000DA6D0000}"/>
    <cellStyle name="Input 3 3 3 5 4 5" xfId="28128" xr:uid="{00000000-0005-0000-0000-0000DB6D0000}"/>
    <cellStyle name="Input 3 3 3 5 4 6" xfId="28129" xr:uid="{00000000-0005-0000-0000-0000DC6D0000}"/>
    <cellStyle name="Input 3 3 3 5 5" xfId="28130" xr:uid="{00000000-0005-0000-0000-0000DD6D0000}"/>
    <cellStyle name="Input 3 3 3 5 6" xfId="28131" xr:uid="{00000000-0005-0000-0000-0000DE6D0000}"/>
    <cellStyle name="Input 3 3 3 5 7" xfId="28132" xr:uid="{00000000-0005-0000-0000-0000DF6D0000}"/>
    <cellStyle name="Input 3 3 3 5 8" xfId="28133" xr:uid="{00000000-0005-0000-0000-0000E06D0000}"/>
    <cellStyle name="Input 3 3 3 6" xfId="28134" xr:uid="{00000000-0005-0000-0000-0000E16D0000}"/>
    <cellStyle name="Input 3 3 3 6 2" xfId="28135" xr:uid="{00000000-0005-0000-0000-0000E26D0000}"/>
    <cellStyle name="Input 3 3 3 6 2 2" xfId="28136" xr:uid="{00000000-0005-0000-0000-0000E36D0000}"/>
    <cellStyle name="Input 3 3 3 6 2 2 2" xfId="28137" xr:uid="{00000000-0005-0000-0000-0000E46D0000}"/>
    <cellStyle name="Input 3 3 3 6 2 2 3" xfId="28138" xr:uid="{00000000-0005-0000-0000-0000E56D0000}"/>
    <cellStyle name="Input 3 3 3 6 2 2 4" xfId="28139" xr:uid="{00000000-0005-0000-0000-0000E66D0000}"/>
    <cellStyle name="Input 3 3 3 6 2 2 5" xfId="28140" xr:uid="{00000000-0005-0000-0000-0000E76D0000}"/>
    <cellStyle name="Input 3 3 3 6 2 2 6" xfId="28141" xr:uid="{00000000-0005-0000-0000-0000E86D0000}"/>
    <cellStyle name="Input 3 3 3 6 2 3" xfId="28142" xr:uid="{00000000-0005-0000-0000-0000E96D0000}"/>
    <cellStyle name="Input 3 3 3 6 2 4" xfId="28143" xr:uid="{00000000-0005-0000-0000-0000EA6D0000}"/>
    <cellStyle name="Input 3 3 3 6 2 5" xfId="28144" xr:uid="{00000000-0005-0000-0000-0000EB6D0000}"/>
    <cellStyle name="Input 3 3 3 6 2 6" xfId="28145" xr:uid="{00000000-0005-0000-0000-0000EC6D0000}"/>
    <cellStyle name="Input 3 3 3 6 3" xfId="28146" xr:uid="{00000000-0005-0000-0000-0000ED6D0000}"/>
    <cellStyle name="Input 3 3 3 6 3 2" xfId="28147" xr:uid="{00000000-0005-0000-0000-0000EE6D0000}"/>
    <cellStyle name="Input 3 3 3 6 3 2 2" xfId="28148" xr:uid="{00000000-0005-0000-0000-0000EF6D0000}"/>
    <cellStyle name="Input 3 3 3 6 3 2 3" xfId="28149" xr:uid="{00000000-0005-0000-0000-0000F06D0000}"/>
    <cellStyle name="Input 3 3 3 6 3 2 4" xfId="28150" xr:uid="{00000000-0005-0000-0000-0000F16D0000}"/>
    <cellStyle name="Input 3 3 3 6 3 2 5" xfId="28151" xr:uid="{00000000-0005-0000-0000-0000F26D0000}"/>
    <cellStyle name="Input 3 3 3 6 3 2 6" xfId="28152" xr:uid="{00000000-0005-0000-0000-0000F36D0000}"/>
    <cellStyle name="Input 3 3 3 6 3 3" xfId="28153" xr:uid="{00000000-0005-0000-0000-0000F46D0000}"/>
    <cellStyle name="Input 3 3 3 6 3 4" xfId="28154" xr:uid="{00000000-0005-0000-0000-0000F56D0000}"/>
    <cellStyle name="Input 3 3 3 6 3 5" xfId="28155" xr:uid="{00000000-0005-0000-0000-0000F66D0000}"/>
    <cellStyle name="Input 3 3 3 6 3 6" xfId="28156" xr:uid="{00000000-0005-0000-0000-0000F76D0000}"/>
    <cellStyle name="Input 3 3 3 6 4" xfId="28157" xr:uid="{00000000-0005-0000-0000-0000F86D0000}"/>
    <cellStyle name="Input 3 3 3 6 4 2" xfId="28158" xr:uid="{00000000-0005-0000-0000-0000F96D0000}"/>
    <cellStyle name="Input 3 3 3 6 4 3" xfId="28159" xr:uid="{00000000-0005-0000-0000-0000FA6D0000}"/>
    <cellStyle name="Input 3 3 3 6 4 4" xfId="28160" xr:uid="{00000000-0005-0000-0000-0000FB6D0000}"/>
    <cellStyle name="Input 3 3 3 6 4 5" xfId="28161" xr:uid="{00000000-0005-0000-0000-0000FC6D0000}"/>
    <cellStyle name="Input 3 3 3 6 4 6" xfId="28162" xr:uid="{00000000-0005-0000-0000-0000FD6D0000}"/>
    <cellStyle name="Input 3 3 3 6 5" xfId="28163" xr:uid="{00000000-0005-0000-0000-0000FE6D0000}"/>
    <cellStyle name="Input 3 3 3 6 6" xfId="28164" xr:uid="{00000000-0005-0000-0000-0000FF6D0000}"/>
    <cellStyle name="Input 3 3 3 6 7" xfId="28165" xr:uid="{00000000-0005-0000-0000-0000006E0000}"/>
    <cellStyle name="Input 3 3 3 6 8" xfId="28166" xr:uid="{00000000-0005-0000-0000-0000016E0000}"/>
    <cellStyle name="Input 3 3 3 7" xfId="28167" xr:uid="{00000000-0005-0000-0000-0000026E0000}"/>
    <cellStyle name="Input 3 3 3 7 2" xfId="28168" xr:uid="{00000000-0005-0000-0000-0000036E0000}"/>
    <cellStyle name="Input 3 3 3 7 2 2" xfId="28169" xr:uid="{00000000-0005-0000-0000-0000046E0000}"/>
    <cellStyle name="Input 3 3 3 7 2 3" xfId="28170" xr:uid="{00000000-0005-0000-0000-0000056E0000}"/>
    <cellStyle name="Input 3 3 3 7 2 4" xfId="28171" xr:uid="{00000000-0005-0000-0000-0000066E0000}"/>
    <cellStyle name="Input 3 3 3 7 2 5" xfId="28172" xr:uid="{00000000-0005-0000-0000-0000076E0000}"/>
    <cellStyle name="Input 3 3 3 7 2 6" xfId="28173" xr:uid="{00000000-0005-0000-0000-0000086E0000}"/>
    <cellStyle name="Input 3 3 3 7 3" xfId="28174" xr:uid="{00000000-0005-0000-0000-0000096E0000}"/>
    <cellStyle name="Input 3 3 3 7 4" xfId="28175" xr:uid="{00000000-0005-0000-0000-00000A6E0000}"/>
    <cellStyle name="Input 3 3 3 7 5" xfId="28176" xr:uid="{00000000-0005-0000-0000-00000B6E0000}"/>
    <cellStyle name="Input 3 3 3 7 6" xfId="28177" xr:uid="{00000000-0005-0000-0000-00000C6E0000}"/>
    <cellStyle name="Input 3 3 3 8" xfId="28178" xr:uid="{00000000-0005-0000-0000-00000D6E0000}"/>
    <cellStyle name="Input 3 3 3 8 2" xfId="28179" xr:uid="{00000000-0005-0000-0000-00000E6E0000}"/>
    <cellStyle name="Input 3 3 3 8 2 2" xfId="28180" xr:uid="{00000000-0005-0000-0000-00000F6E0000}"/>
    <cellStyle name="Input 3 3 3 8 2 3" xfId="28181" xr:uid="{00000000-0005-0000-0000-0000106E0000}"/>
    <cellStyle name="Input 3 3 3 8 2 4" xfId="28182" xr:uid="{00000000-0005-0000-0000-0000116E0000}"/>
    <cellStyle name="Input 3 3 3 8 2 5" xfId="28183" xr:uid="{00000000-0005-0000-0000-0000126E0000}"/>
    <cellStyle name="Input 3 3 3 8 2 6" xfId="28184" xr:uid="{00000000-0005-0000-0000-0000136E0000}"/>
    <cellStyle name="Input 3 3 3 8 3" xfId="28185" xr:uid="{00000000-0005-0000-0000-0000146E0000}"/>
    <cellStyle name="Input 3 3 3 8 4" xfId="28186" xr:uid="{00000000-0005-0000-0000-0000156E0000}"/>
    <cellStyle name="Input 3 3 3 8 5" xfId="28187" xr:uid="{00000000-0005-0000-0000-0000166E0000}"/>
    <cellStyle name="Input 3 3 3 8 6" xfId="28188" xr:uid="{00000000-0005-0000-0000-0000176E0000}"/>
    <cellStyle name="Input 3 3 3 9" xfId="28189" xr:uid="{00000000-0005-0000-0000-0000186E0000}"/>
    <cellStyle name="Input 3 3 3 9 2" xfId="28190" xr:uid="{00000000-0005-0000-0000-0000196E0000}"/>
    <cellStyle name="Input 3 3 3 9 3" xfId="28191" xr:uid="{00000000-0005-0000-0000-00001A6E0000}"/>
    <cellStyle name="Input 3 3 3 9 4" xfId="28192" xr:uid="{00000000-0005-0000-0000-00001B6E0000}"/>
    <cellStyle name="Input 3 3 3 9 5" xfId="28193" xr:uid="{00000000-0005-0000-0000-00001C6E0000}"/>
    <cellStyle name="Input 3 3 3 9 6" xfId="28194" xr:uid="{00000000-0005-0000-0000-00001D6E0000}"/>
    <cellStyle name="Input 3 3 4" xfId="28195" xr:uid="{00000000-0005-0000-0000-00001E6E0000}"/>
    <cellStyle name="Input 3 3 4 2" xfId="28196" xr:uid="{00000000-0005-0000-0000-00001F6E0000}"/>
    <cellStyle name="Input 3 3 4 2 2" xfId="28197" xr:uid="{00000000-0005-0000-0000-0000206E0000}"/>
    <cellStyle name="Input 3 3 4 2 2 2" xfId="28198" xr:uid="{00000000-0005-0000-0000-0000216E0000}"/>
    <cellStyle name="Input 3 3 4 2 2 3" xfId="28199" xr:uid="{00000000-0005-0000-0000-0000226E0000}"/>
    <cellStyle name="Input 3 3 4 2 2 4" xfId="28200" xr:uid="{00000000-0005-0000-0000-0000236E0000}"/>
    <cellStyle name="Input 3 3 4 2 2 5" xfId="28201" xr:uid="{00000000-0005-0000-0000-0000246E0000}"/>
    <cellStyle name="Input 3 3 4 2 2 6" xfId="28202" xr:uid="{00000000-0005-0000-0000-0000256E0000}"/>
    <cellStyle name="Input 3 3 4 2 3" xfId="28203" xr:uid="{00000000-0005-0000-0000-0000266E0000}"/>
    <cellStyle name="Input 3 3 4 2 4" xfId="28204" xr:uid="{00000000-0005-0000-0000-0000276E0000}"/>
    <cellStyle name="Input 3 3 4 2 5" xfId="28205" xr:uid="{00000000-0005-0000-0000-0000286E0000}"/>
    <cellStyle name="Input 3 3 4 2 6" xfId="28206" xr:uid="{00000000-0005-0000-0000-0000296E0000}"/>
    <cellStyle name="Input 3 3 4 3" xfId="28207" xr:uid="{00000000-0005-0000-0000-00002A6E0000}"/>
    <cellStyle name="Input 3 3 4 3 2" xfId="28208" xr:uid="{00000000-0005-0000-0000-00002B6E0000}"/>
    <cellStyle name="Input 3 3 4 3 2 2" xfId="28209" xr:uid="{00000000-0005-0000-0000-00002C6E0000}"/>
    <cellStyle name="Input 3 3 4 3 2 3" xfId="28210" xr:uid="{00000000-0005-0000-0000-00002D6E0000}"/>
    <cellStyle name="Input 3 3 4 3 2 4" xfId="28211" xr:uid="{00000000-0005-0000-0000-00002E6E0000}"/>
    <cellStyle name="Input 3 3 4 3 2 5" xfId="28212" xr:uid="{00000000-0005-0000-0000-00002F6E0000}"/>
    <cellStyle name="Input 3 3 4 3 2 6" xfId="28213" xr:uid="{00000000-0005-0000-0000-0000306E0000}"/>
    <cellStyle name="Input 3 3 4 3 3" xfId="28214" xr:uid="{00000000-0005-0000-0000-0000316E0000}"/>
    <cellStyle name="Input 3 3 4 3 4" xfId="28215" xr:uid="{00000000-0005-0000-0000-0000326E0000}"/>
    <cellStyle name="Input 3 3 4 3 5" xfId="28216" xr:uid="{00000000-0005-0000-0000-0000336E0000}"/>
    <cellStyle name="Input 3 3 4 3 6" xfId="28217" xr:uid="{00000000-0005-0000-0000-0000346E0000}"/>
    <cellStyle name="Input 3 3 4 4" xfId="28218" xr:uid="{00000000-0005-0000-0000-0000356E0000}"/>
    <cellStyle name="Input 3 3 4 4 2" xfId="28219" xr:uid="{00000000-0005-0000-0000-0000366E0000}"/>
    <cellStyle name="Input 3 3 4 4 3" xfId="28220" xr:uid="{00000000-0005-0000-0000-0000376E0000}"/>
    <cellStyle name="Input 3 3 4 4 4" xfId="28221" xr:uid="{00000000-0005-0000-0000-0000386E0000}"/>
    <cellStyle name="Input 3 3 4 4 5" xfId="28222" xr:uid="{00000000-0005-0000-0000-0000396E0000}"/>
    <cellStyle name="Input 3 3 4 4 6" xfId="28223" xr:uid="{00000000-0005-0000-0000-00003A6E0000}"/>
    <cellStyle name="Input 3 3 4 5" xfId="28224" xr:uid="{00000000-0005-0000-0000-00003B6E0000}"/>
    <cellStyle name="Input 3 3 4 6" xfId="28225" xr:uid="{00000000-0005-0000-0000-00003C6E0000}"/>
    <cellStyle name="Input 3 3 4 7" xfId="28226" xr:uid="{00000000-0005-0000-0000-00003D6E0000}"/>
    <cellStyle name="Input 3 3 4 8" xfId="28227" xr:uid="{00000000-0005-0000-0000-00003E6E0000}"/>
    <cellStyle name="Input 3 3 5" xfId="28228" xr:uid="{00000000-0005-0000-0000-00003F6E0000}"/>
    <cellStyle name="Input 3 3 5 2" xfId="28229" xr:uid="{00000000-0005-0000-0000-0000406E0000}"/>
    <cellStyle name="Input 3 3 5 2 2" xfId="28230" xr:uid="{00000000-0005-0000-0000-0000416E0000}"/>
    <cellStyle name="Input 3 3 5 2 2 2" xfId="28231" xr:uid="{00000000-0005-0000-0000-0000426E0000}"/>
    <cellStyle name="Input 3 3 5 2 2 3" xfId="28232" xr:uid="{00000000-0005-0000-0000-0000436E0000}"/>
    <cellStyle name="Input 3 3 5 2 2 4" xfId="28233" xr:uid="{00000000-0005-0000-0000-0000446E0000}"/>
    <cellStyle name="Input 3 3 5 2 2 5" xfId="28234" xr:uid="{00000000-0005-0000-0000-0000456E0000}"/>
    <cellStyle name="Input 3 3 5 2 2 6" xfId="28235" xr:uid="{00000000-0005-0000-0000-0000466E0000}"/>
    <cellStyle name="Input 3 3 5 2 3" xfId="28236" xr:uid="{00000000-0005-0000-0000-0000476E0000}"/>
    <cellStyle name="Input 3 3 5 2 4" xfId="28237" xr:uid="{00000000-0005-0000-0000-0000486E0000}"/>
    <cellStyle name="Input 3 3 5 2 5" xfId="28238" xr:uid="{00000000-0005-0000-0000-0000496E0000}"/>
    <cellStyle name="Input 3 3 5 2 6" xfId="28239" xr:uid="{00000000-0005-0000-0000-00004A6E0000}"/>
    <cellStyle name="Input 3 3 5 3" xfId="28240" xr:uid="{00000000-0005-0000-0000-00004B6E0000}"/>
    <cellStyle name="Input 3 3 5 3 2" xfId="28241" xr:uid="{00000000-0005-0000-0000-00004C6E0000}"/>
    <cellStyle name="Input 3 3 5 3 2 2" xfId="28242" xr:uid="{00000000-0005-0000-0000-00004D6E0000}"/>
    <cellStyle name="Input 3 3 5 3 2 3" xfId="28243" xr:uid="{00000000-0005-0000-0000-00004E6E0000}"/>
    <cellStyle name="Input 3 3 5 3 2 4" xfId="28244" xr:uid="{00000000-0005-0000-0000-00004F6E0000}"/>
    <cellStyle name="Input 3 3 5 3 2 5" xfId="28245" xr:uid="{00000000-0005-0000-0000-0000506E0000}"/>
    <cellStyle name="Input 3 3 5 3 2 6" xfId="28246" xr:uid="{00000000-0005-0000-0000-0000516E0000}"/>
    <cellStyle name="Input 3 3 5 3 3" xfId="28247" xr:uid="{00000000-0005-0000-0000-0000526E0000}"/>
    <cellStyle name="Input 3 3 5 3 4" xfId="28248" xr:uid="{00000000-0005-0000-0000-0000536E0000}"/>
    <cellStyle name="Input 3 3 5 3 5" xfId="28249" xr:uid="{00000000-0005-0000-0000-0000546E0000}"/>
    <cellStyle name="Input 3 3 5 3 6" xfId="28250" xr:uid="{00000000-0005-0000-0000-0000556E0000}"/>
    <cellStyle name="Input 3 3 5 4" xfId="28251" xr:uid="{00000000-0005-0000-0000-0000566E0000}"/>
    <cellStyle name="Input 3 3 5 4 2" xfId="28252" xr:uid="{00000000-0005-0000-0000-0000576E0000}"/>
    <cellStyle name="Input 3 3 5 4 3" xfId="28253" xr:uid="{00000000-0005-0000-0000-0000586E0000}"/>
    <cellStyle name="Input 3 3 5 4 4" xfId="28254" xr:uid="{00000000-0005-0000-0000-0000596E0000}"/>
    <cellStyle name="Input 3 3 5 4 5" xfId="28255" xr:uid="{00000000-0005-0000-0000-00005A6E0000}"/>
    <cellStyle name="Input 3 3 5 4 6" xfId="28256" xr:uid="{00000000-0005-0000-0000-00005B6E0000}"/>
    <cellStyle name="Input 3 3 5 5" xfId="28257" xr:uid="{00000000-0005-0000-0000-00005C6E0000}"/>
    <cellStyle name="Input 3 3 5 6" xfId="28258" xr:uid="{00000000-0005-0000-0000-00005D6E0000}"/>
    <cellStyle name="Input 3 3 5 7" xfId="28259" xr:uid="{00000000-0005-0000-0000-00005E6E0000}"/>
    <cellStyle name="Input 3 3 5 8" xfId="28260" xr:uid="{00000000-0005-0000-0000-00005F6E0000}"/>
    <cellStyle name="Input 3 3 6" xfId="28261" xr:uid="{00000000-0005-0000-0000-0000606E0000}"/>
    <cellStyle name="Input 3 3 6 2" xfId="28262" xr:uid="{00000000-0005-0000-0000-0000616E0000}"/>
    <cellStyle name="Input 3 3 6 2 2" xfId="28263" xr:uid="{00000000-0005-0000-0000-0000626E0000}"/>
    <cellStyle name="Input 3 3 6 2 2 2" xfId="28264" xr:uid="{00000000-0005-0000-0000-0000636E0000}"/>
    <cellStyle name="Input 3 3 6 2 2 3" xfId="28265" xr:uid="{00000000-0005-0000-0000-0000646E0000}"/>
    <cellStyle name="Input 3 3 6 2 2 4" xfId="28266" xr:uid="{00000000-0005-0000-0000-0000656E0000}"/>
    <cellStyle name="Input 3 3 6 2 2 5" xfId="28267" xr:uid="{00000000-0005-0000-0000-0000666E0000}"/>
    <cellStyle name="Input 3 3 6 2 2 6" xfId="28268" xr:uid="{00000000-0005-0000-0000-0000676E0000}"/>
    <cellStyle name="Input 3 3 6 2 3" xfId="28269" xr:uid="{00000000-0005-0000-0000-0000686E0000}"/>
    <cellStyle name="Input 3 3 6 2 4" xfId="28270" xr:uid="{00000000-0005-0000-0000-0000696E0000}"/>
    <cellStyle name="Input 3 3 6 2 5" xfId="28271" xr:uid="{00000000-0005-0000-0000-00006A6E0000}"/>
    <cellStyle name="Input 3 3 6 2 6" xfId="28272" xr:uid="{00000000-0005-0000-0000-00006B6E0000}"/>
    <cellStyle name="Input 3 3 6 3" xfId="28273" xr:uid="{00000000-0005-0000-0000-00006C6E0000}"/>
    <cellStyle name="Input 3 3 6 3 2" xfId="28274" xr:uid="{00000000-0005-0000-0000-00006D6E0000}"/>
    <cellStyle name="Input 3 3 6 3 2 2" xfId="28275" xr:uid="{00000000-0005-0000-0000-00006E6E0000}"/>
    <cellStyle name="Input 3 3 6 3 2 3" xfId="28276" xr:uid="{00000000-0005-0000-0000-00006F6E0000}"/>
    <cellStyle name="Input 3 3 6 3 2 4" xfId="28277" xr:uid="{00000000-0005-0000-0000-0000706E0000}"/>
    <cellStyle name="Input 3 3 6 3 2 5" xfId="28278" xr:uid="{00000000-0005-0000-0000-0000716E0000}"/>
    <cellStyle name="Input 3 3 6 3 2 6" xfId="28279" xr:uid="{00000000-0005-0000-0000-0000726E0000}"/>
    <cellStyle name="Input 3 3 6 3 3" xfId="28280" xr:uid="{00000000-0005-0000-0000-0000736E0000}"/>
    <cellStyle name="Input 3 3 6 3 4" xfId="28281" xr:uid="{00000000-0005-0000-0000-0000746E0000}"/>
    <cellStyle name="Input 3 3 6 3 5" xfId="28282" xr:uid="{00000000-0005-0000-0000-0000756E0000}"/>
    <cellStyle name="Input 3 3 6 3 6" xfId="28283" xr:uid="{00000000-0005-0000-0000-0000766E0000}"/>
    <cellStyle name="Input 3 3 6 4" xfId="28284" xr:uid="{00000000-0005-0000-0000-0000776E0000}"/>
    <cellStyle name="Input 3 3 6 4 2" xfId="28285" xr:uid="{00000000-0005-0000-0000-0000786E0000}"/>
    <cellStyle name="Input 3 3 6 4 3" xfId="28286" xr:uid="{00000000-0005-0000-0000-0000796E0000}"/>
    <cellStyle name="Input 3 3 6 4 4" xfId="28287" xr:uid="{00000000-0005-0000-0000-00007A6E0000}"/>
    <cellStyle name="Input 3 3 6 4 5" xfId="28288" xr:uid="{00000000-0005-0000-0000-00007B6E0000}"/>
    <cellStyle name="Input 3 3 6 4 6" xfId="28289" xr:uid="{00000000-0005-0000-0000-00007C6E0000}"/>
    <cellStyle name="Input 3 3 6 5" xfId="28290" xr:uid="{00000000-0005-0000-0000-00007D6E0000}"/>
    <cellStyle name="Input 3 3 6 6" xfId="28291" xr:uid="{00000000-0005-0000-0000-00007E6E0000}"/>
    <cellStyle name="Input 3 3 6 7" xfId="28292" xr:uid="{00000000-0005-0000-0000-00007F6E0000}"/>
    <cellStyle name="Input 3 3 6 8" xfId="28293" xr:uid="{00000000-0005-0000-0000-0000806E0000}"/>
    <cellStyle name="Input 3 3 7" xfId="28294" xr:uid="{00000000-0005-0000-0000-0000816E0000}"/>
    <cellStyle name="Input 3 3 7 2" xfId="28295" xr:uid="{00000000-0005-0000-0000-0000826E0000}"/>
    <cellStyle name="Input 3 3 7 2 2" xfId="28296" xr:uid="{00000000-0005-0000-0000-0000836E0000}"/>
    <cellStyle name="Input 3 3 7 2 3" xfId="28297" xr:uid="{00000000-0005-0000-0000-0000846E0000}"/>
    <cellStyle name="Input 3 3 7 2 4" xfId="28298" xr:uid="{00000000-0005-0000-0000-0000856E0000}"/>
    <cellStyle name="Input 3 3 7 2 5" xfId="28299" xr:uid="{00000000-0005-0000-0000-0000866E0000}"/>
    <cellStyle name="Input 3 3 7 2 6" xfId="28300" xr:uid="{00000000-0005-0000-0000-0000876E0000}"/>
    <cellStyle name="Input 3 3 7 3" xfId="28301" xr:uid="{00000000-0005-0000-0000-0000886E0000}"/>
    <cellStyle name="Input 3 3 7 4" xfId="28302" xr:uid="{00000000-0005-0000-0000-0000896E0000}"/>
    <cellStyle name="Input 3 3 7 5" xfId="28303" xr:uid="{00000000-0005-0000-0000-00008A6E0000}"/>
    <cellStyle name="Input 3 3 7 6" xfId="28304" xr:uid="{00000000-0005-0000-0000-00008B6E0000}"/>
    <cellStyle name="Input 3 3 8" xfId="28305" xr:uid="{00000000-0005-0000-0000-00008C6E0000}"/>
    <cellStyle name="Input 3 3 8 2" xfId="28306" xr:uid="{00000000-0005-0000-0000-00008D6E0000}"/>
    <cellStyle name="Input 3 3 8 2 2" xfId="28307" xr:uid="{00000000-0005-0000-0000-00008E6E0000}"/>
    <cellStyle name="Input 3 3 8 2 3" xfId="28308" xr:uid="{00000000-0005-0000-0000-00008F6E0000}"/>
    <cellStyle name="Input 3 3 8 2 4" xfId="28309" xr:uid="{00000000-0005-0000-0000-0000906E0000}"/>
    <cellStyle name="Input 3 3 8 2 5" xfId="28310" xr:uid="{00000000-0005-0000-0000-0000916E0000}"/>
    <cellStyle name="Input 3 3 8 2 6" xfId="28311" xr:uid="{00000000-0005-0000-0000-0000926E0000}"/>
    <cellStyle name="Input 3 3 8 3" xfId="28312" xr:uid="{00000000-0005-0000-0000-0000936E0000}"/>
    <cellStyle name="Input 3 3 8 4" xfId="28313" xr:uid="{00000000-0005-0000-0000-0000946E0000}"/>
    <cellStyle name="Input 3 3 8 5" xfId="28314" xr:uid="{00000000-0005-0000-0000-0000956E0000}"/>
    <cellStyle name="Input 3 3 8 6" xfId="28315" xr:uid="{00000000-0005-0000-0000-0000966E0000}"/>
    <cellStyle name="Input 3 3 9" xfId="28316" xr:uid="{00000000-0005-0000-0000-0000976E0000}"/>
    <cellStyle name="Input 3 3 9 2" xfId="28317" xr:uid="{00000000-0005-0000-0000-0000986E0000}"/>
    <cellStyle name="Input 3 3 9 3" xfId="28318" xr:uid="{00000000-0005-0000-0000-0000996E0000}"/>
    <cellStyle name="Input 3 3 9 4" xfId="28319" xr:uid="{00000000-0005-0000-0000-00009A6E0000}"/>
    <cellStyle name="Input 3 3 9 5" xfId="28320" xr:uid="{00000000-0005-0000-0000-00009B6E0000}"/>
    <cellStyle name="Input 3 3 9 6" xfId="28321" xr:uid="{00000000-0005-0000-0000-00009C6E0000}"/>
    <cellStyle name="Input 3 4" xfId="28322" xr:uid="{00000000-0005-0000-0000-00009D6E0000}"/>
    <cellStyle name="Input 3 4 10" xfId="28323" xr:uid="{00000000-0005-0000-0000-00009E6E0000}"/>
    <cellStyle name="Input 3 4 10 2" xfId="28324" xr:uid="{00000000-0005-0000-0000-00009F6E0000}"/>
    <cellStyle name="Input 3 4 10 3" xfId="28325" xr:uid="{00000000-0005-0000-0000-0000A06E0000}"/>
    <cellStyle name="Input 3 4 10 4" xfId="28326" xr:uid="{00000000-0005-0000-0000-0000A16E0000}"/>
    <cellStyle name="Input 3 4 10 5" xfId="28327" xr:uid="{00000000-0005-0000-0000-0000A26E0000}"/>
    <cellStyle name="Input 3 4 10 6" xfId="28328" xr:uid="{00000000-0005-0000-0000-0000A36E0000}"/>
    <cellStyle name="Input 3 4 11" xfId="28329" xr:uid="{00000000-0005-0000-0000-0000A46E0000}"/>
    <cellStyle name="Input 3 4 12" xfId="28330" xr:uid="{00000000-0005-0000-0000-0000A56E0000}"/>
    <cellStyle name="Input 3 4 13" xfId="28331" xr:uid="{00000000-0005-0000-0000-0000A66E0000}"/>
    <cellStyle name="Input 3 4 14" xfId="28332" xr:uid="{00000000-0005-0000-0000-0000A76E0000}"/>
    <cellStyle name="Input 3 4 2" xfId="28333" xr:uid="{00000000-0005-0000-0000-0000A86E0000}"/>
    <cellStyle name="Input 3 4 2 10" xfId="28334" xr:uid="{00000000-0005-0000-0000-0000A96E0000}"/>
    <cellStyle name="Input 3 4 2 11" xfId="28335" xr:uid="{00000000-0005-0000-0000-0000AA6E0000}"/>
    <cellStyle name="Input 3 4 2 12" xfId="28336" xr:uid="{00000000-0005-0000-0000-0000AB6E0000}"/>
    <cellStyle name="Input 3 4 2 13" xfId="28337" xr:uid="{00000000-0005-0000-0000-0000AC6E0000}"/>
    <cellStyle name="Input 3 4 2 2" xfId="28338" xr:uid="{00000000-0005-0000-0000-0000AD6E0000}"/>
    <cellStyle name="Input 3 4 2 2 2" xfId="28339" xr:uid="{00000000-0005-0000-0000-0000AE6E0000}"/>
    <cellStyle name="Input 3 4 2 2 2 2" xfId="28340" xr:uid="{00000000-0005-0000-0000-0000AF6E0000}"/>
    <cellStyle name="Input 3 4 2 2 2 2 2" xfId="28341" xr:uid="{00000000-0005-0000-0000-0000B06E0000}"/>
    <cellStyle name="Input 3 4 2 2 2 2 3" xfId="28342" xr:uid="{00000000-0005-0000-0000-0000B16E0000}"/>
    <cellStyle name="Input 3 4 2 2 2 2 4" xfId="28343" xr:uid="{00000000-0005-0000-0000-0000B26E0000}"/>
    <cellStyle name="Input 3 4 2 2 2 2 5" xfId="28344" xr:uid="{00000000-0005-0000-0000-0000B36E0000}"/>
    <cellStyle name="Input 3 4 2 2 2 2 6" xfId="28345" xr:uid="{00000000-0005-0000-0000-0000B46E0000}"/>
    <cellStyle name="Input 3 4 2 2 2 3" xfId="28346" xr:uid="{00000000-0005-0000-0000-0000B56E0000}"/>
    <cellStyle name="Input 3 4 2 2 2 4" xfId="28347" xr:uid="{00000000-0005-0000-0000-0000B66E0000}"/>
    <cellStyle name="Input 3 4 2 2 2 5" xfId="28348" xr:uid="{00000000-0005-0000-0000-0000B76E0000}"/>
    <cellStyle name="Input 3 4 2 2 2 6" xfId="28349" xr:uid="{00000000-0005-0000-0000-0000B86E0000}"/>
    <cellStyle name="Input 3 4 2 2 3" xfId="28350" xr:uid="{00000000-0005-0000-0000-0000B96E0000}"/>
    <cellStyle name="Input 3 4 2 2 3 2" xfId="28351" xr:uid="{00000000-0005-0000-0000-0000BA6E0000}"/>
    <cellStyle name="Input 3 4 2 2 3 2 2" xfId="28352" xr:uid="{00000000-0005-0000-0000-0000BB6E0000}"/>
    <cellStyle name="Input 3 4 2 2 3 2 3" xfId="28353" xr:uid="{00000000-0005-0000-0000-0000BC6E0000}"/>
    <cellStyle name="Input 3 4 2 2 3 2 4" xfId="28354" xr:uid="{00000000-0005-0000-0000-0000BD6E0000}"/>
    <cellStyle name="Input 3 4 2 2 3 2 5" xfId="28355" xr:uid="{00000000-0005-0000-0000-0000BE6E0000}"/>
    <cellStyle name="Input 3 4 2 2 3 2 6" xfId="28356" xr:uid="{00000000-0005-0000-0000-0000BF6E0000}"/>
    <cellStyle name="Input 3 4 2 2 3 3" xfId="28357" xr:uid="{00000000-0005-0000-0000-0000C06E0000}"/>
    <cellStyle name="Input 3 4 2 2 3 4" xfId="28358" xr:uid="{00000000-0005-0000-0000-0000C16E0000}"/>
    <cellStyle name="Input 3 4 2 2 3 5" xfId="28359" xr:uid="{00000000-0005-0000-0000-0000C26E0000}"/>
    <cellStyle name="Input 3 4 2 2 3 6" xfId="28360" xr:uid="{00000000-0005-0000-0000-0000C36E0000}"/>
    <cellStyle name="Input 3 4 2 2 4" xfId="28361" xr:uid="{00000000-0005-0000-0000-0000C46E0000}"/>
    <cellStyle name="Input 3 4 2 2 4 2" xfId="28362" xr:uid="{00000000-0005-0000-0000-0000C56E0000}"/>
    <cellStyle name="Input 3 4 2 2 4 3" xfId="28363" xr:uid="{00000000-0005-0000-0000-0000C66E0000}"/>
    <cellStyle name="Input 3 4 2 2 4 4" xfId="28364" xr:uid="{00000000-0005-0000-0000-0000C76E0000}"/>
    <cellStyle name="Input 3 4 2 2 4 5" xfId="28365" xr:uid="{00000000-0005-0000-0000-0000C86E0000}"/>
    <cellStyle name="Input 3 4 2 2 4 6" xfId="28366" xr:uid="{00000000-0005-0000-0000-0000C96E0000}"/>
    <cellStyle name="Input 3 4 2 2 5" xfId="28367" xr:uid="{00000000-0005-0000-0000-0000CA6E0000}"/>
    <cellStyle name="Input 3 4 2 2 6" xfId="28368" xr:uid="{00000000-0005-0000-0000-0000CB6E0000}"/>
    <cellStyle name="Input 3 4 2 2 7" xfId="28369" xr:uid="{00000000-0005-0000-0000-0000CC6E0000}"/>
    <cellStyle name="Input 3 4 2 2 8" xfId="28370" xr:uid="{00000000-0005-0000-0000-0000CD6E0000}"/>
    <cellStyle name="Input 3 4 2 3" xfId="28371" xr:uid="{00000000-0005-0000-0000-0000CE6E0000}"/>
    <cellStyle name="Input 3 4 2 3 2" xfId="28372" xr:uid="{00000000-0005-0000-0000-0000CF6E0000}"/>
    <cellStyle name="Input 3 4 2 3 2 2" xfId="28373" xr:uid="{00000000-0005-0000-0000-0000D06E0000}"/>
    <cellStyle name="Input 3 4 2 3 2 2 2" xfId="28374" xr:uid="{00000000-0005-0000-0000-0000D16E0000}"/>
    <cellStyle name="Input 3 4 2 3 2 2 3" xfId="28375" xr:uid="{00000000-0005-0000-0000-0000D26E0000}"/>
    <cellStyle name="Input 3 4 2 3 2 2 4" xfId="28376" xr:uid="{00000000-0005-0000-0000-0000D36E0000}"/>
    <cellStyle name="Input 3 4 2 3 2 2 5" xfId="28377" xr:uid="{00000000-0005-0000-0000-0000D46E0000}"/>
    <cellStyle name="Input 3 4 2 3 2 2 6" xfId="28378" xr:uid="{00000000-0005-0000-0000-0000D56E0000}"/>
    <cellStyle name="Input 3 4 2 3 2 3" xfId="28379" xr:uid="{00000000-0005-0000-0000-0000D66E0000}"/>
    <cellStyle name="Input 3 4 2 3 2 4" xfId="28380" xr:uid="{00000000-0005-0000-0000-0000D76E0000}"/>
    <cellStyle name="Input 3 4 2 3 2 5" xfId="28381" xr:uid="{00000000-0005-0000-0000-0000D86E0000}"/>
    <cellStyle name="Input 3 4 2 3 2 6" xfId="28382" xr:uid="{00000000-0005-0000-0000-0000D96E0000}"/>
    <cellStyle name="Input 3 4 2 3 3" xfId="28383" xr:uid="{00000000-0005-0000-0000-0000DA6E0000}"/>
    <cellStyle name="Input 3 4 2 3 3 2" xfId="28384" xr:uid="{00000000-0005-0000-0000-0000DB6E0000}"/>
    <cellStyle name="Input 3 4 2 3 3 2 2" xfId="28385" xr:uid="{00000000-0005-0000-0000-0000DC6E0000}"/>
    <cellStyle name="Input 3 4 2 3 3 2 3" xfId="28386" xr:uid="{00000000-0005-0000-0000-0000DD6E0000}"/>
    <cellStyle name="Input 3 4 2 3 3 2 4" xfId="28387" xr:uid="{00000000-0005-0000-0000-0000DE6E0000}"/>
    <cellStyle name="Input 3 4 2 3 3 2 5" xfId="28388" xr:uid="{00000000-0005-0000-0000-0000DF6E0000}"/>
    <cellStyle name="Input 3 4 2 3 3 2 6" xfId="28389" xr:uid="{00000000-0005-0000-0000-0000E06E0000}"/>
    <cellStyle name="Input 3 4 2 3 3 3" xfId="28390" xr:uid="{00000000-0005-0000-0000-0000E16E0000}"/>
    <cellStyle name="Input 3 4 2 3 3 4" xfId="28391" xr:uid="{00000000-0005-0000-0000-0000E26E0000}"/>
    <cellStyle name="Input 3 4 2 3 3 5" xfId="28392" xr:uid="{00000000-0005-0000-0000-0000E36E0000}"/>
    <cellStyle name="Input 3 4 2 3 3 6" xfId="28393" xr:uid="{00000000-0005-0000-0000-0000E46E0000}"/>
    <cellStyle name="Input 3 4 2 3 4" xfId="28394" xr:uid="{00000000-0005-0000-0000-0000E56E0000}"/>
    <cellStyle name="Input 3 4 2 3 4 2" xfId="28395" xr:uid="{00000000-0005-0000-0000-0000E66E0000}"/>
    <cellStyle name="Input 3 4 2 3 4 3" xfId="28396" xr:uid="{00000000-0005-0000-0000-0000E76E0000}"/>
    <cellStyle name="Input 3 4 2 3 4 4" xfId="28397" xr:uid="{00000000-0005-0000-0000-0000E86E0000}"/>
    <cellStyle name="Input 3 4 2 3 4 5" xfId="28398" xr:uid="{00000000-0005-0000-0000-0000E96E0000}"/>
    <cellStyle name="Input 3 4 2 3 4 6" xfId="28399" xr:uid="{00000000-0005-0000-0000-0000EA6E0000}"/>
    <cellStyle name="Input 3 4 2 3 5" xfId="28400" xr:uid="{00000000-0005-0000-0000-0000EB6E0000}"/>
    <cellStyle name="Input 3 4 2 3 6" xfId="28401" xr:uid="{00000000-0005-0000-0000-0000EC6E0000}"/>
    <cellStyle name="Input 3 4 2 3 7" xfId="28402" xr:uid="{00000000-0005-0000-0000-0000ED6E0000}"/>
    <cellStyle name="Input 3 4 2 3 8" xfId="28403" xr:uid="{00000000-0005-0000-0000-0000EE6E0000}"/>
    <cellStyle name="Input 3 4 2 4" xfId="28404" xr:uid="{00000000-0005-0000-0000-0000EF6E0000}"/>
    <cellStyle name="Input 3 4 2 4 2" xfId="28405" xr:uid="{00000000-0005-0000-0000-0000F06E0000}"/>
    <cellStyle name="Input 3 4 2 4 2 2" xfId="28406" xr:uid="{00000000-0005-0000-0000-0000F16E0000}"/>
    <cellStyle name="Input 3 4 2 4 2 2 2" xfId="28407" xr:uid="{00000000-0005-0000-0000-0000F26E0000}"/>
    <cellStyle name="Input 3 4 2 4 2 2 3" xfId="28408" xr:uid="{00000000-0005-0000-0000-0000F36E0000}"/>
    <cellStyle name="Input 3 4 2 4 2 2 4" xfId="28409" xr:uid="{00000000-0005-0000-0000-0000F46E0000}"/>
    <cellStyle name="Input 3 4 2 4 2 2 5" xfId="28410" xr:uid="{00000000-0005-0000-0000-0000F56E0000}"/>
    <cellStyle name="Input 3 4 2 4 2 2 6" xfId="28411" xr:uid="{00000000-0005-0000-0000-0000F66E0000}"/>
    <cellStyle name="Input 3 4 2 4 2 3" xfId="28412" xr:uid="{00000000-0005-0000-0000-0000F76E0000}"/>
    <cellStyle name="Input 3 4 2 4 2 4" xfId="28413" xr:uid="{00000000-0005-0000-0000-0000F86E0000}"/>
    <cellStyle name="Input 3 4 2 4 2 5" xfId="28414" xr:uid="{00000000-0005-0000-0000-0000F96E0000}"/>
    <cellStyle name="Input 3 4 2 4 2 6" xfId="28415" xr:uid="{00000000-0005-0000-0000-0000FA6E0000}"/>
    <cellStyle name="Input 3 4 2 4 3" xfId="28416" xr:uid="{00000000-0005-0000-0000-0000FB6E0000}"/>
    <cellStyle name="Input 3 4 2 4 3 2" xfId="28417" xr:uid="{00000000-0005-0000-0000-0000FC6E0000}"/>
    <cellStyle name="Input 3 4 2 4 3 2 2" xfId="28418" xr:uid="{00000000-0005-0000-0000-0000FD6E0000}"/>
    <cellStyle name="Input 3 4 2 4 3 2 3" xfId="28419" xr:uid="{00000000-0005-0000-0000-0000FE6E0000}"/>
    <cellStyle name="Input 3 4 2 4 3 2 4" xfId="28420" xr:uid="{00000000-0005-0000-0000-0000FF6E0000}"/>
    <cellStyle name="Input 3 4 2 4 3 2 5" xfId="28421" xr:uid="{00000000-0005-0000-0000-0000006F0000}"/>
    <cellStyle name="Input 3 4 2 4 3 2 6" xfId="28422" xr:uid="{00000000-0005-0000-0000-0000016F0000}"/>
    <cellStyle name="Input 3 4 2 4 3 3" xfId="28423" xr:uid="{00000000-0005-0000-0000-0000026F0000}"/>
    <cellStyle name="Input 3 4 2 4 3 4" xfId="28424" xr:uid="{00000000-0005-0000-0000-0000036F0000}"/>
    <cellStyle name="Input 3 4 2 4 3 5" xfId="28425" xr:uid="{00000000-0005-0000-0000-0000046F0000}"/>
    <cellStyle name="Input 3 4 2 4 3 6" xfId="28426" xr:uid="{00000000-0005-0000-0000-0000056F0000}"/>
    <cellStyle name="Input 3 4 2 4 4" xfId="28427" xr:uid="{00000000-0005-0000-0000-0000066F0000}"/>
    <cellStyle name="Input 3 4 2 4 4 2" xfId="28428" xr:uid="{00000000-0005-0000-0000-0000076F0000}"/>
    <cellStyle name="Input 3 4 2 4 4 3" xfId="28429" xr:uid="{00000000-0005-0000-0000-0000086F0000}"/>
    <cellStyle name="Input 3 4 2 4 4 4" xfId="28430" xr:uid="{00000000-0005-0000-0000-0000096F0000}"/>
    <cellStyle name="Input 3 4 2 4 4 5" xfId="28431" xr:uid="{00000000-0005-0000-0000-00000A6F0000}"/>
    <cellStyle name="Input 3 4 2 4 4 6" xfId="28432" xr:uid="{00000000-0005-0000-0000-00000B6F0000}"/>
    <cellStyle name="Input 3 4 2 4 5" xfId="28433" xr:uid="{00000000-0005-0000-0000-00000C6F0000}"/>
    <cellStyle name="Input 3 4 2 4 6" xfId="28434" xr:uid="{00000000-0005-0000-0000-00000D6F0000}"/>
    <cellStyle name="Input 3 4 2 4 7" xfId="28435" xr:uid="{00000000-0005-0000-0000-00000E6F0000}"/>
    <cellStyle name="Input 3 4 2 4 8" xfId="28436" xr:uid="{00000000-0005-0000-0000-00000F6F0000}"/>
    <cellStyle name="Input 3 4 2 5" xfId="28437" xr:uid="{00000000-0005-0000-0000-0000106F0000}"/>
    <cellStyle name="Input 3 4 2 5 2" xfId="28438" xr:uid="{00000000-0005-0000-0000-0000116F0000}"/>
    <cellStyle name="Input 3 4 2 5 2 2" xfId="28439" xr:uid="{00000000-0005-0000-0000-0000126F0000}"/>
    <cellStyle name="Input 3 4 2 5 2 2 2" xfId="28440" xr:uid="{00000000-0005-0000-0000-0000136F0000}"/>
    <cellStyle name="Input 3 4 2 5 2 2 3" xfId="28441" xr:uid="{00000000-0005-0000-0000-0000146F0000}"/>
    <cellStyle name="Input 3 4 2 5 2 2 4" xfId="28442" xr:uid="{00000000-0005-0000-0000-0000156F0000}"/>
    <cellStyle name="Input 3 4 2 5 2 2 5" xfId="28443" xr:uid="{00000000-0005-0000-0000-0000166F0000}"/>
    <cellStyle name="Input 3 4 2 5 2 2 6" xfId="28444" xr:uid="{00000000-0005-0000-0000-0000176F0000}"/>
    <cellStyle name="Input 3 4 2 5 2 3" xfId="28445" xr:uid="{00000000-0005-0000-0000-0000186F0000}"/>
    <cellStyle name="Input 3 4 2 5 2 4" xfId="28446" xr:uid="{00000000-0005-0000-0000-0000196F0000}"/>
    <cellStyle name="Input 3 4 2 5 2 5" xfId="28447" xr:uid="{00000000-0005-0000-0000-00001A6F0000}"/>
    <cellStyle name="Input 3 4 2 5 2 6" xfId="28448" xr:uid="{00000000-0005-0000-0000-00001B6F0000}"/>
    <cellStyle name="Input 3 4 2 5 3" xfId="28449" xr:uid="{00000000-0005-0000-0000-00001C6F0000}"/>
    <cellStyle name="Input 3 4 2 5 3 2" xfId="28450" xr:uid="{00000000-0005-0000-0000-00001D6F0000}"/>
    <cellStyle name="Input 3 4 2 5 3 2 2" xfId="28451" xr:uid="{00000000-0005-0000-0000-00001E6F0000}"/>
    <cellStyle name="Input 3 4 2 5 3 2 3" xfId="28452" xr:uid="{00000000-0005-0000-0000-00001F6F0000}"/>
    <cellStyle name="Input 3 4 2 5 3 2 4" xfId="28453" xr:uid="{00000000-0005-0000-0000-0000206F0000}"/>
    <cellStyle name="Input 3 4 2 5 3 2 5" xfId="28454" xr:uid="{00000000-0005-0000-0000-0000216F0000}"/>
    <cellStyle name="Input 3 4 2 5 3 2 6" xfId="28455" xr:uid="{00000000-0005-0000-0000-0000226F0000}"/>
    <cellStyle name="Input 3 4 2 5 3 3" xfId="28456" xr:uid="{00000000-0005-0000-0000-0000236F0000}"/>
    <cellStyle name="Input 3 4 2 5 3 4" xfId="28457" xr:uid="{00000000-0005-0000-0000-0000246F0000}"/>
    <cellStyle name="Input 3 4 2 5 3 5" xfId="28458" xr:uid="{00000000-0005-0000-0000-0000256F0000}"/>
    <cellStyle name="Input 3 4 2 5 3 6" xfId="28459" xr:uid="{00000000-0005-0000-0000-0000266F0000}"/>
    <cellStyle name="Input 3 4 2 5 4" xfId="28460" xr:uid="{00000000-0005-0000-0000-0000276F0000}"/>
    <cellStyle name="Input 3 4 2 5 4 2" xfId="28461" xr:uid="{00000000-0005-0000-0000-0000286F0000}"/>
    <cellStyle name="Input 3 4 2 5 4 3" xfId="28462" xr:uid="{00000000-0005-0000-0000-0000296F0000}"/>
    <cellStyle name="Input 3 4 2 5 4 4" xfId="28463" xr:uid="{00000000-0005-0000-0000-00002A6F0000}"/>
    <cellStyle name="Input 3 4 2 5 4 5" xfId="28464" xr:uid="{00000000-0005-0000-0000-00002B6F0000}"/>
    <cellStyle name="Input 3 4 2 5 4 6" xfId="28465" xr:uid="{00000000-0005-0000-0000-00002C6F0000}"/>
    <cellStyle name="Input 3 4 2 5 5" xfId="28466" xr:uid="{00000000-0005-0000-0000-00002D6F0000}"/>
    <cellStyle name="Input 3 4 2 5 6" xfId="28467" xr:uid="{00000000-0005-0000-0000-00002E6F0000}"/>
    <cellStyle name="Input 3 4 2 5 7" xfId="28468" xr:uid="{00000000-0005-0000-0000-00002F6F0000}"/>
    <cellStyle name="Input 3 4 2 5 8" xfId="28469" xr:uid="{00000000-0005-0000-0000-0000306F0000}"/>
    <cellStyle name="Input 3 4 2 6" xfId="28470" xr:uid="{00000000-0005-0000-0000-0000316F0000}"/>
    <cellStyle name="Input 3 4 2 6 2" xfId="28471" xr:uid="{00000000-0005-0000-0000-0000326F0000}"/>
    <cellStyle name="Input 3 4 2 6 2 2" xfId="28472" xr:uid="{00000000-0005-0000-0000-0000336F0000}"/>
    <cellStyle name="Input 3 4 2 6 2 2 2" xfId="28473" xr:uid="{00000000-0005-0000-0000-0000346F0000}"/>
    <cellStyle name="Input 3 4 2 6 2 2 3" xfId="28474" xr:uid="{00000000-0005-0000-0000-0000356F0000}"/>
    <cellStyle name="Input 3 4 2 6 2 2 4" xfId="28475" xr:uid="{00000000-0005-0000-0000-0000366F0000}"/>
    <cellStyle name="Input 3 4 2 6 2 2 5" xfId="28476" xr:uid="{00000000-0005-0000-0000-0000376F0000}"/>
    <cellStyle name="Input 3 4 2 6 2 2 6" xfId="28477" xr:uid="{00000000-0005-0000-0000-0000386F0000}"/>
    <cellStyle name="Input 3 4 2 6 2 3" xfId="28478" xr:uid="{00000000-0005-0000-0000-0000396F0000}"/>
    <cellStyle name="Input 3 4 2 6 2 4" xfId="28479" xr:uid="{00000000-0005-0000-0000-00003A6F0000}"/>
    <cellStyle name="Input 3 4 2 6 2 5" xfId="28480" xr:uid="{00000000-0005-0000-0000-00003B6F0000}"/>
    <cellStyle name="Input 3 4 2 6 2 6" xfId="28481" xr:uid="{00000000-0005-0000-0000-00003C6F0000}"/>
    <cellStyle name="Input 3 4 2 6 3" xfId="28482" xr:uid="{00000000-0005-0000-0000-00003D6F0000}"/>
    <cellStyle name="Input 3 4 2 6 3 2" xfId="28483" xr:uid="{00000000-0005-0000-0000-00003E6F0000}"/>
    <cellStyle name="Input 3 4 2 6 3 2 2" xfId="28484" xr:uid="{00000000-0005-0000-0000-00003F6F0000}"/>
    <cellStyle name="Input 3 4 2 6 3 2 3" xfId="28485" xr:uid="{00000000-0005-0000-0000-0000406F0000}"/>
    <cellStyle name="Input 3 4 2 6 3 2 4" xfId="28486" xr:uid="{00000000-0005-0000-0000-0000416F0000}"/>
    <cellStyle name="Input 3 4 2 6 3 2 5" xfId="28487" xr:uid="{00000000-0005-0000-0000-0000426F0000}"/>
    <cellStyle name="Input 3 4 2 6 3 2 6" xfId="28488" xr:uid="{00000000-0005-0000-0000-0000436F0000}"/>
    <cellStyle name="Input 3 4 2 6 3 3" xfId="28489" xr:uid="{00000000-0005-0000-0000-0000446F0000}"/>
    <cellStyle name="Input 3 4 2 6 3 4" xfId="28490" xr:uid="{00000000-0005-0000-0000-0000456F0000}"/>
    <cellStyle name="Input 3 4 2 6 3 5" xfId="28491" xr:uid="{00000000-0005-0000-0000-0000466F0000}"/>
    <cellStyle name="Input 3 4 2 6 3 6" xfId="28492" xr:uid="{00000000-0005-0000-0000-0000476F0000}"/>
    <cellStyle name="Input 3 4 2 6 4" xfId="28493" xr:uid="{00000000-0005-0000-0000-0000486F0000}"/>
    <cellStyle name="Input 3 4 2 6 4 2" xfId="28494" xr:uid="{00000000-0005-0000-0000-0000496F0000}"/>
    <cellStyle name="Input 3 4 2 6 4 3" xfId="28495" xr:uid="{00000000-0005-0000-0000-00004A6F0000}"/>
    <cellStyle name="Input 3 4 2 6 4 4" xfId="28496" xr:uid="{00000000-0005-0000-0000-00004B6F0000}"/>
    <cellStyle name="Input 3 4 2 6 4 5" xfId="28497" xr:uid="{00000000-0005-0000-0000-00004C6F0000}"/>
    <cellStyle name="Input 3 4 2 6 4 6" xfId="28498" xr:uid="{00000000-0005-0000-0000-00004D6F0000}"/>
    <cellStyle name="Input 3 4 2 6 5" xfId="28499" xr:uid="{00000000-0005-0000-0000-00004E6F0000}"/>
    <cellStyle name="Input 3 4 2 6 6" xfId="28500" xr:uid="{00000000-0005-0000-0000-00004F6F0000}"/>
    <cellStyle name="Input 3 4 2 6 7" xfId="28501" xr:uid="{00000000-0005-0000-0000-0000506F0000}"/>
    <cellStyle name="Input 3 4 2 6 8" xfId="28502" xr:uid="{00000000-0005-0000-0000-0000516F0000}"/>
    <cellStyle name="Input 3 4 2 7" xfId="28503" xr:uid="{00000000-0005-0000-0000-0000526F0000}"/>
    <cellStyle name="Input 3 4 2 7 2" xfId="28504" xr:uid="{00000000-0005-0000-0000-0000536F0000}"/>
    <cellStyle name="Input 3 4 2 7 2 2" xfId="28505" xr:uid="{00000000-0005-0000-0000-0000546F0000}"/>
    <cellStyle name="Input 3 4 2 7 2 3" xfId="28506" xr:uid="{00000000-0005-0000-0000-0000556F0000}"/>
    <cellStyle name="Input 3 4 2 7 2 4" xfId="28507" xr:uid="{00000000-0005-0000-0000-0000566F0000}"/>
    <cellStyle name="Input 3 4 2 7 2 5" xfId="28508" xr:uid="{00000000-0005-0000-0000-0000576F0000}"/>
    <cellStyle name="Input 3 4 2 7 2 6" xfId="28509" xr:uid="{00000000-0005-0000-0000-0000586F0000}"/>
    <cellStyle name="Input 3 4 2 7 3" xfId="28510" xr:uid="{00000000-0005-0000-0000-0000596F0000}"/>
    <cellStyle name="Input 3 4 2 7 4" xfId="28511" xr:uid="{00000000-0005-0000-0000-00005A6F0000}"/>
    <cellStyle name="Input 3 4 2 7 5" xfId="28512" xr:uid="{00000000-0005-0000-0000-00005B6F0000}"/>
    <cellStyle name="Input 3 4 2 7 6" xfId="28513" xr:uid="{00000000-0005-0000-0000-00005C6F0000}"/>
    <cellStyle name="Input 3 4 2 8" xfId="28514" xr:uid="{00000000-0005-0000-0000-00005D6F0000}"/>
    <cellStyle name="Input 3 4 2 8 2" xfId="28515" xr:uid="{00000000-0005-0000-0000-00005E6F0000}"/>
    <cellStyle name="Input 3 4 2 8 2 2" xfId="28516" xr:uid="{00000000-0005-0000-0000-00005F6F0000}"/>
    <cellStyle name="Input 3 4 2 8 2 3" xfId="28517" xr:uid="{00000000-0005-0000-0000-0000606F0000}"/>
    <cellStyle name="Input 3 4 2 8 2 4" xfId="28518" xr:uid="{00000000-0005-0000-0000-0000616F0000}"/>
    <cellStyle name="Input 3 4 2 8 2 5" xfId="28519" xr:uid="{00000000-0005-0000-0000-0000626F0000}"/>
    <cellStyle name="Input 3 4 2 8 2 6" xfId="28520" xr:uid="{00000000-0005-0000-0000-0000636F0000}"/>
    <cellStyle name="Input 3 4 2 8 3" xfId="28521" xr:uid="{00000000-0005-0000-0000-0000646F0000}"/>
    <cellStyle name="Input 3 4 2 8 4" xfId="28522" xr:uid="{00000000-0005-0000-0000-0000656F0000}"/>
    <cellStyle name="Input 3 4 2 8 5" xfId="28523" xr:uid="{00000000-0005-0000-0000-0000666F0000}"/>
    <cellStyle name="Input 3 4 2 8 6" xfId="28524" xr:uid="{00000000-0005-0000-0000-0000676F0000}"/>
    <cellStyle name="Input 3 4 2 9" xfId="28525" xr:uid="{00000000-0005-0000-0000-0000686F0000}"/>
    <cellStyle name="Input 3 4 2 9 2" xfId="28526" xr:uid="{00000000-0005-0000-0000-0000696F0000}"/>
    <cellStyle name="Input 3 4 2 9 3" xfId="28527" xr:uid="{00000000-0005-0000-0000-00006A6F0000}"/>
    <cellStyle name="Input 3 4 2 9 4" xfId="28528" xr:uid="{00000000-0005-0000-0000-00006B6F0000}"/>
    <cellStyle name="Input 3 4 2 9 5" xfId="28529" xr:uid="{00000000-0005-0000-0000-00006C6F0000}"/>
    <cellStyle name="Input 3 4 2 9 6" xfId="28530" xr:uid="{00000000-0005-0000-0000-00006D6F0000}"/>
    <cellStyle name="Input 3 4 3" xfId="28531" xr:uid="{00000000-0005-0000-0000-00006E6F0000}"/>
    <cellStyle name="Input 3 4 3 2" xfId="28532" xr:uid="{00000000-0005-0000-0000-00006F6F0000}"/>
    <cellStyle name="Input 3 4 3 2 2" xfId="28533" xr:uid="{00000000-0005-0000-0000-0000706F0000}"/>
    <cellStyle name="Input 3 4 3 2 2 2" xfId="28534" xr:uid="{00000000-0005-0000-0000-0000716F0000}"/>
    <cellStyle name="Input 3 4 3 2 2 3" xfId="28535" xr:uid="{00000000-0005-0000-0000-0000726F0000}"/>
    <cellStyle name="Input 3 4 3 2 2 4" xfId="28536" xr:uid="{00000000-0005-0000-0000-0000736F0000}"/>
    <cellStyle name="Input 3 4 3 2 2 5" xfId="28537" xr:uid="{00000000-0005-0000-0000-0000746F0000}"/>
    <cellStyle name="Input 3 4 3 2 2 6" xfId="28538" xr:uid="{00000000-0005-0000-0000-0000756F0000}"/>
    <cellStyle name="Input 3 4 3 2 3" xfId="28539" xr:uid="{00000000-0005-0000-0000-0000766F0000}"/>
    <cellStyle name="Input 3 4 3 2 4" xfId="28540" xr:uid="{00000000-0005-0000-0000-0000776F0000}"/>
    <cellStyle name="Input 3 4 3 2 5" xfId="28541" xr:uid="{00000000-0005-0000-0000-0000786F0000}"/>
    <cellStyle name="Input 3 4 3 2 6" xfId="28542" xr:uid="{00000000-0005-0000-0000-0000796F0000}"/>
    <cellStyle name="Input 3 4 3 3" xfId="28543" xr:uid="{00000000-0005-0000-0000-00007A6F0000}"/>
    <cellStyle name="Input 3 4 3 3 2" xfId="28544" xr:uid="{00000000-0005-0000-0000-00007B6F0000}"/>
    <cellStyle name="Input 3 4 3 3 2 2" xfId="28545" xr:uid="{00000000-0005-0000-0000-00007C6F0000}"/>
    <cellStyle name="Input 3 4 3 3 2 3" xfId="28546" xr:uid="{00000000-0005-0000-0000-00007D6F0000}"/>
    <cellStyle name="Input 3 4 3 3 2 4" xfId="28547" xr:uid="{00000000-0005-0000-0000-00007E6F0000}"/>
    <cellStyle name="Input 3 4 3 3 2 5" xfId="28548" xr:uid="{00000000-0005-0000-0000-00007F6F0000}"/>
    <cellStyle name="Input 3 4 3 3 2 6" xfId="28549" xr:uid="{00000000-0005-0000-0000-0000806F0000}"/>
    <cellStyle name="Input 3 4 3 3 3" xfId="28550" xr:uid="{00000000-0005-0000-0000-0000816F0000}"/>
    <cellStyle name="Input 3 4 3 3 4" xfId="28551" xr:uid="{00000000-0005-0000-0000-0000826F0000}"/>
    <cellStyle name="Input 3 4 3 3 5" xfId="28552" xr:uid="{00000000-0005-0000-0000-0000836F0000}"/>
    <cellStyle name="Input 3 4 3 3 6" xfId="28553" xr:uid="{00000000-0005-0000-0000-0000846F0000}"/>
    <cellStyle name="Input 3 4 3 4" xfId="28554" xr:uid="{00000000-0005-0000-0000-0000856F0000}"/>
    <cellStyle name="Input 3 4 3 4 2" xfId="28555" xr:uid="{00000000-0005-0000-0000-0000866F0000}"/>
    <cellStyle name="Input 3 4 3 4 3" xfId="28556" xr:uid="{00000000-0005-0000-0000-0000876F0000}"/>
    <cellStyle name="Input 3 4 3 4 4" xfId="28557" xr:uid="{00000000-0005-0000-0000-0000886F0000}"/>
    <cellStyle name="Input 3 4 3 4 5" xfId="28558" xr:uid="{00000000-0005-0000-0000-0000896F0000}"/>
    <cellStyle name="Input 3 4 3 4 6" xfId="28559" xr:uid="{00000000-0005-0000-0000-00008A6F0000}"/>
    <cellStyle name="Input 3 4 3 5" xfId="28560" xr:uid="{00000000-0005-0000-0000-00008B6F0000}"/>
    <cellStyle name="Input 3 4 3 6" xfId="28561" xr:uid="{00000000-0005-0000-0000-00008C6F0000}"/>
    <cellStyle name="Input 3 4 3 7" xfId="28562" xr:uid="{00000000-0005-0000-0000-00008D6F0000}"/>
    <cellStyle name="Input 3 4 3 8" xfId="28563" xr:uid="{00000000-0005-0000-0000-00008E6F0000}"/>
    <cellStyle name="Input 3 4 4" xfId="28564" xr:uid="{00000000-0005-0000-0000-00008F6F0000}"/>
    <cellStyle name="Input 3 4 4 2" xfId="28565" xr:uid="{00000000-0005-0000-0000-0000906F0000}"/>
    <cellStyle name="Input 3 4 4 2 2" xfId="28566" xr:uid="{00000000-0005-0000-0000-0000916F0000}"/>
    <cellStyle name="Input 3 4 4 2 2 2" xfId="28567" xr:uid="{00000000-0005-0000-0000-0000926F0000}"/>
    <cellStyle name="Input 3 4 4 2 2 3" xfId="28568" xr:uid="{00000000-0005-0000-0000-0000936F0000}"/>
    <cellStyle name="Input 3 4 4 2 2 4" xfId="28569" xr:uid="{00000000-0005-0000-0000-0000946F0000}"/>
    <cellStyle name="Input 3 4 4 2 2 5" xfId="28570" xr:uid="{00000000-0005-0000-0000-0000956F0000}"/>
    <cellStyle name="Input 3 4 4 2 2 6" xfId="28571" xr:uid="{00000000-0005-0000-0000-0000966F0000}"/>
    <cellStyle name="Input 3 4 4 2 3" xfId="28572" xr:uid="{00000000-0005-0000-0000-0000976F0000}"/>
    <cellStyle name="Input 3 4 4 2 4" xfId="28573" xr:uid="{00000000-0005-0000-0000-0000986F0000}"/>
    <cellStyle name="Input 3 4 4 2 5" xfId="28574" xr:uid="{00000000-0005-0000-0000-0000996F0000}"/>
    <cellStyle name="Input 3 4 4 2 6" xfId="28575" xr:uid="{00000000-0005-0000-0000-00009A6F0000}"/>
    <cellStyle name="Input 3 4 4 3" xfId="28576" xr:uid="{00000000-0005-0000-0000-00009B6F0000}"/>
    <cellStyle name="Input 3 4 4 3 2" xfId="28577" xr:uid="{00000000-0005-0000-0000-00009C6F0000}"/>
    <cellStyle name="Input 3 4 4 3 2 2" xfId="28578" xr:uid="{00000000-0005-0000-0000-00009D6F0000}"/>
    <cellStyle name="Input 3 4 4 3 2 3" xfId="28579" xr:uid="{00000000-0005-0000-0000-00009E6F0000}"/>
    <cellStyle name="Input 3 4 4 3 2 4" xfId="28580" xr:uid="{00000000-0005-0000-0000-00009F6F0000}"/>
    <cellStyle name="Input 3 4 4 3 2 5" xfId="28581" xr:uid="{00000000-0005-0000-0000-0000A06F0000}"/>
    <cellStyle name="Input 3 4 4 3 2 6" xfId="28582" xr:uid="{00000000-0005-0000-0000-0000A16F0000}"/>
    <cellStyle name="Input 3 4 4 3 3" xfId="28583" xr:uid="{00000000-0005-0000-0000-0000A26F0000}"/>
    <cellStyle name="Input 3 4 4 3 4" xfId="28584" xr:uid="{00000000-0005-0000-0000-0000A36F0000}"/>
    <cellStyle name="Input 3 4 4 3 5" xfId="28585" xr:uid="{00000000-0005-0000-0000-0000A46F0000}"/>
    <cellStyle name="Input 3 4 4 3 6" xfId="28586" xr:uid="{00000000-0005-0000-0000-0000A56F0000}"/>
    <cellStyle name="Input 3 4 4 4" xfId="28587" xr:uid="{00000000-0005-0000-0000-0000A66F0000}"/>
    <cellStyle name="Input 3 4 4 4 2" xfId="28588" xr:uid="{00000000-0005-0000-0000-0000A76F0000}"/>
    <cellStyle name="Input 3 4 4 4 3" xfId="28589" xr:uid="{00000000-0005-0000-0000-0000A86F0000}"/>
    <cellStyle name="Input 3 4 4 4 4" xfId="28590" xr:uid="{00000000-0005-0000-0000-0000A96F0000}"/>
    <cellStyle name="Input 3 4 4 4 5" xfId="28591" xr:uid="{00000000-0005-0000-0000-0000AA6F0000}"/>
    <cellStyle name="Input 3 4 4 4 6" xfId="28592" xr:uid="{00000000-0005-0000-0000-0000AB6F0000}"/>
    <cellStyle name="Input 3 4 4 5" xfId="28593" xr:uid="{00000000-0005-0000-0000-0000AC6F0000}"/>
    <cellStyle name="Input 3 4 4 6" xfId="28594" xr:uid="{00000000-0005-0000-0000-0000AD6F0000}"/>
    <cellStyle name="Input 3 4 4 7" xfId="28595" xr:uid="{00000000-0005-0000-0000-0000AE6F0000}"/>
    <cellStyle name="Input 3 4 4 8" xfId="28596" xr:uid="{00000000-0005-0000-0000-0000AF6F0000}"/>
    <cellStyle name="Input 3 4 5" xfId="28597" xr:uid="{00000000-0005-0000-0000-0000B06F0000}"/>
    <cellStyle name="Input 3 4 5 2" xfId="28598" xr:uid="{00000000-0005-0000-0000-0000B16F0000}"/>
    <cellStyle name="Input 3 4 5 2 2" xfId="28599" xr:uid="{00000000-0005-0000-0000-0000B26F0000}"/>
    <cellStyle name="Input 3 4 5 2 2 2" xfId="28600" xr:uid="{00000000-0005-0000-0000-0000B36F0000}"/>
    <cellStyle name="Input 3 4 5 2 2 3" xfId="28601" xr:uid="{00000000-0005-0000-0000-0000B46F0000}"/>
    <cellStyle name="Input 3 4 5 2 2 4" xfId="28602" xr:uid="{00000000-0005-0000-0000-0000B56F0000}"/>
    <cellStyle name="Input 3 4 5 2 2 5" xfId="28603" xr:uid="{00000000-0005-0000-0000-0000B66F0000}"/>
    <cellStyle name="Input 3 4 5 2 2 6" xfId="28604" xr:uid="{00000000-0005-0000-0000-0000B76F0000}"/>
    <cellStyle name="Input 3 4 5 2 3" xfId="28605" xr:uid="{00000000-0005-0000-0000-0000B86F0000}"/>
    <cellStyle name="Input 3 4 5 2 4" xfId="28606" xr:uid="{00000000-0005-0000-0000-0000B96F0000}"/>
    <cellStyle name="Input 3 4 5 2 5" xfId="28607" xr:uid="{00000000-0005-0000-0000-0000BA6F0000}"/>
    <cellStyle name="Input 3 4 5 2 6" xfId="28608" xr:uid="{00000000-0005-0000-0000-0000BB6F0000}"/>
    <cellStyle name="Input 3 4 5 3" xfId="28609" xr:uid="{00000000-0005-0000-0000-0000BC6F0000}"/>
    <cellStyle name="Input 3 4 5 3 2" xfId="28610" xr:uid="{00000000-0005-0000-0000-0000BD6F0000}"/>
    <cellStyle name="Input 3 4 5 3 2 2" xfId="28611" xr:uid="{00000000-0005-0000-0000-0000BE6F0000}"/>
    <cellStyle name="Input 3 4 5 3 2 3" xfId="28612" xr:uid="{00000000-0005-0000-0000-0000BF6F0000}"/>
    <cellStyle name="Input 3 4 5 3 2 4" xfId="28613" xr:uid="{00000000-0005-0000-0000-0000C06F0000}"/>
    <cellStyle name="Input 3 4 5 3 2 5" xfId="28614" xr:uid="{00000000-0005-0000-0000-0000C16F0000}"/>
    <cellStyle name="Input 3 4 5 3 2 6" xfId="28615" xr:uid="{00000000-0005-0000-0000-0000C26F0000}"/>
    <cellStyle name="Input 3 4 5 3 3" xfId="28616" xr:uid="{00000000-0005-0000-0000-0000C36F0000}"/>
    <cellStyle name="Input 3 4 5 3 4" xfId="28617" xr:uid="{00000000-0005-0000-0000-0000C46F0000}"/>
    <cellStyle name="Input 3 4 5 3 5" xfId="28618" xr:uid="{00000000-0005-0000-0000-0000C56F0000}"/>
    <cellStyle name="Input 3 4 5 3 6" xfId="28619" xr:uid="{00000000-0005-0000-0000-0000C66F0000}"/>
    <cellStyle name="Input 3 4 5 4" xfId="28620" xr:uid="{00000000-0005-0000-0000-0000C76F0000}"/>
    <cellStyle name="Input 3 4 5 4 2" xfId="28621" xr:uid="{00000000-0005-0000-0000-0000C86F0000}"/>
    <cellStyle name="Input 3 4 5 4 3" xfId="28622" xr:uid="{00000000-0005-0000-0000-0000C96F0000}"/>
    <cellStyle name="Input 3 4 5 4 4" xfId="28623" xr:uid="{00000000-0005-0000-0000-0000CA6F0000}"/>
    <cellStyle name="Input 3 4 5 4 5" xfId="28624" xr:uid="{00000000-0005-0000-0000-0000CB6F0000}"/>
    <cellStyle name="Input 3 4 5 4 6" xfId="28625" xr:uid="{00000000-0005-0000-0000-0000CC6F0000}"/>
    <cellStyle name="Input 3 4 5 5" xfId="28626" xr:uid="{00000000-0005-0000-0000-0000CD6F0000}"/>
    <cellStyle name="Input 3 4 5 6" xfId="28627" xr:uid="{00000000-0005-0000-0000-0000CE6F0000}"/>
    <cellStyle name="Input 3 4 5 7" xfId="28628" xr:uid="{00000000-0005-0000-0000-0000CF6F0000}"/>
    <cellStyle name="Input 3 4 5 8" xfId="28629" xr:uid="{00000000-0005-0000-0000-0000D06F0000}"/>
    <cellStyle name="Input 3 4 6" xfId="28630" xr:uid="{00000000-0005-0000-0000-0000D16F0000}"/>
    <cellStyle name="Input 3 4 6 2" xfId="28631" xr:uid="{00000000-0005-0000-0000-0000D26F0000}"/>
    <cellStyle name="Input 3 4 6 2 2" xfId="28632" xr:uid="{00000000-0005-0000-0000-0000D36F0000}"/>
    <cellStyle name="Input 3 4 6 2 2 2" xfId="28633" xr:uid="{00000000-0005-0000-0000-0000D46F0000}"/>
    <cellStyle name="Input 3 4 6 2 2 3" xfId="28634" xr:uid="{00000000-0005-0000-0000-0000D56F0000}"/>
    <cellStyle name="Input 3 4 6 2 2 4" xfId="28635" xr:uid="{00000000-0005-0000-0000-0000D66F0000}"/>
    <cellStyle name="Input 3 4 6 2 2 5" xfId="28636" xr:uid="{00000000-0005-0000-0000-0000D76F0000}"/>
    <cellStyle name="Input 3 4 6 2 2 6" xfId="28637" xr:uid="{00000000-0005-0000-0000-0000D86F0000}"/>
    <cellStyle name="Input 3 4 6 2 3" xfId="28638" xr:uid="{00000000-0005-0000-0000-0000D96F0000}"/>
    <cellStyle name="Input 3 4 6 2 4" xfId="28639" xr:uid="{00000000-0005-0000-0000-0000DA6F0000}"/>
    <cellStyle name="Input 3 4 6 2 5" xfId="28640" xr:uid="{00000000-0005-0000-0000-0000DB6F0000}"/>
    <cellStyle name="Input 3 4 6 2 6" xfId="28641" xr:uid="{00000000-0005-0000-0000-0000DC6F0000}"/>
    <cellStyle name="Input 3 4 6 3" xfId="28642" xr:uid="{00000000-0005-0000-0000-0000DD6F0000}"/>
    <cellStyle name="Input 3 4 6 3 2" xfId="28643" xr:uid="{00000000-0005-0000-0000-0000DE6F0000}"/>
    <cellStyle name="Input 3 4 6 3 2 2" xfId="28644" xr:uid="{00000000-0005-0000-0000-0000DF6F0000}"/>
    <cellStyle name="Input 3 4 6 3 2 3" xfId="28645" xr:uid="{00000000-0005-0000-0000-0000E06F0000}"/>
    <cellStyle name="Input 3 4 6 3 2 4" xfId="28646" xr:uid="{00000000-0005-0000-0000-0000E16F0000}"/>
    <cellStyle name="Input 3 4 6 3 2 5" xfId="28647" xr:uid="{00000000-0005-0000-0000-0000E26F0000}"/>
    <cellStyle name="Input 3 4 6 3 2 6" xfId="28648" xr:uid="{00000000-0005-0000-0000-0000E36F0000}"/>
    <cellStyle name="Input 3 4 6 3 3" xfId="28649" xr:uid="{00000000-0005-0000-0000-0000E46F0000}"/>
    <cellStyle name="Input 3 4 6 3 4" xfId="28650" xr:uid="{00000000-0005-0000-0000-0000E56F0000}"/>
    <cellStyle name="Input 3 4 6 3 5" xfId="28651" xr:uid="{00000000-0005-0000-0000-0000E66F0000}"/>
    <cellStyle name="Input 3 4 6 3 6" xfId="28652" xr:uid="{00000000-0005-0000-0000-0000E76F0000}"/>
    <cellStyle name="Input 3 4 6 4" xfId="28653" xr:uid="{00000000-0005-0000-0000-0000E86F0000}"/>
    <cellStyle name="Input 3 4 6 4 2" xfId="28654" xr:uid="{00000000-0005-0000-0000-0000E96F0000}"/>
    <cellStyle name="Input 3 4 6 4 3" xfId="28655" xr:uid="{00000000-0005-0000-0000-0000EA6F0000}"/>
    <cellStyle name="Input 3 4 6 4 4" xfId="28656" xr:uid="{00000000-0005-0000-0000-0000EB6F0000}"/>
    <cellStyle name="Input 3 4 6 4 5" xfId="28657" xr:uid="{00000000-0005-0000-0000-0000EC6F0000}"/>
    <cellStyle name="Input 3 4 6 4 6" xfId="28658" xr:uid="{00000000-0005-0000-0000-0000ED6F0000}"/>
    <cellStyle name="Input 3 4 6 5" xfId="28659" xr:uid="{00000000-0005-0000-0000-0000EE6F0000}"/>
    <cellStyle name="Input 3 4 6 6" xfId="28660" xr:uid="{00000000-0005-0000-0000-0000EF6F0000}"/>
    <cellStyle name="Input 3 4 6 7" xfId="28661" xr:uid="{00000000-0005-0000-0000-0000F06F0000}"/>
    <cellStyle name="Input 3 4 6 8" xfId="28662" xr:uid="{00000000-0005-0000-0000-0000F16F0000}"/>
    <cellStyle name="Input 3 4 7" xfId="28663" xr:uid="{00000000-0005-0000-0000-0000F26F0000}"/>
    <cellStyle name="Input 3 4 7 2" xfId="28664" xr:uid="{00000000-0005-0000-0000-0000F36F0000}"/>
    <cellStyle name="Input 3 4 7 2 2" xfId="28665" xr:uid="{00000000-0005-0000-0000-0000F46F0000}"/>
    <cellStyle name="Input 3 4 7 2 2 2" xfId="28666" xr:uid="{00000000-0005-0000-0000-0000F56F0000}"/>
    <cellStyle name="Input 3 4 7 2 2 3" xfId="28667" xr:uid="{00000000-0005-0000-0000-0000F66F0000}"/>
    <cellStyle name="Input 3 4 7 2 2 4" xfId="28668" xr:uid="{00000000-0005-0000-0000-0000F76F0000}"/>
    <cellStyle name="Input 3 4 7 2 2 5" xfId="28669" xr:uid="{00000000-0005-0000-0000-0000F86F0000}"/>
    <cellStyle name="Input 3 4 7 2 2 6" xfId="28670" xr:uid="{00000000-0005-0000-0000-0000F96F0000}"/>
    <cellStyle name="Input 3 4 7 2 3" xfId="28671" xr:uid="{00000000-0005-0000-0000-0000FA6F0000}"/>
    <cellStyle name="Input 3 4 7 2 4" xfId="28672" xr:uid="{00000000-0005-0000-0000-0000FB6F0000}"/>
    <cellStyle name="Input 3 4 7 2 5" xfId="28673" xr:uid="{00000000-0005-0000-0000-0000FC6F0000}"/>
    <cellStyle name="Input 3 4 7 2 6" xfId="28674" xr:uid="{00000000-0005-0000-0000-0000FD6F0000}"/>
    <cellStyle name="Input 3 4 7 3" xfId="28675" xr:uid="{00000000-0005-0000-0000-0000FE6F0000}"/>
    <cellStyle name="Input 3 4 7 3 2" xfId="28676" xr:uid="{00000000-0005-0000-0000-0000FF6F0000}"/>
    <cellStyle name="Input 3 4 7 3 2 2" xfId="28677" xr:uid="{00000000-0005-0000-0000-000000700000}"/>
    <cellStyle name="Input 3 4 7 3 2 3" xfId="28678" xr:uid="{00000000-0005-0000-0000-000001700000}"/>
    <cellStyle name="Input 3 4 7 3 2 4" xfId="28679" xr:uid="{00000000-0005-0000-0000-000002700000}"/>
    <cellStyle name="Input 3 4 7 3 2 5" xfId="28680" xr:uid="{00000000-0005-0000-0000-000003700000}"/>
    <cellStyle name="Input 3 4 7 3 2 6" xfId="28681" xr:uid="{00000000-0005-0000-0000-000004700000}"/>
    <cellStyle name="Input 3 4 7 3 3" xfId="28682" xr:uid="{00000000-0005-0000-0000-000005700000}"/>
    <cellStyle name="Input 3 4 7 3 4" xfId="28683" xr:uid="{00000000-0005-0000-0000-000006700000}"/>
    <cellStyle name="Input 3 4 7 3 5" xfId="28684" xr:uid="{00000000-0005-0000-0000-000007700000}"/>
    <cellStyle name="Input 3 4 7 3 6" xfId="28685" xr:uid="{00000000-0005-0000-0000-000008700000}"/>
    <cellStyle name="Input 3 4 7 4" xfId="28686" xr:uid="{00000000-0005-0000-0000-000009700000}"/>
    <cellStyle name="Input 3 4 7 4 2" xfId="28687" xr:uid="{00000000-0005-0000-0000-00000A700000}"/>
    <cellStyle name="Input 3 4 7 4 3" xfId="28688" xr:uid="{00000000-0005-0000-0000-00000B700000}"/>
    <cellStyle name="Input 3 4 7 4 4" xfId="28689" xr:uid="{00000000-0005-0000-0000-00000C700000}"/>
    <cellStyle name="Input 3 4 7 4 5" xfId="28690" xr:uid="{00000000-0005-0000-0000-00000D700000}"/>
    <cellStyle name="Input 3 4 7 4 6" xfId="28691" xr:uid="{00000000-0005-0000-0000-00000E700000}"/>
    <cellStyle name="Input 3 4 7 5" xfId="28692" xr:uid="{00000000-0005-0000-0000-00000F700000}"/>
    <cellStyle name="Input 3 4 7 6" xfId="28693" xr:uid="{00000000-0005-0000-0000-000010700000}"/>
    <cellStyle name="Input 3 4 7 7" xfId="28694" xr:uid="{00000000-0005-0000-0000-000011700000}"/>
    <cellStyle name="Input 3 4 7 8" xfId="28695" xr:uid="{00000000-0005-0000-0000-000012700000}"/>
    <cellStyle name="Input 3 4 8" xfId="28696" xr:uid="{00000000-0005-0000-0000-000013700000}"/>
    <cellStyle name="Input 3 4 8 2" xfId="28697" xr:uid="{00000000-0005-0000-0000-000014700000}"/>
    <cellStyle name="Input 3 4 8 2 2" xfId="28698" xr:uid="{00000000-0005-0000-0000-000015700000}"/>
    <cellStyle name="Input 3 4 8 2 3" xfId="28699" xr:uid="{00000000-0005-0000-0000-000016700000}"/>
    <cellStyle name="Input 3 4 8 2 4" xfId="28700" xr:uid="{00000000-0005-0000-0000-000017700000}"/>
    <cellStyle name="Input 3 4 8 2 5" xfId="28701" xr:uid="{00000000-0005-0000-0000-000018700000}"/>
    <cellStyle name="Input 3 4 8 2 6" xfId="28702" xr:uid="{00000000-0005-0000-0000-000019700000}"/>
    <cellStyle name="Input 3 4 8 3" xfId="28703" xr:uid="{00000000-0005-0000-0000-00001A700000}"/>
    <cellStyle name="Input 3 4 8 4" xfId="28704" xr:uid="{00000000-0005-0000-0000-00001B700000}"/>
    <cellStyle name="Input 3 4 8 5" xfId="28705" xr:uid="{00000000-0005-0000-0000-00001C700000}"/>
    <cellStyle name="Input 3 4 8 6" xfId="28706" xr:uid="{00000000-0005-0000-0000-00001D700000}"/>
    <cellStyle name="Input 3 4 9" xfId="28707" xr:uid="{00000000-0005-0000-0000-00001E700000}"/>
    <cellStyle name="Input 3 4 9 2" xfId="28708" xr:uid="{00000000-0005-0000-0000-00001F700000}"/>
    <cellStyle name="Input 3 4 9 2 2" xfId="28709" xr:uid="{00000000-0005-0000-0000-000020700000}"/>
    <cellStyle name="Input 3 4 9 2 3" xfId="28710" xr:uid="{00000000-0005-0000-0000-000021700000}"/>
    <cellStyle name="Input 3 4 9 2 4" xfId="28711" xr:uid="{00000000-0005-0000-0000-000022700000}"/>
    <cellStyle name="Input 3 4 9 2 5" xfId="28712" xr:uid="{00000000-0005-0000-0000-000023700000}"/>
    <cellStyle name="Input 3 4 9 2 6" xfId="28713" xr:uid="{00000000-0005-0000-0000-000024700000}"/>
    <cellStyle name="Input 3 4 9 3" xfId="28714" xr:uid="{00000000-0005-0000-0000-000025700000}"/>
    <cellStyle name="Input 3 4 9 4" xfId="28715" xr:uid="{00000000-0005-0000-0000-000026700000}"/>
    <cellStyle name="Input 3 4 9 5" xfId="28716" xr:uid="{00000000-0005-0000-0000-000027700000}"/>
    <cellStyle name="Input 3 4 9 6" xfId="28717" xr:uid="{00000000-0005-0000-0000-000028700000}"/>
    <cellStyle name="Input 3 5" xfId="28718" xr:uid="{00000000-0005-0000-0000-000029700000}"/>
    <cellStyle name="Input 3 5 10" xfId="28719" xr:uid="{00000000-0005-0000-0000-00002A700000}"/>
    <cellStyle name="Input 3 5 11" xfId="28720" xr:uid="{00000000-0005-0000-0000-00002B700000}"/>
    <cellStyle name="Input 3 5 12" xfId="28721" xr:uid="{00000000-0005-0000-0000-00002C700000}"/>
    <cellStyle name="Input 3 5 13" xfId="28722" xr:uid="{00000000-0005-0000-0000-00002D700000}"/>
    <cellStyle name="Input 3 5 2" xfId="28723" xr:uid="{00000000-0005-0000-0000-00002E700000}"/>
    <cellStyle name="Input 3 5 2 2" xfId="28724" xr:uid="{00000000-0005-0000-0000-00002F700000}"/>
    <cellStyle name="Input 3 5 2 2 2" xfId="28725" xr:uid="{00000000-0005-0000-0000-000030700000}"/>
    <cellStyle name="Input 3 5 2 2 2 2" xfId="28726" xr:uid="{00000000-0005-0000-0000-000031700000}"/>
    <cellStyle name="Input 3 5 2 2 2 3" xfId="28727" xr:uid="{00000000-0005-0000-0000-000032700000}"/>
    <cellStyle name="Input 3 5 2 2 2 4" xfId="28728" xr:uid="{00000000-0005-0000-0000-000033700000}"/>
    <cellStyle name="Input 3 5 2 2 2 5" xfId="28729" xr:uid="{00000000-0005-0000-0000-000034700000}"/>
    <cellStyle name="Input 3 5 2 2 2 6" xfId="28730" xr:uid="{00000000-0005-0000-0000-000035700000}"/>
    <cellStyle name="Input 3 5 2 2 3" xfId="28731" xr:uid="{00000000-0005-0000-0000-000036700000}"/>
    <cellStyle name="Input 3 5 2 2 4" xfId="28732" xr:uid="{00000000-0005-0000-0000-000037700000}"/>
    <cellStyle name="Input 3 5 2 2 5" xfId="28733" xr:uid="{00000000-0005-0000-0000-000038700000}"/>
    <cellStyle name="Input 3 5 2 2 6" xfId="28734" xr:uid="{00000000-0005-0000-0000-000039700000}"/>
    <cellStyle name="Input 3 5 2 3" xfId="28735" xr:uid="{00000000-0005-0000-0000-00003A700000}"/>
    <cellStyle name="Input 3 5 2 3 2" xfId="28736" xr:uid="{00000000-0005-0000-0000-00003B700000}"/>
    <cellStyle name="Input 3 5 2 3 2 2" xfId="28737" xr:uid="{00000000-0005-0000-0000-00003C700000}"/>
    <cellStyle name="Input 3 5 2 3 2 3" xfId="28738" xr:uid="{00000000-0005-0000-0000-00003D700000}"/>
    <cellStyle name="Input 3 5 2 3 2 4" xfId="28739" xr:uid="{00000000-0005-0000-0000-00003E700000}"/>
    <cellStyle name="Input 3 5 2 3 2 5" xfId="28740" xr:uid="{00000000-0005-0000-0000-00003F700000}"/>
    <cellStyle name="Input 3 5 2 3 2 6" xfId="28741" xr:uid="{00000000-0005-0000-0000-000040700000}"/>
    <cellStyle name="Input 3 5 2 3 3" xfId="28742" xr:uid="{00000000-0005-0000-0000-000041700000}"/>
    <cellStyle name="Input 3 5 2 3 4" xfId="28743" xr:uid="{00000000-0005-0000-0000-000042700000}"/>
    <cellStyle name="Input 3 5 2 3 5" xfId="28744" xr:uid="{00000000-0005-0000-0000-000043700000}"/>
    <cellStyle name="Input 3 5 2 3 6" xfId="28745" xr:uid="{00000000-0005-0000-0000-000044700000}"/>
    <cellStyle name="Input 3 5 2 4" xfId="28746" xr:uid="{00000000-0005-0000-0000-000045700000}"/>
    <cellStyle name="Input 3 5 2 4 2" xfId="28747" xr:uid="{00000000-0005-0000-0000-000046700000}"/>
    <cellStyle name="Input 3 5 2 4 3" xfId="28748" xr:uid="{00000000-0005-0000-0000-000047700000}"/>
    <cellStyle name="Input 3 5 2 4 4" xfId="28749" xr:uid="{00000000-0005-0000-0000-000048700000}"/>
    <cellStyle name="Input 3 5 2 4 5" xfId="28750" xr:uid="{00000000-0005-0000-0000-000049700000}"/>
    <cellStyle name="Input 3 5 2 4 6" xfId="28751" xr:uid="{00000000-0005-0000-0000-00004A700000}"/>
    <cellStyle name="Input 3 5 2 5" xfId="28752" xr:uid="{00000000-0005-0000-0000-00004B700000}"/>
    <cellStyle name="Input 3 5 2 6" xfId="28753" xr:uid="{00000000-0005-0000-0000-00004C700000}"/>
    <cellStyle name="Input 3 5 2 7" xfId="28754" xr:uid="{00000000-0005-0000-0000-00004D700000}"/>
    <cellStyle name="Input 3 5 2 8" xfId="28755" xr:uid="{00000000-0005-0000-0000-00004E700000}"/>
    <cellStyle name="Input 3 5 3" xfId="28756" xr:uid="{00000000-0005-0000-0000-00004F700000}"/>
    <cellStyle name="Input 3 5 3 2" xfId="28757" xr:uid="{00000000-0005-0000-0000-000050700000}"/>
    <cellStyle name="Input 3 5 3 2 2" xfId="28758" xr:uid="{00000000-0005-0000-0000-000051700000}"/>
    <cellStyle name="Input 3 5 3 2 2 2" xfId="28759" xr:uid="{00000000-0005-0000-0000-000052700000}"/>
    <cellStyle name="Input 3 5 3 2 2 3" xfId="28760" xr:uid="{00000000-0005-0000-0000-000053700000}"/>
    <cellStyle name="Input 3 5 3 2 2 4" xfId="28761" xr:uid="{00000000-0005-0000-0000-000054700000}"/>
    <cellStyle name="Input 3 5 3 2 2 5" xfId="28762" xr:uid="{00000000-0005-0000-0000-000055700000}"/>
    <cellStyle name="Input 3 5 3 2 2 6" xfId="28763" xr:uid="{00000000-0005-0000-0000-000056700000}"/>
    <cellStyle name="Input 3 5 3 2 3" xfId="28764" xr:uid="{00000000-0005-0000-0000-000057700000}"/>
    <cellStyle name="Input 3 5 3 2 4" xfId="28765" xr:uid="{00000000-0005-0000-0000-000058700000}"/>
    <cellStyle name="Input 3 5 3 2 5" xfId="28766" xr:uid="{00000000-0005-0000-0000-000059700000}"/>
    <cellStyle name="Input 3 5 3 2 6" xfId="28767" xr:uid="{00000000-0005-0000-0000-00005A700000}"/>
    <cellStyle name="Input 3 5 3 3" xfId="28768" xr:uid="{00000000-0005-0000-0000-00005B700000}"/>
    <cellStyle name="Input 3 5 3 3 2" xfId="28769" xr:uid="{00000000-0005-0000-0000-00005C700000}"/>
    <cellStyle name="Input 3 5 3 3 2 2" xfId="28770" xr:uid="{00000000-0005-0000-0000-00005D700000}"/>
    <cellStyle name="Input 3 5 3 3 2 3" xfId="28771" xr:uid="{00000000-0005-0000-0000-00005E700000}"/>
    <cellStyle name="Input 3 5 3 3 2 4" xfId="28772" xr:uid="{00000000-0005-0000-0000-00005F700000}"/>
    <cellStyle name="Input 3 5 3 3 2 5" xfId="28773" xr:uid="{00000000-0005-0000-0000-000060700000}"/>
    <cellStyle name="Input 3 5 3 3 2 6" xfId="28774" xr:uid="{00000000-0005-0000-0000-000061700000}"/>
    <cellStyle name="Input 3 5 3 3 3" xfId="28775" xr:uid="{00000000-0005-0000-0000-000062700000}"/>
    <cellStyle name="Input 3 5 3 3 4" xfId="28776" xr:uid="{00000000-0005-0000-0000-000063700000}"/>
    <cellStyle name="Input 3 5 3 3 5" xfId="28777" xr:uid="{00000000-0005-0000-0000-000064700000}"/>
    <cellStyle name="Input 3 5 3 3 6" xfId="28778" xr:uid="{00000000-0005-0000-0000-000065700000}"/>
    <cellStyle name="Input 3 5 3 4" xfId="28779" xr:uid="{00000000-0005-0000-0000-000066700000}"/>
    <cellStyle name="Input 3 5 3 4 2" xfId="28780" xr:uid="{00000000-0005-0000-0000-000067700000}"/>
    <cellStyle name="Input 3 5 3 4 3" xfId="28781" xr:uid="{00000000-0005-0000-0000-000068700000}"/>
    <cellStyle name="Input 3 5 3 4 4" xfId="28782" xr:uid="{00000000-0005-0000-0000-000069700000}"/>
    <cellStyle name="Input 3 5 3 4 5" xfId="28783" xr:uid="{00000000-0005-0000-0000-00006A700000}"/>
    <cellStyle name="Input 3 5 3 4 6" xfId="28784" xr:uid="{00000000-0005-0000-0000-00006B700000}"/>
    <cellStyle name="Input 3 5 3 5" xfId="28785" xr:uid="{00000000-0005-0000-0000-00006C700000}"/>
    <cellStyle name="Input 3 5 3 6" xfId="28786" xr:uid="{00000000-0005-0000-0000-00006D700000}"/>
    <cellStyle name="Input 3 5 3 7" xfId="28787" xr:uid="{00000000-0005-0000-0000-00006E700000}"/>
    <cellStyle name="Input 3 5 3 8" xfId="28788" xr:uid="{00000000-0005-0000-0000-00006F700000}"/>
    <cellStyle name="Input 3 5 4" xfId="28789" xr:uid="{00000000-0005-0000-0000-000070700000}"/>
    <cellStyle name="Input 3 5 4 2" xfId="28790" xr:uid="{00000000-0005-0000-0000-000071700000}"/>
    <cellStyle name="Input 3 5 4 2 2" xfId="28791" xr:uid="{00000000-0005-0000-0000-000072700000}"/>
    <cellStyle name="Input 3 5 4 2 2 2" xfId="28792" xr:uid="{00000000-0005-0000-0000-000073700000}"/>
    <cellStyle name="Input 3 5 4 2 2 3" xfId="28793" xr:uid="{00000000-0005-0000-0000-000074700000}"/>
    <cellStyle name="Input 3 5 4 2 2 4" xfId="28794" xr:uid="{00000000-0005-0000-0000-000075700000}"/>
    <cellStyle name="Input 3 5 4 2 2 5" xfId="28795" xr:uid="{00000000-0005-0000-0000-000076700000}"/>
    <cellStyle name="Input 3 5 4 2 2 6" xfId="28796" xr:uid="{00000000-0005-0000-0000-000077700000}"/>
    <cellStyle name="Input 3 5 4 2 3" xfId="28797" xr:uid="{00000000-0005-0000-0000-000078700000}"/>
    <cellStyle name="Input 3 5 4 2 4" xfId="28798" xr:uid="{00000000-0005-0000-0000-000079700000}"/>
    <cellStyle name="Input 3 5 4 2 5" xfId="28799" xr:uid="{00000000-0005-0000-0000-00007A700000}"/>
    <cellStyle name="Input 3 5 4 2 6" xfId="28800" xr:uid="{00000000-0005-0000-0000-00007B700000}"/>
    <cellStyle name="Input 3 5 4 3" xfId="28801" xr:uid="{00000000-0005-0000-0000-00007C700000}"/>
    <cellStyle name="Input 3 5 4 3 2" xfId="28802" xr:uid="{00000000-0005-0000-0000-00007D700000}"/>
    <cellStyle name="Input 3 5 4 3 2 2" xfId="28803" xr:uid="{00000000-0005-0000-0000-00007E700000}"/>
    <cellStyle name="Input 3 5 4 3 2 3" xfId="28804" xr:uid="{00000000-0005-0000-0000-00007F700000}"/>
    <cellStyle name="Input 3 5 4 3 2 4" xfId="28805" xr:uid="{00000000-0005-0000-0000-000080700000}"/>
    <cellStyle name="Input 3 5 4 3 2 5" xfId="28806" xr:uid="{00000000-0005-0000-0000-000081700000}"/>
    <cellStyle name="Input 3 5 4 3 2 6" xfId="28807" xr:uid="{00000000-0005-0000-0000-000082700000}"/>
    <cellStyle name="Input 3 5 4 3 3" xfId="28808" xr:uid="{00000000-0005-0000-0000-000083700000}"/>
    <cellStyle name="Input 3 5 4 3 4" xfId="28809" xr:uid="{00000000-0005-0000-0000-000084700000}"/>
    <cellStyle name="Input 3 5 4 3 5" xfId="28810" xr:uid="{00000000-0005-0000-0000-000085700000}"/>
    <cellStyle name="Input 3 5 4 3 6" xfId="28811" xr:uid="{00000000-0005-0000-0000-000086700000}"/>
    <cellStyle name="Input 3 5 4 4" xfId="28812" xr:uid="{00000000-0005-0000-0000-000087700000}"/>
    <cellStyle name="Input 3 5 4 4 2" xfId="28813" xr:uid="{00000000-0005-0000-0000-000088700000}"/>
    <cellStyle name="Input 3 5 4 4 3" xfId="28814" xr:uid="{00000000-0005-0000-0000-000089700000}"/>
    <cellStyle name="Input 3 5 4 4 4" xfId="28815" xr:uid="{00000000-0005-0000-0000-00008A700000}"/>
    <cellStyle name="Input 3 5 4 4 5" xfId="28816" xr:uid="{00000000-0005-0000-0000-00008B700000}"/>
    <cellStyle name="Input 3 5 4 4 6" xfId="28817" xr:uid="{00000000-0005-0000-0000-00008C700000}"/>
    <cellStyle name="Input 3 5 4 5" xfId="28818" xr:uid="{00000000-0005-0000-0000-00008D700000}"/>
    <cellStyle name="Input 3 5 4 6" xfId="28819" xr:uid="{00000000-0005-0000-0000-00008E700000}"/>
    <cellStyle name="Input 3 5 4 7" xfId="28820" xr:uid="{00000000-0005-0000-0000-00008F700000}"/>
    <cellStyle name="Input 3 5 4 8" xfId="28821" xr:uid="{00000000-0005-0000-0000-000090700000}"/>
    <cellStyle name="Input 3 5 5" xfId="28822" xr:uid="{00000000-0005-0000-0000-000091700000}"/>
    <cellStyle name="Input 3 5 5 2" xfId="28823" xr:uid="{00000000-0005-0000-0000-000092700000}"/>
    <cellStyle name="Input 3 5 5 2 2" xfId="28824" xr:uid="{00000000-0005-0000-0000-000093700000}"/>
    <cellStyle name="Input 3 5 5 2 2 2" xfId="28825" xr:uid="{00000000-0005-0000-0000-000094700000}"/>
    <cellStyle name="Input 3 5 5 2 2 3" xfId="28826" xr:uid="{00000000-0005-0000-0000-000095700000}"/>
    <cellStyle name="Input 3 5 5 2 2 4" xfId="28827" xr:uid="{00000000-0005-0000-0000-000096700000}"/>
    <cellStyle name="Input 3 5 5 2 2 5" xfId="28828" xr:uid="{00000000-0005-0000-0000-000097700000}"/>
    <cellStyle name="Input 3 5 5 2 2 6" xfId="28829" xr:uid="{00000000-0005-0000-0000-000098700000}"/>
    <cellStyle name="Input 3 5 5 2 3" xfId="28830" xr:uid="{00000000-0005-0000-0000-000099700000}"/>
    <cellStyle name="Input 3 5 5 2 4" xfId="28831" xr:uid="{00000000-0005-0000-0000-00009A700000}"/>
    <cellStyle name="Input 3 5 5 2 5" xfId="28832" xr:uid="{00000000-0005-0000-0000-00009B700000}"/>
    <cellStyle name="Input 3 5 5 2 6" xfId="28833" xr:uid="{00000000-0005-0000-0000-00009C700000}"/>
    <cellStyle name="Input 3 5 5 3" xfId="28834" xr:uid="{00000000-0005-0000-0000-00009D700000}"/>
    <cellStyle name="Input 3 5 5 3 2" xfId="28835" xr:uid="{00000000-0005-0000-0000-00009E700000}"/>
    <cellStyle name="Input 3 5 5 3 2 2" xfId="28836" xr:uid="{00000000-0005-0000-0000-00009F700000}"/>
    <cellStyle name="Input 3 5 5 3 2 3" xfId="28837" xr:uid="{00000000-0005-0000-0000-0000A0700000}"/>
    <cellStyle name="Input 3 5 5 3 2 4" xfId="28838" xr:uid="{00000000-0005-0000-0000-0000A1700000}"/>
    <cellStyle name="Input 3 5 5 3 2 5" xfId="28839" xr:uid="{00000000-0005-0000-0000-0000A2700000}"/>
    <cellStyle name="Input 3 5 5 3 2 6" xfId="28840" xr:uid="{00000000-0005-0000-0000-0000A3700000}"/>
    <cellStyle name="Input 3 5 5 3 3" xfId="28841" xr:uid="{00000000-0005-0000-0000-0000A4700000}"/>
    <cellStyle name="Input 3 5 5 3 4" xfId="28842" xr:uid="{00000000-0005-0000-0000-0000A5700000}"/>
    <cellStyle name="Input 3 5 5 3 5" xfId="28843" xr:uid="{00000000-0005-0000-0000-0000A6700000}"/>
    <cellStyle name="Input 3 5 5 3 6" xfId="28844" xr:uid="{00000000-0005-0000-0000-0000A7700000}"/>
    <cellStyle name="Input 3 5 5 4" xfId="28845" xr:uid="{00000000-0005-0000-0000-0000A8700000}"/>
    <cellStyle name="Input 3 5 5 4 2" xfId="28846" xr:uid="{00000000-0005-0000-0000-0000A9700000}"/>
    <cellStyle name="Input 3 5 5 4 3" xfId="28847" xr:uid="{00000000-0005-0000-0000-0000AA700000}"/>
    <cellStyle name="Input 3 5 5 4 4" xfId="28848" xr:uid="{00000000-0005-0000-0000-0000AB700000}"/>
    <cellStyle name="Input 3 5 5 4 5" xfId="28849" xr:uid="{00000000-0005-0000-0000-0000AC700000}"/>
    <cellStyle name="Input 3 5 5 4 6" xfId="28850" xr:uid="{00000000-0005-0000-0000-0000AD700000}"/>
    <cellStyle name="Input 3 5 5 5" xfId="28851" xr:uid="{00000000-0005-0000-0000-0000AE700000}"/>
    <cellStyle name="Input 3 5 5 6" xfId="28852" xr:uid="{00000000-0005-0000-0000-0000AF700000}"/>
    <cellStyle name="Input 3 5 5 7" xfId="28853" xr:uid="{00000000-0005-0000-0000-0000B0700000}"/>
    <cellStyle name="Input 3 5 5 8" xfId="28854" xr:uid="{00000000-0005-0000-0000-0000B1700000}"/>
    <cellStyle name="Input 3 5 6" xfId="28855" xr:uid="{00000000-0005-0000-0000-0000B2700000}"/>
    <cellStyle name="Input 3 5 6 2" xfId="28856" xr:uid="{00000000-0005-0000-0000-0000B3700000}"/>
    <cellStyle name="Input 3 5 6 2 2" xfId="28857" xr:uid="{00000000-0005-0000-0000-0000B4700000}"/>
    <cellStyle name="Input 3 5 6 2 2 2" xfId="28858" xr:uid="{00000000-0005-0000-0000-0000B5700000}"/>
    <cellStyle name="Input 3 5 6 2 2 3" xfId="28859" xr:uid="{00000000-0005-0000-0000-0000B6700000}"/>
    <cellStyle name="Input 3 5 6 2 2 4" xfId="28860" xr:uid="{00000000-0005-0000-0000-0000B7700000}"/>
    <cellStyle name="Input 3 5 6 2 2 5" xfId="28861" xr:uid="{00000000-0005-0000-0000-0000B8700000}"/>
    <cellStyle name="Input 3 5 6 2 2 6" xfId="28862" xr:uid="{00000000-0005-0000-0000-0000B9700000}"/>
    <cellStyle name="Input 3 5 6 2 3" xfId="28863" xr:uid="{00000000-0005-0000-0000-0000BA700000}"/>
    <cellStyle name="Input 3 5 6 2 4" xfId="28864" xr:uid="{00000000-0005-0000-0000-0000BB700000}"/>
    <cellStyle name="Input 3 5 6 2 5" xfId="28865" xr:uid="{00000000-0005-0000-0000-0000BC700000}"/>
    <cellStyle name="Input 3 5 6 2 6" xfId="28866" xr:uid="{00000000-0005-0000-0000-0000BD700000}"/>
    <cellStyle name="Input 3 5 6 3" xfId="28867" xr:uid="{00000000-0005-0000-0000-0000BE700000}"/>
    <cellStyle name="Input 3 5 6 3 2" xfId="28868" xr:uid="{00000000-0005-0000-0000-0000BF700000}"/>
    <cellStyle name="Input 3 5 6 3 2 2" xfId="28869" xr:uid="{00000000-0005-0000-0000-0000C0700000}"/>
    <cellStyle name="Input 3 5 6 3 2 3" xfId="28870" xr:uid="{00000000-0005-0000-0000-0000C1700000}"/>
    <cellStyle name="Input 3 5 6 3 2 4" xfId="28871" xr:uid="{00000000-0005-0000-0000-0000C2700000}"/>
    <cellStyle name="Input 3 5 6 3 2 5" xfId="28872" xr:uid="{00000000-0005-0000-0000-0000C3700000}"/>
    <cellStyle name="Input 3 5 6 3 2 6" xfId="28873" xr:uid="{00000000-0005-0000-0000-0000C4700000}"/>
    <cellStyle name="Input 3 5 6 3 3" xfId="28874" xr:uid="{00000000-0005-0000-0000-0000C5700000}"/>
    <cellStyle name="Input 3 5 6 3 4" xfId="28875" xr:uid="{00000000-0005-0000-0000-0000C6700000}"/>
    <cellStyle name="Input 3 5 6 3 5" xfId="28876" xr:uid="{00000000-0005-0000-0000-0000C7700000}"/>
    <cellStyle name="Input 3 5 6 3 6" xfId="28877" xr:uid="{00000000-0005-0000-0000-0000C8700000}"/>
    <cellStyle name="Input 3 5 6 4" xfId="28878" xr:uid="{00000000-0005-0000-0000-0000C9700000}"/>
    <cellStyle name="Input 3 5 6 4 2" xfId="28879" xr:uid="{00000000-0005-0000-0000-0000CA700000}"/>
    <cellStyle name="Input 3 5 6 4 3" xfId="28880" xr:uid="{00000000-0005-0000-0000-0000CB700000}"/>
    <cellStyle name="Input 3 5 6 4 4" xfId="28881" xr:uid="{00000000-0005-0000-0000-0000CC700000}"/>
    <cellStyle name="Input 3 5 6 4 5" xfId="28882" xr:uid="{00000000-0005-0000-0000-0000CD700000}"/>
    <cellStyle name="Input 3 5 6 4 6" xfId="28883" xr:uid="{00000000-0005-0000-0000-0000CE700000}"/>
    <cellStyle name="Input 3 5 6 5" xfId="28884" xr:uid="{00000000-0005-0000-0000-0000CF700000}"/>
    <cellStyle name="Input 3 5 6 6" xfId="28885" xr:uid="{00000000-0005-0000-0000-0000D0700000}"/>
    <cellStyle name="Input 3 5 6 7" xfId="28886" xr:uid="{00000000-0005-0000-0000-0000D1700000}"/>
    <cellStyle name="Input 3 5 6 8" xfId="28887" xr:uid="{00000000-0005-0000-0000-0000D2700000}"/>
    <cellStyle name="Input 3 5 7" xfId="28888" xr:uid="{00000000-0005-0000-0000-0000D3700000}"/>
    <cellStyle name="Input 3 5 7 2" xfId="28889" xr:uid="{00000000-0005-0000-0000-0000D4700000}"/>
    <cellStyle name="Input 3 5 7 2 2" xfId="28890" xr:uid="{00000000-0005-0000-0000-0000D5700000}"/>
    <cellStyle name="Input 3 5 7 2 3" xfId="28891" xr:uid="{00000000-0005-0000-0000-0000D6700000}"/>
    <cellStyle name="Input 3 5 7 2 4" xfId="28892" xr:uid="{00000000-0005-0000-0000-0000D7700000}"/>
    <cellStyle name="Input 3 5 7 2 5" xfId="28893" xr:uid="{00000000-0005-0000-0000-0000D8700000}"/>
    <cellStyle name="Input 3 5 7 2 6" xfId="28894" xr:uid="{00000000-0005-0000-0000-0000D9700000}"/>
    <cellStyle name="Input 3 5 7 3" xfId="28895" xr:uid="{00000000-0005-0000-0000-0000DA700000}"/>
    <cellStyle name="Input 3 5 7 4" xfId="28896" xr:uid="{00000000-0005-0000-0000-0000DB700000}"/>
    <cellStyle name="Input 3 5 7 5" xfId="28897" xr:uid="{00000000-0005-0000-0000-0000DC700000}"/>
    <cellStyle name="Input 3 5 7 6" xfId="28898" xr:uid="{00000000-0005-0000-0000-0000DD700000}"/>
    <cellStyle name="Input 3 5 8" xfId="28899" xr:uid="{00000000-0005-0000-0000-0000DE700000}"/>
    <cellStyle name="Input 3 5 8 2" xfId="28900" xr:uid="{00000000-0005-0000-0000-0000DF700000}"/>
    <cellStyle name="Input 3 5 8 2 2" xfId="28901" xr:uid="{00000000-0005-0000-0000-0000E0700000}"/>
    <cellStyle name="Input 3 5 8 2 3" xfId="28902" xr:uid="{00000000-0005-0000-0000-0000E1700000}"/>
    <cellStyle name="Input 3 5 8 2 4" xfId="28903" xr:uid="{00000000-0005-0000-0000-0000E2700000}"/>
    <cellStyle name="Input 3 5 8 2 5" xfId="28904" xr:uid="{00000000-0005-0000-0000-0000E3700000}"/>
    <cellStyle name="Input 3 5 8 2 6" xfId="28905" xr:uid="{00000000-0005-0000-0000-0000E4700000}"/>
    <cellStyle name="Input 3 5 8 3" xfId="28906" xr:uid="{00000000-0005-0000-0000-0000E5700000}"/>
    <cellStyle name="Input 3 5 8 4" xfId="28907" xr:uid="{00000000-0005-0000-0000-0000E6700000}"/>
    <cellStyle name="Input 3 5 8 5" xfId="28908" xr:uid="{00000000-0005-0000-0000-0000E7700000}"/>
    <cellStyle name="Input 3 5 8 6" xfId="28909" xr:uid="{00000000-0005-0000-0000-0000E8700000}"/>
    <cellStyle name="Input 3 5 9" xfId="28910" xr:uid="{00000000-0005-0000-0000-0000E9700000}"/>
    <cellStyle name="Input 3 5 9 2" xfId="28911" xr:uid="{00000000-0005-0000-0000-0000EA700000}"/>
    <cellStyle name="Input 3 5 9 3" xfId="28912" xr:uid="{00000000-0005-0000-0000-0000EB700000}"/>
    <cellStyle name="Input 3 5 9 4" xfId="28913" xr:uid="{00000000-0005-0000-0000-0000EC700000}"/>
    <cellStyle name="Input 3 5 9 5" xfId="28914" xr:uid="{00000000-0005-0000-0000-0000ED700000}"/>
    <cellStyle name="Input 3 5 9 6" xfId="28915" xr:uid="{00000000-0005-0000-0000-0000EE700000}"/>
    <cellStyle name="Input 3 6" xfId="28916" xr:uid="{00000000-0005-0000-0000-0000EF700000}"/>
    <cellStyle name="Input 3 6 2" xfId="28917" xr:uid="{00000000-0005-0000-0000-0000F0700000}"/>
    <cellStyle name="Input 3 6 2 2" xfId="28918" xr:uid="{00000000-0005-0000-0000-0000F1700000}"/>
    <cellStyle name="Input 3 6 2 2 2" xfId="28919" xr:uid="{00000000-0005-0000-0000-0000F2700000}"/>
    <cellStyle name="Input 3 6 2 2 3" xfId="28920" xr:uid="{00000000-0005-0000-0000-0000F3700000}"/>
    <cellStyle name="Input 3 6 2 2 4" xfId="28921" xr:uid="{00000000-0005-0000-0000-0000F4700000}"/>
    <cellStyle name="Input 3 6 2 2 5" xfId="28922" xr:uid="{00000000-0005-0000-0000-0000F5700000}"/>
    <cellStyle name="Input 3 6 2 2 6" xfId="28923" xr:uid="{00000000-0005-0000-0000-0000F6700000}"/>
    <cellStyle name="Input 3 6 2 3" xfId="28924" xr:uid="{00000000-0005-0000-0000-0000F7700000}"/>
    <cellStyle name="Input 3 6 2 4" xfId="28925" xr:uid="{00000000-0005-0000-0000-0000F8700000}"/>
    <cellStyle name="Input 3 6 2 5" xfId="28926" xr:uid="{00000000-0005-0000-0000-0000F9700000}"/>
    <cellStyle name="Input 3 6 2 6" xfId="28927" xr:uid="{00000000-0005-0000-0000-0000FA700000}"/>
    <cellStyle name="Input 3 6 3" xfId="28928" xr:uid="{00000000-0005-0000-0000-0000FB700000}"/>
    <cellStyle name="Input 3 6 3 2" xfId="28929" xr:uid="{00000000-0005-0000-0000-0000FC700000}"/>
    <cellStyle name="Input 3 6 3 2 2" xfId="28930" xr:uid="{00000000-0005-0000-0000-0000FD700000}"/>
    <cellStyle name="Input 3 6 3 2 3" xfId="28931" xr:uid="{00000000-0005-0000-0000-0000FE700000}"/>
    <cellStyle name="Input 3 6 3 2 4" xfId="28932" xr:uid="{00000000-0005-0000-0000-0000FF700000}"/>
    <cellStyle name="Input 3 6 3 2 5" xfId="28933" xr:uid="{00000000-0005-0000-0000-000000710000}"/>
    <cellStyle name="Input 3 6 3 2 6" xfId="28934" xr:uid="{00000000-0005-0000-0000-000001710000}"/>
    <cellStyle name="Input 3 6 3 3" xfId="28935" xr:uid="{00000000-0005-0000-0000-000002710000}"/>
    <cellStyle name="Input 3 6 3 4" xfId="28936" xr:uid="{00000000-0005-0000-0000-000003710000}"/>
    <cellStyle name="Input 3 6 3 5" xfId="28937" xr:uid="{00000000-0005-0000-0000-000004710000}"/>
    <cellStyle name="Input 3 6 3 6" xfId="28938" xr:uid="{00000000-0005-0000-0000-000005710000}"/>
    <cellStyle name="Input 3 6 4" xfId="28939" xr:uid="{00000000-0005-0000-0000-000006710000}"/>
    <cellStyle name="Input 3 6 4 2" xfId="28940" xr:uid="{00000000-0005-0000-0000-000007710000}"/>
    <cellStyle name="Input 3 6 4 3" xfId="28941" xr:uid="{00000000-0005-0000-0000-000008710000}"/>
    <cellStyle name="Input 3 6 4 4" xfId="28942" xr:uid="{00000000-0005-0000-0000-000009710000}"/>
    <cellStyle name="Input 3 6 4 5" xfId="28943" xr:uid="{00000000-0005-0000-0000-00000A710000}"/>
    <cellStyle name="Input 3 6 4 6" xfId="28944" xr:uid="{00000000-0005-0000-0000-00000B710000}"/>
    <cellStyle name="Input 3 6 5" xfId="28945" xr:uid="{00000000-0005-0000-0000-00000C710000}"/>
    <cellStyle name="Input 3 6 6" xfId="28946" xr:uid="{00000000-0005-0000-0000-00000D710000}"/>
    <cellStyle name="Input 3 6 7" xfId="28947" xr:uid="{00000000-0005-0000-0000-00000E710000}"/>
    <cellStyle name="Input 3 6 8" xfId="28948" xr:uid="{00000000-0005-0000-0000-00000F710000}"/>
    <cellStyle name="Input 3 7" xfId="28949" xr:uid="{00000000-0005-0000-0000-000010710000}"/>
    <cellStyle name="Input 3 7 2" xfId="28950" xr:uid="{00000000-0005-0000-0000-000011710000}"/>
    <cellStyle name="Input 3 7 2 2" xfId="28951" xr:uid="{00000000-0005-0000-0000-000012710000}"/>
    <cellStyle name="Input 3 7 2 2 2" xfId="28952" xr:uid="{00000000-0005-0000-0000-000013710000}"/>
    <cellStyle name="Input 3 7 2 2 3" xfId="28953" xr:uid="{00000000-0005-0000-0000-000014710000}"/>
    <cellStyle name="Input 3 7 2 2 4" xfId="28954" xr:uid="{00000000-0005-0000-0000-000015710000}"/>
    <cellStyle name="Input 3 7 2 2 5" xfId="28955" xr:uid="{00000000-0005-0000-0000-000016710000}"/>
    <cellStyle name="Input 3 7 2 2 6" xfId="28956" xr:uid="{00000000-0005-0000-0000-000017710000}"/>
    <cellStyle name="Input 3 7 2 3" xfId="28957" xr:uid="{00000000-0005-0000-0000-000018710000}"/>
    <cellStyle name="Input 3 7 2 4" xfId="28958" xr:uid="{00000000-0005-0000-0000-000019710000}"/>
    <cellStyle name="Input 3 7 2 5" xfId="28959" xr:uid="{00000000-0005-0000-0000-00001A710000}"/>
    <cellStyle name="Input 3 7 2 6" xfId="28960" xr:uid="{00000000-0005-0000-0000-00001B710000}"/>
    <cellStyle name="Input 3 7 3" xfId="28961" xr:uid="{00000000-0005-0000-0000-00001C710000}"/>
    <cellStyle name="Input 3 7 3 2" xfId="28962" xr:uid="{00000000-0005-0000-0000-00001D710000}"/>
    <cellStyle name="Input 3 7 3 2 2" xfId="28963" xr:uid="{00000000-0005-0000-0000-00001E710000}"/>
    <cellStyle name="Input 3 7 3 2 3" xfId="28964" xr:uid="{00000000-0005-0000-0000-00001F710000}"/>
    <cellStyle name="Input 3 7 3 2 4" xfId="28965" xr:uid="{00000000-0005-0000-0000-000020710000}"/>
    <cellStyle name="Input 3 7 3 2 5" xfId="28966" xr:uid="{00000000-0005-0000-0000-000021710000}"/>
    <cellStyle name="Input 3 7 3 2 6" xfId="28967" xr:uid="{00000000-0005-0000-0000-000022710000}"/>
    <cellStyle name="Input 3 7 3 3" xfId="28968" xr:uid="{00000000-0005-0000-0000-000023710000}"/>
    <cellStyle name="Input 3 7 3 4" xfId="28969" xr:uid="{00000000-0005-0000-0000-000024710000}"/>
    <cellStyle name="Input 3 7 3 5" xfId="28970" xr:uid="{00000000-0005-0000-0000-000025710000}"/>
    <cellStyle name="Input 3 7 3 6" xfId="28971" xr:uid="{00000000-0005-0000-0000-000026710000}"/>
    <cellStyle name="Input 3 7 4" xfId="28972" xr:uid="{00000000-0005-0000-0000-000027710000}"/>
    <cellStyle name="Input 3 7 4 2" xfId="28973" xr:uid="{00000000-0005-0000-0000-000028710000}"/>
    <cellStyle name="Input 3 7 4 3" xfId="28974" xr:uid="{00000000-0005-0000-0000-000029710000}"/>
    <cellStyle name="Input 3 7 4 4" xfId="28975" xr:uid="{00000000-0005-0000-0000-00002A710000}"/>
    <cellStyle name="Input 3 7 4 5" xfId="28976" xr:uid="{00000000-0005-0000-0000-00002B710000}"/>
    <cellStyle name="Input 3 7 4 6" xfId="28977" xr:uid="{00000000-0005-0000-0000-00002C710000}"/>
    <cellStyle name="Input 3 7 5" xfId="28978" xr:uid="{00000000-0005-0000-0000-00002D710000}"/>
    <cellStyle name="Input 3 7 6" xfId="28979" xr:uid="{00000000-0005-0000-0000-00002E710000}"/>
    <cellStyle name="Input 3 7 7" xfId="28980" xr:uid="{00000000-0005-0000-0000-00002F710000}"/>
    <cellStyle name="Input 3 7 8" xfId="28981" xr:uid="{00000000-0005-0000-0000-000030710000}"/>
    <cellStyle name="Input 3 8" xfId="28982" xr:uid="{00000000-0005-0000-0000-000031710000}"/>
    <cellStyle name="Input 3 8 2" xfId="28983" xr:uid="{00000000-0005-0000-0000-000032710000}"/>
    <cellStyle name="Input 3 8 2 2" xfId="28984" xr:uid="{00000000-0005-0000-0000-000033710000}"/>
    <cellStyle name="Input 3 8 2 2 2" xfId="28985" xr:uid="{00000000-0005-0000-0000-000034710000}"/>
    <cellStyle name="Input 3 8 2 2 3" xfId="28986" xr:uid="{00000000-0005-0000-0000-000035710000}"/>
    <cellStyle name="Input 3 8 2 2 4" xfId="28987" xr:uid="{00000000-0005-0000-0000-000036710000}"/>
    <cellStyle name="Input 3 8 2 2 5" xfId="28988" xr:uid="{00000000-0005-0000-0000-000037710000}"/>
    <cellStyle name="Input 3 8 2 2 6" xfId="28989" xr:uid="{00000000-0005-0000-0000-000038710000}"/>
    <cellStyle name="Input 3 8 2 3" xfId="28990" xr:uid="{00000000-0005-0000-0000-000039710000}"/>
    <cellStyle name="Input 3 8 2 4" xfId="28991" xr:uid="{00000000-0005-0000-0000-00003A710000}"/>
    <cellStyle name="Input 3 8 2 5" xfId="28992" xr:uid="{00000000-0005-0000-0000-00003B710000}"/>
    <cellStyle name="Input 3 8 2 6" xfId="28993" xr:uid="{00000000-0005-0000-0000-00003C710000}"/>
    <cellStyle name="Input 3 8 3" xfId="28994" xr:uid="{00000000-0005-0000-0000-00003D710000}"/>
    <cellStyle name="Input 3 8 3 2" xfId="28995" xr:uid="{00000000-0005-0000-0000-00003E710000}"/>
    <cellStyle name="Input 3 8 3 2 2" xfId="28996" xr:uid="{00000000-0005-0000-0000-00003F710000}"/>
    <cellStyle name="Input 3 8 3 2 3" xfId="28997" xr:uid="{00000000-0005-0000-0000-000040710000}"/>
    <cellStyle name="Input 3 8 3 2 4" xfId="28998" xr:uid="{00000000-0005-0000-0000-000041710000}"/>
    <cellStyle name="Input 3 8 3 2 5" xfId="28999" xr:uid="{00000000-0005-0000-0000-000042710000}"/>
    <cellStyle name="Input 3 8 3 2 6" xfId="29000" xr:uid="{00000000-0005-0000-0000-000043710000}"/>
    <cellStyle name="Input 3 8 3 3" xfId="29001" xr:uid="{00000000-0005-0000-0000-000044710000}"/>
    <cellStyle name="Input 3 8 3 4" xfId="29002" xr:uid="{00000000-0005-0000-0000-000045710000}"/>
    <cellStyle name="Input 3 8 3 5" xfId="29003" xr:uid="{00000000-0005-0000-0000-000046710000}"/>
    <cellStyle name="Input 3 8 3 6" xfId="29004" xr:uid="{00000000-0005-0000-0000-000047710000}"/>
    <cellStyle name="Input 3 8 4" xfId="29005" xr:uid="{00000000-0005-0000-0000-000048710000}"/>
    <cellStyle name="Input 3 8 4 2" xfId="29006" xr:uid="{00000000-0005-0000-0000-000049710000}"/>
    <cellStyle name="Input 3 8 4 3" xfId="29007" xr:uid="{00000000-0005-0000-0000-00004A710000}"/>
    <cellStyle name="Input 3 8 4 4" xfId="29008" xr:uid="{00000000-0005-0000-0000-00004B710000}"/>
    <cellStyle name="Input 3 8 4 5" xfId="29009" xr:uid="{00000000-0005-0000-0000-00004C710000}"/>
    <cellStyle name="Input 3 8 4 6" xfId="29010" xr:uid="{00000000-0005-0000-0000-00004D710000}"/>
    <cellStyle name="Input 3 8 5" xfId="29011" xr:uid="{00000000-0005-0000-0000-00004E710000}"/>
    <cellStyle name="Input 3 8 6" xfId="29012" xr:uid="{00000000-0005-0000-0000-00004F710000}"/>
    <cellStyle name="Input 3 8 7" xfId="29013" xr:uid="{00000000-0005-0000-0000-000050710000}"/>
    <cellStyle name="Input 3 8 8" xfId="29014" xr:uid="{00000000-0005-0000-0000-000051710000}"/>
    <cellStyle name="Input 3 9" xfId="29015" xr:uid="{00000000-0005-0000-0000-000052710000}"/>
    <cellStyle name="Input 3 9 2" xfId="29016" xr:uid="{00000000-0005-0000-0000-000053710000}"/>
    <cellStyle name="Input 3 9 2 2" xfId="29017" xr:uid="{00000000-0005-0000-0000-000054710000}"/>
    <cellStyle name="Input 3 9 2 3" xfId="29018" xr:uid="{00000000-0005-0000-0000-000055710000}"/>
    <cellStyle name="Input 3 9 2 4" xfId="29019" xr:uid="{00000000-0005-0000-0000-000056710000}"/>
    <cellStyle name="Input 3 9 2 5" xfId="29020" xr:uid="{00000000-0005-0000-0000-000057710000}"/>
    <cellStyle name="Input 3 9 2 6" xfId="29021" xr:uid="{00000000-0005-0000-0000-000058710000}"/>
    <cellStyle name="Input 3 9 3" xfId="29022" xr:uid="{00000000-0005-0000-0000-000059710000}"/>
    <cellStyle name="Input 3 9 4" xfId="29023" xr:uid="{00000000-0005-0000-0000-00005A710000}"/>
    <cellStyle name="Input 3 9 5" xfId="29024" xr:uid="{00000000-0005-0000-0000-00005B710000}"/>
    <cellStyle name="Input 3 9 6" xfId="29025" xr:uid="{00000000-0005-0000-0000-00005C710000}"/>
    <cellStyle name="Input 4" xfId="29026" xr:uid="{00000000-0005-0000-0000-00005D710000}"/>
    <cellStyle name="Input 4 2" xfId="29027" xr:uid="{00000000-0005-0000-0000-00005E710000}"/>
    <cellStyle name="Input 4 2 10" xfId="29028" xr:uid="{00000000-0005-0000-0000-00005F710000}"/>
    <cellStyle name="Input 4 2 11" xfId="29029" xr:uid="{00000000-0005-0000-0000-000060710000}"/>
    <cellStyle name="Input 4 2 12" xfId="29030" xr:uid="{00000000-0005-0000-0000-000061710000}"/>
    <cellStyle name="Input 4 2 13" xfId="29031" xr:uid="{00000000-0005-0000-0000-000062710000}"/>
    <cellStyle name="Input 4 2 2" xfId="29032" xr:uid="{00000000-0005-0000-0000-000063710000}"/>
    <cellStyle name="Input 4 2 2 10" xfId="29033" xr:uid="{00000000-0005-0000-0000-000064710000}"/>
    <cellStyle name="Input 4 2 2 10 2" xfId="29034" xr:uid="{00000000-0005-0000-0000-000065710000}"/>
    <cellStyle name="Input 4 2 2 10 3" xfId="29035" xr:uid="{00000000-0005-0000-0000-000066710000}"/>
    <cellStyle name="Input 4 2 2 10 4" xfId="29036" xr:uid="{00000000-0005-0000-0000-000067710000}"/>
    <cellStyle name="Input 4 2 2 10 5" xfId="29037" xr:uid="{00000000-0005-0000-0000-000068710000}"/>
    <cellStyle name="Input 4 2 2 10 6" xfId="29038" xr:uid="{00000000-0005-0000-0000-000069710000}"/>
    <cellStyle name="Input 4 2 2 11" xfId="29039" xr:uid="{00000000-0005-0000-0000-00006A710000}"/>
    <cellStyle name="Input 4 2 2 12" xfId="29040" xr:uid="{00000000-0005-0000-0000-00006B710000}"/>
    <cellStyle name="Input 4 2 2 13" xfId="29041" xr:uid="{00000000-0005-0000-0000-00006C710000}"/>
    <cellStyle name="Input 4 2 2 14" xfId="29042" xr:uid="{00000000-0005-0000-0000-00006D710000}"/>
    <cellStyle name="Input 4 2 2 2" xfId="29043" xr:uid="{00000000-0005-0000-0000-00006E710000}"/>
    <cellStyle name="Input 4 2 2 2 10" xfId="29044" xr:uid="{00000000-0005-0000-0000-00006F710000}"/>
    <cellStyle name="Input 4 2 2 2 11" xfId="29045" xr:uid="{00000000-0005-0000-0000-000070710000}"/>
    <cellStyle name="Input 4 2 2 2 12" xfId="29046" xr:uid="{00000000-0005-0000-0000-000071710000}"/>
    <cellStyle name="Input 4 2 2 2 13" xfId="29047" xr:uid="{00000000-0005-0000-0000-000072710000}"/>
    <cellStyle name="Input 4 2 2 2 2" xfId="29048" xr:uid="{00000000-0005-0000-0000-000073710000}"/>
    <cellStyle name="Input 4 2 2 2 2 2" xfId="29049" xr:uid="{00000000-0005-0000-0000-000074710000}"/>
    <cellStyle name="Input 4 2 2 2 2 2 2" xfId="29050" xr:uid="{00000000-0005-0000-0000-000075710000}"/>
    <cellStyle name="Input 4 2 2 2 2 2 2 2" xfId="29051" xr:uid="{00000000-0005-0000-0000-000076710000}"/>
    <cellStyle name="Input 4 2 2 2 2 2 2 3" xfId="29052" xr:uid="{00000000-0005-0000-0000-000077710000}"/>
    <cellStyle name="Input 4 2 2 2 2 2 2 4" xfId="29053" xr:uid="{00000000-0005-0000-0000-000078710000}"/>
    <cellStyle name="Input 4 2 2 2 2 2 2 5" xfId="29054" xr:uid="{00000000-0005-0000-0000-000079710000}"/>
    <cellStyle name="Input 4 2 2 2 2 2 2 6" xfId="29055" xr:uid="{00000000-0005-0000-0000-00007A710000}"/>
    <cellStyle name="Input 4 2 2 2 2 2 3" xfId="29056" xr:uid="{00000000-0005-0000-0000-00007B710000}"/>
    <cellStyle name="Input 4 2 2 2 2 2 4" xfId="29057" xr:uid="{00000000-0005-0000-0000-00007C710000}"/>
    <cellStyle name="Input 4 2 2 2 2 2 5" xfId="29058" xr:uid="{00000000-0005-0000-0000-00007D710000}"/>
    <cellStyle name="Input 4 2 2 2 2 2 6" xfId="29059" xr:uid="{00000000-0005-0000-0000-00007E710000}"/>
    <cellStyle name="Input 4 2 2 2 2 3" xfId="29060" xr:uid="{00000000-0005-0000-0000-00007F710000}"/>
    <cellStyle name="Input 4 2 2 2 2 3 2" xfId="29061" xr:uid="{00000000-0005-0000-0000-000080710000}"/>
    <cellStyle name="Input 4 2 2 2 2 3 2 2" xfId="29062" xr:uid="{00000000-0005-0000-0000-000081710000}"/>
    <cellStyle name="Input 4 2 2 2 2 3 2 3" xfId="29063" xr:uid="{00000000-0005-0000-0000-000082710000}"/>
    <cellStyle name="Input 4 2 2 2 2 3 2 4" xfId="29064" xr:uid="{00000000-0005-0000-0000-000083710000}"/>
    <cellStyle name="Input 4 2 2 2 2 3 2 5" xfId="29065" xr:uid="{00000000-0005-0000-0000-000084710000}"/>
    <cellStyle name="Input 4 2 2 2 2 3 2 6" xfId="29066" xr:uid="{00000000-0005-0000-0000-000085710000}"/>
    <cellStyle name="Input 4 2 2 2 2 3 3" xfId="29067" xr:uid="{00000000-0005-0000-0000-000086710000}"/>
    <cellStyle name="Input 4 2 2 2 2 3 4" xfId="29068" xr:uid="{00000000-0005-0000-0000-000087710000}"/>
    <cellStyle name="Input 4 2 2 2 2 3 5" xfId="29069" xr:uid="{00000000-0005-0000-0000-000088710000}"/>
    <cellStyle name="Input 4 2 2 2 2 3 6" xfId="29070" xr:uid="{00000000-0005-0000-0000-000089710000}"/>
    <cellStyle name="Input 4 2 2 2 2 4" xfId="29071" xr:uid="{00000000-0005-0000-0000-00008A710000}"/>
    <cellStyle name="Input 4 2 2 2 2 4 2" xfId="29072" xr:uid="{00000000-0005-0000-0000-00008B710000}"/>
    <cellStyle name="Input 4 2 2 2 2 4 3" xfId="29073" xr:uid="{00000000-0005-0000-0000-00008C710000}"/>
    <cellStyle name="Input 4 2 2 2 2 4 4" xfId="29074" xr:uid="{00000000-0005-0000-0000-00008D710000}"/>
    <cellStyle name="Input 4 2 2 2 2 4 5" xfId="29075" xr:uid="{00000000-0005-0000-0000-00008E710000}"/>
    <cellStyle name="Input 4 2 2 2 2 4 6" xfId="29076" xr:uid="{00000000-0005-0000-0000-00008F710000}"/>
    <cellStyle name="Input 4 2 2 2 2 5" xfId="29077" xr:uid="{00000000-0005-0000-0000-000090710000}"/>
    <cellStyle name="Input 4 2 2 2 2 6" xfId="29078" xr:uid="{00000000-0005-0000-0000-000091710000}"/>
    <cellStyle name="Input 4 2 2 2 2 7" xfId="29079" xr:uid="{00000000-0005-0000-0000-000092710000}"/>
    <cellStyle name="Input 4 2 2 2 2 8" xfId="29080" xr:uid="{00000000-0005-0000-0000-000093710000}"/>
    <cellStyle name="Input 4 2 2 2 3" xfId="29081" xr:uid="{00000000-0005-0000-0000-000094710000}"/>
    <cellStyle name="Input 4 2 2 2 3 2" xfId="29082" xr:uid="{00000000-0005-0000-0000-000095710000}"/>
    <cellStyle name="Input 4 2 2 2 3 2 2" xfId="29083" xr:uid="{00000000-0005-0000-0000-000096710000}"/>
    <cellStyle name="Input 4 2 2 2 3 2 2 2" xfId="29084" xr:uid="{00000000-0005-0000-0000-000097710000}"/>
    <cellStyle name="Input 4 2 2 2 3 2 2 3" xfId="29085" xr:uid="{00000000-0005-0000-0000-000098710000}"/>
    <cellStyle name="Input 4 2 2 2 3 2 2 4" xfId="29086" xr:uid="{00000000-0005-0000-0000-000099710000}"/>
    <cellStyle name="Input 4 2 2 2 3 2 2 5" xfId="29087" xr:uid="{00000000-0005-0000-0000-00009A710000}"/>
    <cellStyle name="Input 4 2 2 2 3 2 2 6" xfId="29088" xr:uid="{00000000-0005-0000-0000-00009B710000}"/>
    <cellStyle name="Input 4 2 2 2 3 2 3" xfId="29089" xr:uid="{00000000-0005-0000-0000-00009C710000}"/>
    <cellStyle name="Input 4 2 2 2 3 2 4" xfId="29090" xr:uid="{00000000-0005-0000-0000-00009D710000}"/>
    <cellStyle name="Input 4 2 2 2 3 2 5" xfId="29091" xr:uid="{00000000-0005-0000-0000-00009E710000}"/>
    <cellStyle name="Input 4 2 2 2 3 2 6" xfId="29092" xr:uid="{00000000-0005-0000-0000-00009F710000}"/>
    <cellStyle name="Input 4 2 2 2 3 3" xfId="29093" xr:uid="{00000000-0005-0000-0000-0000A0710000}"/>
    <cellStyle name="Input 4 2 2 2 3 3 2" xfId="29094" xr:uid="{00000000-0005-0000-0000-0000A1710000}"/>
    <cellStyle name="Input 4 2 2 2 3 3 2 2" xfId="29095" xr:uid="{00000000-0005-0000-0000-0000A2710000}"/>
    <cellStyle name="Input 4 2 2 2 3 3 2 3" xfId="29096" xr:uid="{00000000-0005-0000-0000-0000A3710000}"/>
    <cellStyle name="Input 4 2 2 2 3 3 2 4" xfId="29097" xr:uid="{00000000-0005-0000-0000-0000A4710000}"/>
    <cellStyle name="Input 4 2 2 2 3 3 2 5" xfId="29098" xr:uid="{00000000-0005-0000-0000-0000A5710000}"/>
    <cellStyle name="Input 4 2 2 2 3 3 2 6" xfId="29099" xr:uid="{00000000-0005-0000-0000-0000A6710000}"/>
    <cellStyle name="Input 4 2 2 2 3 3 3" xfId="29100" xr:uid="{00000000-0005-0000-0000-0000A7710000}"/>
    <cellStyle name="Input 4 2 2 2 3 3 4" xfId="29101" xr:uid="{00000000-0005-0000-0000-0000A8710000}"/>
    <cellStyle name="Input 4 2 2 2 3 3 5" xfId="29102" xr:uid="{00000000-0005-0000-0000-0000A9710000}"/>
    <cellStyle name="Input 4 2 2 2 3 3 6" xfId="29103" xr:uid="{00000000-0005-0000-0000-0000AA710000}"/>
    <cellStyle name="Input 4 2 2 2 3 4" xfId="29104" xr:uid="{00000000-0005-0000-0000-0000AB710000}"/>
    <cellStyle name="Input 4 2 2 2 3 4 2" xfId="29105" xr:uid="{00000000-0005-0000-0000-0000AC710000}"/>
    <cellStyle name="Input 4 2 2 2 3 4 3" xfId="29106" xr:uid="{00000000-0005-0000-0000-0000AD710000}"/>
    <cellStyle name="Input 4 2 2 2 3 4 4" xfId="29107" xr:uid="{00000000-0005-0000-0000-0000AE710000}"/>
    <cellStyle name="Input 4 2 2 2 3 4 5" xfId="29108" xr:uid="{00000000-0005-0000-0000-0000AF710000}"/>
    <cellStyle name="Input 4 2 2 2 3 4 6" xfId="29109" xr:uid="{00000000-0005-0000-0000-0000B0710000}"/>
    <cellStyle name="Input 4 2 2 2 3 5" xfId="29110" xr:uid="{00000000-0005-0000-0000-0000B1710000}"/>
    <cellStyle name="Input 4 2 2 2 3 6" xfId="29111" xr:uid="{00000000-0005-0000-0000-0000B2710000}"/>
    <cellStyle name="Input 4 2 2 2 3 7" xfId="29112" xr:uid="{00000000-0005-0000-0000-0000B3710000}"/>
    <cellStyle name="Input 4 2 2 2 3 8" xfId="29113" xr:uid="{00000000-0005-0000-0000-0000B4710000}"/>
    <cellStyle name="Input 4 2 2 2 4" xfId="29114" xr:uid="{00000000-0005-0000-0000-0000B5710000}"/>
    <cellStyle name="Input 4 2 2 2 4 2" xfId="29115" xr:uid="{00000000-0005-0000-0000-0000B6710000}"/>
    <cellStyle name="Input 4 2 2 2 4 2 2" xfId="29116" xr:uid="{00000000-0005-0000-0000-0000B7710000}"/>
    <cellStyle name="Input 4 2 2 2 4 2 2 2" xfId="29117" xr:uid="{00000000-0005-0000-0000-0000B8710000}"/>
    <cellStyle name="Input 4 2 2 2 4 2 2 3" xfId="29118" xr:uid="{00000000-0005-0000-0000-0000B9710000}"/>
    <cellStyle name="Input 4 2 2 2 4 2 2 4" xfId="29119" xr:uid="{00000000-0005-0000-0000-0000BA710000}"/>
    <cellStyle name="Input 4 2 2 2 4 2 2 5" xfId="29120" xr:uid="{00000000-0005-0000-0000-0000BB710000}"/>
    <cellStyle name="Input 4 2 2 2 4 2 2 6" xfId="29121" xr:uid="{00000000-0005-0000-0000-0000BC710000}"/>
    <cellStyle name="Input 4 2 2 2 4 2 3" xfId="29122" xr:uid="{00000000-0005-0000-0000-0000BD710000}"/>
    <cellStyle name="Input 4 2 2 2 4 2 4" xfId="29123" xr:uid="{00000000-0005-0000-0000-0000BE710000}"/>
    <cellStyle name="Input 4 2 2 2 4 2 5" xfId="29124" xr:uid="{00000000-0005-0000-0000-0000BF710000}"/>
    <cellStyle name="Input 4 2 2 2 4 2 6" xfId="29125" xr:uid="{00000000-0005-0000-0000-0000C0710000}"/>
    <cellStyle name="Input 4 2 2 2 4 3" xfId="29126" xr:uid="{00000000-0005-0000-0000-0000C1710000}"/>
    <cellStyle name="Input 4 2 2 2 4 3 2" xfId="29127" xr:uid="{00000000-0005-0000-0000-0000C2710000}"/>
    <cellStyle name="Input 4 2 2 2 4 3 2 2" xfId="29128" xr:uid="{00000000-0005-0000-0000-0000C3710000}"/>
    <cellStyle name="Input 4 2 2 2 4 3 2 3" xfId="29129" xr:uid="{00000000-0005-0000-0000-0000C4710000}"/>
    <cellStyle name="Input 4 2 2 2 4 3 2 4" xfId="29130" xr:uid="{00000000-0005-0000-0000-0000C5710000}"/>
    <cellStyle name="Input 4 2 2 2 4 3 2 5" xfId="29131" xr:uid="{00000000-0005-0000-0000-0000C6710000}"/>
    <cellStyle name="Input 4 2 2 2 4 3 2 6" xfId="29132" xr:uid="{00000000-0005-0000-0000-0000C7710000}"/>
    <cellStyle name="Input 4 2 2 2 4 3 3" xfId="29133" xr:uid="{00000000-0005-0000-0000-0000C8710000}"/>
    <cellStyle name="Input 4 2 2 2 4 3 4" xfId="29134" xr:uid="{00000000-0005-0000-0000-0000C9710000}"/>
    <cellStyle name="Input 4 2 2 2 4 3 5" xfId="29135" xr:uid="{00000000-0005-0000-0000-0000CA710000}"/>
    <cellStyle name="Input 4 2 2 2 4 3 6" xfId="29136" xr:uid="{00000000-0005-0000-0000-0000CB710000}"/>
    <cellStyle name="Input 4 2 2 2 4 4" xfId="29137" xr:uid="{00000000-0005-0000-0000-0000CC710000}"/>
    <cellStyle name="Input 4 2 2 2 4 4 2" xfId="29138" xr:uid="{00000000-0005-0000-0000-0000CD710000}"/>
    <cellStyle name="Input 4 2 2 2 4 4 3" xfId="29139" xr:uid="{00000000-0005-0000-0000-0000CE710000}"/>
    <cellStyle name="Input 4 2 2 2 4 4 4" xfId="29140" xr:uid="{00000000-0005-0000-0000-0000CF710000}"/>
    <cellStyle name="Input 4 2 2 2 4 4 5" xfId="29141" xr:uid="{00000000-0005-0000-0000-0000D0710000}"/>
    <cellStyle name="Input 4 2 2 2 4 4 6" xfId="29142" xr:uid="{00000000-0005-0000-0000-0000D1710000}"/>
    <cellStyle name="Input 4 2 2 2 4 5" xfId="29143" xr:uid="{00000000-0005-0000-0000-0000D2710000}"/>
    <cellStyle name="Input 4 2 2 2 4 6" xfId="29144" xr:uid="{00000000-0005-0000-0000-0000D3710000}"/>
    <cellStyle name="Input 4 2 2 2 4 7" xfId="29145" xr:uid="{00000000-0005-0000-0000-0000D4710000}"/>
    <cellStyle name="Input 4 2 2 2 4 8" xfId="29146" xr:uid="{00000000-0005-0000-0000-0000D5710000}"/>
    <cellStyle name="Input 4 2 2 2 5" xfId="29147" xr:uid="{00000000-0005-0000-0000-0000D6710000}"/>
    <cellStyle name="Input 4 2 2 2 5 2" xfId="29148" xr:uid="{00000000-0005-0000-0000-0000D7710000}"/>
    <cellStyle name="Input 4 2 2 2 5 2 2" xfId="29149" xr:uid="{00000000-0005-0000-0000-0000D8710000}"/>
    <cellStyle name="Input 4 2 2 2 5 2 2 2" xfId="29150" xr:uid="{00000000-0005-0000-0000-0000D9710000}"/>
    <cellStyle name="Input 4 2 2 2 5 2 2 3" xfId="29151" xr:uid="{00000000-0005-0000-0000-0000DA710000}"/>
    <cellStyle name="Input 4 2 2 2 5 2 2 4" xfId="29152" xr:uid="{00000000-0005-0000-0000-0000DB710000}"/>
    <cellStyle name="Input 4 2 2 2 5 2 2 5" xfId="29153" xr:uid="{00000000-0005-0000-0000-0000DC710000}"/>
    <cellStyle name="Input 4 2 2 2 5 2 2 6" xfId="29154" xr:uid="{00000000-0005-0000-0000-0000DD710000}"/>
    <cellStyle name="Input 4 2 2 2 5 2 3" xfId="29155" xr:uid="{00000000-0005-0000-0000-0000DE710000}"/>
    <cellStyle name="Input 4 2 2 2 5 2 4" xfId="29156" xr:uid="{00000000-0005-0000-0000-0000DF710000}"/>
    <cellStyle name="Input 4 2 2 2 5 2 5" xfId="29157" xr:uid="{00000000-0005-0000-0000-0000E0710000}"/>
    <cellStyle name="Input 4 2 2 2 5 2 6" xfId="29158" xr:uid="{00000000-0005-0000-0000-0000E1710000}"/>
    <cellStyle name="Input 4 2 2 2 5 3" xfId="29159" xr:uid="{00000000-0005-0000-0000-0000E2710000}"/>
    <cellStyle name="Input 4 2 2 2 5 3 2" xfId="29160" xr:uid="{00000000-0005-0000-0000-0000E3710000}"/>
    <cellStyle name="Input 4 2 2 2 5 3 2 2" xfId="29161" xr:uid="{00000000-0005-0000-0000-0000E4710000}"/>
    <cellStyle name="Input 4 2 2 2 5 3 2 3" xfId="29162" xr:uid="{00000000-0005-0000-0000-0000E5710000}"/>
    <cellStyle name="Input 4 2 2 2 5 3 2 4" xfId="29163" xr:uid="{00000000-0005-0000-0000-0000E6710000}"/>
    <cellStyle name="Input 4 2 2 2 5 3 2 5" xfId="29164" xr:uid="{00000000-0005-0000-0000-0000E7710000}"/>
    <cellStyle name="Input 4 2 2 2 5 3 2 6" xfId="29165" xr:uid="{00000000-0005-0000-0000-0000E8710000}"/>
    <cellStyle name="Input 4 2 2 2 5 3 3" xfId="29166" xr:uid="{00000000-0005-0000-0000-0000E9710000}"/>
    <cellStyle name="Input 4 2 2 2 5 3 4" xfId="29167" xr:uid="{00000000-0005-0000-0000-0000EA710000}"/>
    <cellStyle name="Input 4 2 2 2 5 3 5" xfId="29168" xr:uid="{00000000-0005-0000-0000-0000EB710000}"/>
    <cellStyle name="Input 4 2 2 2 5 3 6" xfId="29169" xr:uid="{00000000-0005-0000-0000-0000EC710000}"/>
    <cellStyle name="Input 4 2 2 2 5 4" xfId="29170" xr:uid="{00000000-0005-0000-0000-0000ED710000}"/>
    <cellStyle name="Input 4 2 2 2 5 4 2" xfId="29171" xr:uid="{00000000-0005-0000-0000-0000EE710000}"/>
    <cellStyle name="Input 4 2 2 2 5 4 3" xfId="29172" xr:uid="{00000000-0005-0000-0000-0000EF710000}"/>
    <cellStyle name="Input 4 2 2 2 5 4 4" xfId="29173" xr:uid="{00000000-0005-0000-0000-0000F0710000}"/>
    <cellStyle name="Input 4 2 2 2 5 4 5" xfId="29174" xr:uid="{00000000-0005-0000-0000-0000F1710000}"/>
    <cellStyle name="Input 4 2 2 2 5 4 6" xfId="29175" xr:uid="{00000000-0005-0000-0000-0000F2710000}"/>
    <cellStyle name="Input 4 2 2 2 5 5" xfId="29176" xr:uid="{00000000-0005-0000-0000-0000F3710000}"/>
    <cellStyle name="Input 4 2 2 2 5 6" xfId="29177" xr:uid="{00000000-0005-0000-0000-0000F4710000}"/>
    <cellStyle name="Input 4 2 2 2 5 7" xfId="29178" xr:uid="{00000000-0005-0000-0000-0000F5710000}"/>
    <cellStyle name="Input 4 2 2 2 5 8" xfId="29179" xr:uid="{00000000-0005-0000-0000-0000F6710000}"/>
    <cellStyle name="Input 4 2 2 2 6" xfId="29180" xr:uid="{00000000-0005-0000-0000-0000F7710000}"/>
    <cellStyle name="Input 4 2 2 2 6 2" xfId="29181" xr:uid="{00000000-0005-0000-0000-0000F8710000}"/>
    <cellStyle name="Input 4 2 2 2 6 2 2" xfId="29182" xr:uid="{00000000-0005-0000-0000-0000F9710000}"/>
    <cellStyle name="Input 4 2 2 2 6 2 2 2" xfId="29183" xr:uid="{00000000-0005-0000-0000-0000FA710000}"/>
    <cellStyle name="Input 4 2 2 2 6 2 2 3" xfId="29184" xr:uid="{00000000-0005-0000-0000-0000FB710000}"/>
    <cellStyle name="Input 4 2 2 2 6 2 2 4" xfId="29185" xr:uid="{00000000-0005-0000-0000-0000FC710000}"/>
    <cellStyle name="Input 4 2 2 2 6 2 2 5" xfId="29186" xr:uid="{00000000-0005-0000-0000-0000FD710000}"/>
    <cellStyle name="Input 4 2 2 2 6 2 2 6" xfId="29187" xr:uid="{00000000-0005-0000-0000-0000FE710000}"/>
    <cellStyle name="Input 4 2 2 2 6 2 3" xfId="29188" xr:uid="{00000000-0005-0000-0000-0000FF710000}"/>
    <cellStyle name="Input 4 2 2 2 6 2 4" xfId="29189" xr:uid="{00000000-0005-0000-0000-000000720000}"/>
    <cellStyle name="Input 4 2 2 2 6 2 5" xfId="29190" xr:uid="{00000000-0005-0000-0000-000001720000}"/>
    <cellStyle name="Input 4 2 2 2 6 2 6" xfId="29191" xr:uid="{00000000-0005-0000-0000-000002720000}"/>
    <cellStyle name="Input 4 2 2 2 6 3" xfId="29192" xr:uid="{00000000-0005-0000-0000-000003720000}"/>
    <cellStyle name="Input 4 2 2 2 6 3 2" xfId="29193" xr:uid="{00000000-0005-0000-0000-000004720000}"/>
    <cellStyle name="Input 4 2 2 2 6 3 2 2" xfId="29194" xr:uid="{00000000-0005-0000-0000-000005720000}"/>
    <cellStyle name="Input 4 2 2 2 6 3 2 3" xfId="29195" xr:uid="{00000000-0005-0000-0000-000006720000}"/>
    <cellStyle name="Input 4 2 2 2 6 3 2 4" xfId="29196" xr:uid="{00000000-0005-0000-0000-000007720000}"/>
    <cellStyle name="Input 4 2 2 2 6 3 2 5" xfId="29197" xr:uid="{00000000-0005-0000-0000-000008720000}"/>
    <cellStyle name="Input 4 2 2 2 6 3 2 6" xfId="29198" xr:uid="{00000000-0005-0000-0000-000009720000}"/>
    <cellStyle name="Input 4 2 2 2 6 3 3" xfId="29199" xr:uid="{00000000-0005-0000-0000-00000A720000}"/>
    <cellStyle name="Input 4 2 2 2 6 3 4" xfId="29200" xr:uid="{00000000-0005-0000-0000-00000B720000}"/>
    <cellStyle name="Input 4 2 2 2 6 3 5" xfId="29201" xr:uid="{00000000-0005-0000-0000-00000C720000}"/>
    <cellStyle name="Input 4 2 2 2 6 3 6" xfId="29202" xr:uid="{00000000-0005-0000-0000-00000D720000}"/>
    <cellStyle name="Input 4 2 2 2 6 4" xfId="29203" xr:uid="{00000000-0005-0000-0000-00000E720000}"/>
    <cellStyle name="Input 4 2 2 2 6 4 2" xfId="29204" xr:uid="{00000000-0005-0000-0000-00000F720000}"/>
    <cellStyle name="Input 4 2 2 2 6 4 3" xfId="29205" xr:uid="{00000000-0005-0000-0000-000010720000}"/>
    <cellStyle name="Input 4 2 2 2 6 4 4" xfId="29206" xr:uid="{00000000-0005-0000-0000-000011720000}"/>
    <cellStyle name="Input 4 2 2 2 6 4 5" xfId="29207" xr:uid="{00000000-0005-0000-0000-000012720000}"/>
    <cellStyle name="Input 4 2 2 2 6 4 6" xfId="29208" xr:uid="{00000000-0005-0000-0000-000013720000}"/>
    <cellStyle name="Input 4 2 2 2 6 5" xfId="29209" xr:uid="{00000000-0005-0000-0000-000014720000}"/>
    <cellStyle name="Input 4 2 2 2 6 6" xfId="29210" xr:uid="{00000000-0005-0000-0000-000015720000}"/>
    <cellStyle name="Input 4 2 2 2 6 7" xfId="29211" xr:uid="{00000000-0005-0000-0000-000016720000}"/>
    <cellStyle name="Input 4 2 2 2 6 8" xfId="29212" xr:uid="{00000000-0005-0000-0000-000017720000}"/>
    <cellStyle name="Input 4 2 2 2 7" xfId="29213" xr:uid="{00000000-0005-0000-0000-000018720000}"/>
    <cellStyle name="Input 4 2 2 2 7 2" xfId="29214" xr:uid="{00000000-0005-0000-0000-000019720000}"/>
    <cellStyle name="Input 4 2 2 2 7 2 2" xfId="29215" xr:uid="{00000000-0005-0000-0000-00001A720000}"/>
    <cellStyle name="Input 4 2 2 2 7 2 3" xfId="29216" xr:uid="{00000000-0005-0000-0000-00001B720000}"/>
    <cellStyle name="Input 4 2 2 2 7 2 4" xfId="29217" xr:uid="{00000000-0005-0000-0000-00001C720000}"/>
    <cellStyle name="Input 4 2 2 2 7 2 5" xfId="29218" xr:uid="{00000000-0005-0000-0000-00001D720000}"/>
    <cellStyle name="Input 4 2 2 2 7 2 6" xfId="29219" xr:uid="{00000000-0005-0000-0000-00001E720000}"/>
    <cellStyle name="Input 4 2 2 2 7 3" xfId="29220" xr:uid="{00000000-0005-0000-0000-00001F720000}"/>
    <cellStyle name="Input 4 2 2 2 7 4" xfId="29221" xr:uid="{00000000-0005-0000-0000-000020720000}"/>
    <cellStyle name="Input 4 2 2 2 7 5" xfId="29222" xr:uid="{00000000-0005-0000-0000-000021720000}"/>
    <cellStyle name="Input 4 2 2 2 7 6" xfId="29223" xr:uid="{00000000-0005-0000-0000-000022720000}"/>
    <cellStyle name="Input 4 2 2 2 8" xfId="29224" xr:uid="{00000000-0005-0000-0000-000023720000}"/>
    <cellStyle name="Input 4 2 2 2 8 2" xfId="29225" xr:uid="{00000000-0005-0000-0000-000024720000}"/>
    <cellStyle name="Input 4 2 2 2 8 2 2" xfId="29226" xr:uid="{00000000-0005-0000-0000-000025720000}"/>
    <cellStyle name="Input 4 2 2 2 8 2 3" xfId="29227" xr:uid="{00000000-0005-0000-0000-000026720000}"/>
    <cellStyle name="Input 4 2 2 2 8 2 4" xfId="29228" xr:uid="{00000000-0005-0000-0000-000027720000}"/>
    <cellStyle name="Input 4 2 2 2 8 2 5" xfId="29229" xr:uid="{00000000-0005-0000-0000-000028720000}"/>
    <cellStyle name="Input 4 2 2 2 8 2 6" xfId="29230" xr:uid="{00000000-0005-0000-0000-000029720000}"/>
    <cellStyle name="Input 4 2 2 2 8 3" xfId="29231" xr:uid="{00000000-0005-0000-0000-00002A720000}"/>
    <cellStyle name="Input 4 2 2 2 8 4" xfId="29232" xr:uid="{00000000-0005-0000-0000-00002B720000}"/>
    <cellStyle name="Input 4 2 2 2 8 5" xfId="29233" xr:uid="{00000000-0005-0000-0000-00002C720000}"/>
    <cellStyle name="Input 4 2 2 2 8 6" xfId="29234" xr:uid="{00000000-0005-0000-0000-00002D720000}"/>
    <cellStyle name="Input 4 2 2 2 9" xfId="29235" xr:uid="{00000000-0005-0000-0000-00002E720000}"/>
    <cellStyle name="Input 4 2 2 2 9 2" xfId="29236" xr:uid="{00000000-0005-0000-0000-00002F720000}"/>
    <cellStyle name="Input 4 2 2 2 9 3" xfId="29237" xr:uid="{00000000-0005-0000-0000-000030720000}"/>
    <cellStyle name="Input 4 2 2 2 9 4" xfId="29238" xr:uid="{00000000-0005-0000-0000-000031720000}"/>
    <cellStyle name="Input 4 2 2 2 9 5" xfId="29239" xr:uid="{00000000-0005-0000-0000-000032720000}"/>
    <cellStyle name="Input 4 2 2 2 9 6" xfId="29240" xr:uid="{00000000-0005-0000-0000-000033720000}"/>
    <cellStyle name="Input 4 2 2 3" xfId="29241" xr:uid="{00000000-0005-0000-0000-000034720000}"/>
    <cellStyle name="Input 4 2 2 3 2" xfId="29242" xr:uid="{00000000-0005-0000-0000-000035720000}"/>
    <cellStyle name="Input 4 2 2 3 2 2" xfId="29243" xr:uid="{00000000-0005-0000-0000-000036720000}"/>
    <cellStyle name="Input 4 2 2 3 2 2 2" xfId="29244" xr:uid="{00000000-0005-0000-0000-000037720000}"/>
    <cellStyle name="Input 4 2 2 3 2 2 3" xfId="29245" xr:uid="{00000000-0005-0000-0000-000038720000}"/>
    <cellStyle name="Input 4 2 2 3 2 2 4" xfId="29246" xr:uid="{00000000-0005-0000-0000-000039720000}"/>
    <cellStyle name="Input 4 2 2 3 2 2 5" xfId="29247" xr:uid="{00000000-0005-0000-0000-00003A720000}"/>
    <cellStyle name="Input 4 2 2 3 2 2 6" xfId="29248" xr:uid="{00000000-0005-0000-0000-00003B720000}"/>
    <cellStyle name="Input 4 2 2 3 2 3" xfId="29249" xr:uid="{00000000-0005-0000-0000-00003C720000}"/>
    <cellStyle name="Input 4 2 2 3 2 4" xfId="29250" xr:uid="{00000000-0005-0000-0000-00003D720000}"/>
    <cellStyle name="Input 4 2 2 3 2 5" xfId="29251" xr:uid="{00000000-0005-0000-0000-00003E720000}"/>
    <cellStyle name="Input 4 2 2 3 2 6" xfId="29252" xr:uid="{00000000-0005-0000-0000-00003F720000}"/>
    <cellStyle name="Input 4 2 2 3 3" xfId="29253" xr:uid="{00000000-0005-0000-0000-000040720000}"/>
    <cellStyle name="Input 4 2 2 3 3 2" xfId="29254" xr:uid="{00000000-0005-0000-0000-000041720000}"/>
    <cellStyle name="Input 4 2 2 3 3 2 2" xfId="29255" xr:uid="{00000000-0005-0000-0000-000042720000}"/>
    <cellStyle name="Input 4 2 2 3 3 2 3" xfId="29256" xr:uid="{00000000-0005-0000-0000-000043720000}"/>
    <cellStyle name="Input 4 2 2 3 3 2 4" xfId="29257" xr:uid="{00000000-0005-0000-0000-000044720000}"/>
    <cellStyle name="Input 4 2 2 3 3 2 5" xfId="29258" xr:uid="{00000000-0005-0000-0000-000045720000}"/>
    <cellStyle name="Input 4 2 2 3 3 2 6" xfId="29259" xr:uid="{00000000-0005-0000-0000-000046720000}"/>
    <cellStyle name="Input 4 2 2 3 3 3" xfId="29260" xr:uid="{00000000-0005-0000-0000-000047720000}"/>
    <cellStyle name="Input 4 2 2 3 3 4" xfId="29261" xr:uid="{00000000-0005-0000-0000-000048720000}"/>
    <cellStyle name="Input 4 2 2 3 3 5" xfId="29262" xr:uid="{00000000-0005-0000-0000-000049720000}"/>
    <cellStyle name="Input 4 2 2 3 3 6" xfId="29263" xr:uid="{00000000-0005-0000-0000-00004A720000}"/>
    <cellStyle name="Input 4 2 2 3 4" xfId="29264" xr:uid="{00000000-0005-0000-0000-00004B720000}"/>
    <cellStyle name="Input 4 2 2 3 4 2" xfId="29265" xr:uid="{00000000-0005-0000-0000-00004C720000}"/>
    <cellStyle name="Input 4 2 2 3 4 3" xfId="29266" xr:uid="{00000000-0005-0000-0000-00004D720000}"/>
    <cellStyle name="Input 4 2 2 3 4 4" xfId="29267" xr:uid="{00000000-0005-0000-0000-00004E720000}"/>
    <cellStyle name="Input 4 2 2 3 4 5" xfId="29268" xr:uid="{00000000-0005-0000-0000-00004F720000}"/>
    <cellStyle name="Input 4 2 2 3 4 6" xfId="29269" xr:uid="{00000000-0005-0000-0000-000050720000}"/>
    <cellStyle name="Input 4 2 2 3 5" xfId="29270" xr:uid="{00000000-0005-0000-0000-000051720000}"/>
    <cellStyle name="Input 4 2 2 3 6" xfId="29271" xr:uid="{00000000-0005-0000-0000-000052720000}"/>
    <cellStyle name="Input 4 2 2 3 7" xfId="29272" xr:uid="{00000000-0005-0000-0000-000053720000}"/>
    <cellStyle name="Input 4 2 2 3 8" xfId="29273" xr:uid="{00000000-0005-0000-0000-000054720000}"/>
    <cellStyle name="Input 4 2 2 4" xfId="29274" xr:uid="{00000000-0005-0000-0000-000055720000}"/>
    <cellStyle name="Input 4 2 2 4 2" xfId="29275" xr:uid="{00000000-0005-0000-0000-000056720000}"/>
    <cellStyle name="Input 4 2 2 4 2 2" xfId="29276" xr:uid="{00000000-0005-0000-0000-000057720000}"/>
    <cellStyle name="Input 4 2 2 4 2 2 2" xfId="29277" xr:uid="{00000000-0005-0000-0000-000058720000}"/>
    <cellStyle name="Input 4 2 2 4 2 2 3" xfId="29278" xr:uid="{00000000-0005-0000-0000-000059720000}"/>
    <cellStyle name="Input 4 2 2 4 2 2 4" xfId="29279" xr:uid="{00000000-0005-0000-0000-00005A720000}"/>
    <cellStyle name="Input 4 2 2 4 2 2 5" xfId="29280" xr:uid="{00000000-0005-0000-0000-00005B720000}"/>
    <cellStyle name="Input 4 2 2 4 2 2 6" xfId="29281" xr:uid="{00000000-0005-0000-0000-00005C720000}"/>
    <cellStyle name="Input 4 2 2 4 2 3" xfId="29282" xr:uid="{00000000-0005-0000-0000-00005D720000}"/>
    <cellStyle name="Input 4 2 2 4 2 4" xfId="29283" xr:uid="{00000000-0005-0000-0000-00005E720000}"/>
    <cellStyle name="Input 4 2 2 4 2 5" xfId="29284" xr:uid="{00000000-0005-0000-0000-00005F720000}"/>
    <cellStyle name="Input 4 2 2 4 2 6" xfId="29285" xr:uid="{00000000-0005-0000-0000-000060720000}"/>
    <cellStyle name="Input 4 2 2 4 3" xfId="29286" xr:uid="{00000000-0005-0000-0000-000061720000}"/>
    <cellStyle name="Input 4 2 2 4 3 2" xfId="29287" xr:uid="{00000000-0005-0000-0000-000062720000}"/>
    <cellStyle name="Input 4 2 2 4 3 2 2" xfId="29288" xr:uid="{00000000-0005-0000-0000-000063720000}"/>
    <cellStyle name="Input 4 2 2 4 3 2 3" xfId="29289" xr:uid="{00000000-0005-0000-0000-000064720000}"/>
    <cellStyle name="Input 4 2 2 4 3 2 4" xfId="29290" xr:uid="{00000000-0005-0000-0000-000065720000}"/>
    <cellStyle name="Input 4 2 2 4 3 2 5" xfId="29291" xr:uid="{00000000-0005-0000-0000-000066720000}"/>
    <cellStyle name="Input 4 2 2 4 3 2 6" xfId="29292" xr:uid="{00000000-0005-0000-0000-000067720000}"/>
    <cellStyle name="Input 4 2 2 4 3 3" xfId="29293" xr:uid="{00000000-0005-0000-0000-000068720000}"/>
    <cellStyle name="Input 4 2 2 4 3 4" xfId="29294" xr:uid="{00000000-0005-0000-0000-000069720000}"/>
    <cellStyle name="Input 4 2 2 4 3 5" xfId="29295" xr:uid="{00000000-0005-0000-0000-00006A720000}"/>
    <cellStyle name="Input 4 2 2 4 3 6" xfId="29296" xr:uid="{00000000-0005-0000-0000-00006B720000}"/>
    <cellStyle name="Input 4 2 2 4 4" xfId="29297" xr:uid="{00000000-0005-0000-0000-00006C720000}"/>
    <cellStyle name="Input 4 2 2 4 4 2" xfId="29298" xr:uid="{00000000-0005-0000-0000-00006D720000}"/>
    <cellStyle name="Input 4 2 2 4 4 3" xfId="29299" xr:uid="{00000000-0005-0000-0000-00006E720000}"/>
    <cellStyle name="Input 4 2 2 4 4 4" xfId="29300" xr:uid="{00000000-0005-0000-0000-00006F720000}"/>
    <cellStyle name="Input 4 2 2 4 4 5" xfId="29301" xr:uid="{00000000-0005-0000-0000-000070720000}"/>
    <cellStyle name="Input 4 2 2 4 4 6" xfId="29302" xr:uid="{00000000-0005-0000-0000-000071720000}"/>
    <cellStyle name="Input 4 2 2 4 5" xfId="29303" xr:uid="{00000000-0005-0000-0000-000072720000}"/>
    <cellStyle name="Input 4 2 2 4 6" xfId="29304" xr:uid="{00000000-0005-0000-0000-000073720000}"/>
    <cellStyle name="Input 4 2 2 4 7" xfId="29305" xr:uid="{00000000-0005-0000-0000-000074720000}"/>
    <cellStyle name="Input 4 2 2 4 8" xfId="29306" xr:uid="{00000000-0005-0000-0000-000075720000}"/>
    <cellStyle name="Input 4 2 2 5" xfId="29307" xr:uid="{00000000-0005-0000-0000-000076720000}"/>
    <cellStyle name="Input 4 2 2 5 2" xfId="29308" xr:uid="{00000000-0005-0000-0000-000077720000}"/>
    <cellStyle name="Input 4 2 2 5 2 2" xfId="29309" xr:uid="{00000000-0005-0000-0000-000078720000}"/>
    <cellStyle name="Input 4 2 2 5 2 2 2" xfId="29310" xr:uid="{00000000-0005-0000-0000-000079720000}"/>
    <cellStyle name="Input 4 2 2 5 2 2 3" xfId="29311" xr:uid="{00000000-0005-0000-0000-00007A720000}"/>
    <cellStyle name="Input 4 2 2 5 2 2 4" xfId="29312" xr:uid="{00000000-0005-0000-0000-00007B720000}"/>
    <cellStyle name="Input 4 2 2 5 2 2 5" xfId="29313" xr:uid="{00000000-0005-0000-0000-00007C720000}"/>
    <cellStyle name="Input 4 2 2 5 2 2 6" xfId="29314" xr:uid="{00000000-0005-0000-0000-00007D720000}"/>
    <cellStyle name="Input 4 2 2 5 2 3" xfId="29315" xr:uid="{00000000-0005-0000-0000-00007E720000}"/>
    <cellStyle name="Input 4 2 2 5 2 4" xfId="29316" xr:uid="{00000000-0005-0000-0000-00007F720000}"/>
    <cellStyle name="Input 4 2 2 5 2 5" xfId="29317" xr:uid="{00000000-0005-0000-0000-000080720000}"/>
    <cellStyle name="Input 4 2 2 5 2 6" xfId="29318" xr:uid="{00000000-0005-0000-0000-000081720000}"/>
    <cellStyle name="Input 4 2 2 5 3" xfId="29319" xr:uid="{00000000-0005-0000-0000-000082720000}"/>
    <cellStyle name="Input 4 2 2 5 3 2" xfId="29320" xr:uid="{00000000-0005-0000-0000-000083720000}"/>
    <cellStyle name="Input 4 2 2 5 3 2 2" xfId="29321" xr:uid="{00000000-0005-0000-0000-000084720000}"/>
    <cellStyle name="Input 4 2 2 5 3 2 3" xfId="29322" xr:uid="{00000000-0005-0000-0000-000085720000}"/>
    <cellStyle name="Input 4 2 2 5 3 2 4" xfId="29323" xr:uid="{00000000-0005-0000-0000-000086720000}"/>
    <cellStyle name="Input 4 2 2 5 3 2 5" xfId="29324" xr:uid="{00000000-0005-0000-0000-000087720000}"/>
    <cellStyle name="Input 4 2 2 5 3 2 6" xfId="29325" xr:uid="{00000000-0005-0000-0000-000088720000}"/>
    <cellStyle name="Input 4 2 2 5 3 3" xfId="29326" xr:uid="{00000000-0005-0000-0000-000089720000}"/>
    <cellStyle name="Input 4 2 2 5 3 4" xfId="29327" xr:uid="{00000000-0005-0000-0000-00008A720000}"/>
    <cellStyle name="Input 4 2 2 5 3 5" xfId="29328" xr:uid="{00000000-0005-0000-0000-00008B720000}"/>
    <cellStyle name="Input 4 2 2 5 3 6" xfId="29329" xr:uid="{00000000-0005-0000-0000-00008C720000}"/>
    <cellStyle name="Input 4 2 2 5 4" xfId="29330" xr:uid="{00000000-0005-0000-0000-00008D720000}"/>
    <cellStyle name="Input 4 2 2 5 4 2" xfId="29331" xr:uid="{00000000-0005-0000-0000-00008E720000}"/>
    <cellStyle name="Input 4 2 2 5 4 3" xfId="29332" xr:uid="{00000000-0005-0000-0000-00008F720000}"/>
    <cellStyle name="Input 4 2 2 5 4 4" xfId="29333" xr:uid="{00000000-0005-0000-0000-000090720000}"/>
    <cellStyle name="Input 4 2 2 5 4 5" xfId="29334" xr:uid="{00000000-0005-0000-0000-000091720000}"/>
    <cellStyle name="Input 4 2 2 5 4 6" xfId="29335" xr:uid="{00000000-0005-0000-0000-000092720000}"/>
    <cellStyle name="Input 4 2 2 5 5" xfId="29336" xr:uid="{00000000-0005-0000-0000-000093720000}"/>
    <cellStyle name="Input 4 2 2 5 6" xfId="29337" xr:uid="{00000000-0005-0000-0000-000094720000}"/>
    <cellStyle name="Input 4 2 2 5 7" xfId="29338" xr:uid="{00000000-0005-0000-0000-000095720000}"/>
    <cellStyle name="Input 4 2 2 5 8" xfId="29339" xr:uid="{00000000-0005-0000-0000-000096720000}"/>
    <cellStyle name="Input 4 2 2 6" xfId="29340" xr:uid="{00000000-0005-0000-0000-000097720000}"/>
    <cellStyle name="Input 4 2 2 6 2" xfId="29341" xr:uid="{00000000-0005-0000-0000-000098720000}"/>
    <cellStyle name="Input 4 2 2 6 2 2" xfId="29342" xr:uid="{00000000-0005-0000-0000-000099720000}"/>
    <cellStyle name="Input 4 2 2 6 2 2 2" xfId="29343" xr:uid="{00000000-0005-0000-0000-00009A720000}"/>
    <cellStyle name="Input 4 2 2 6 2 2 3" xfId="29344" xr:uid="{00000000-0005-0000-0000-00009B720000}"/>
    <cellStyle name="Input 4 2 2 6 2 2 4" xfId="29345" xr:uid="{00000000-0005-0000-0000-00009C720000}"/>
    <cellStyle name="Input 4 2 2 6 2 2 5" xfId="29346" xr:uid="{00000000-0005-0000-0000-00009D720000}"/>
    <cellStyle name="Input 4 2 2 6 2 2 6" xfId="29347" xr:uid="{00000000-0005-0000-0000-00009E720000}"/>
    <cellStyle name="Input 4 2 2 6 2 3" xfId="29348" xr:uid="{00000000-0005-0000-0000-00009F720000}"/>
    <cellStyle name="Input 4 2 2 6 2 4" xfId="29349" xr:uid="{00000000-0005-0000-0000-0000A0720000}"/>
    <cellStyle name="Input 4 2 2 6 2 5" xfId="29350" xr:uid="{00000000-0005-0000-0000-0000A1720000}"/>
    <cellStyle name="Input 4 2 2 6 2 6" xfId="29351" xr:uid="{00000000-0005-0000-0000-0000A2720000}"/>
    <cellStyle name="Input 4 2 2 6 3" xfId="29352" xr:uid="{00000000-0005-0000-0000-0000A3720000}"/>
    <cellStyle name="Input 4 2 2 6 3 2" xfId="29353" xr:uid="{00000000-0005-0000-0000-0000A4720000}"/>
    <cellStyle name="Input 4 2 2 6 3 2 2" xfId="29354" xr:uid="{00000000-0005-0000-0000-0000A5720000}"/>
    <cellStyle name="Input 4 2 2 6 3 2 3" xfId="29355" xr:uid="{00000000-0005-0000-0000-0000A6720000}"/>
    <cellStyle name="Input 4 2 2 6 3 2 4" xfId="29356" xr:uid="{00000000-0005-0000-0000-0000A7720000}"/>
    <cellStyle name="Input 4 2 2 6 3 2 5" xfId="29357" xr:uid="{00000000-0005-0000-0000-0000A8720000}"/>
    <cellStyle name="Input 4 2 2 6 3 2 6" xfId="29358" xr:uid="{00000000-0005-0000-0000-0000A9720000}"/>
    <cellStyle name="Input 4 2 2 6 3 3" xfId="29359" xr:uid="{00000000-0005-0000-0000-0000AA720000}"/>
    <cellStyle name="Input 4 2 2 6 3 4" xfId="29360" xr:uid="{00000000-0005-0000-0000-0000AB720000}"/>
    <cellStyle name="Input 4 2 2 6 3 5" xfId="29361" xr:uid="{00000000-0005-0000-0000-0000AC720000}"/>
    <cellStyle name="Input 4 2 2 6 3 6" xfId="29362" xr:uid="{00000000-0005-0000-0000-0000AD720000}"/>
    <cellStyle name="Input 4 2 2 6 4" xfId="29363" xr:uid="{00000000-0005-0000-0000-0000AE720000}"/>
    <cellStyle name="Input 4 2 2 6 4 2" xfId="29364" xr:uid="{00000000-0005-0000-0000-0000AF720000}"/>
    <cellStyle name="Input 4 2 2 6 4 3" xfId="29365" xr:uid="{00000000-0005-0000-0000-0000B0720000}"/>
    <cellStyle name="Input 4 2 2 6 4 4" xfId="29366" xr:uid="{00000000-0005-0000-0000-0000B1720000}"/>
    <cellStyle name="Input 4 2 2 6 4 5" xfId="29367" xr:uid="{00000000-0005-0000-0000-0000B2720000}"/>
    <cellStyle name="Input 4 2 2 6 4 6" xfId="29368" xr:uid="{00000000-0005-0000-0000-0000B3720000}"/>
    <cellStyle name="Input 4 2 2 6 5" xfId="29369" xr:uid="{00000000-0005-0000-0000-0000B4720000}"/>
    <cellStyle name="Input 4 2 2 6 6" xfId="29370" xr:uid="{00000000-0005-0000-0000-0000B5720000}"/>
    <cellStyle name="Input 4 2 2 6 7" xfId="29371" xr:uid="{00000000-0005-0000-0000-0000B6720000}"/>
    <cellStyle name="Input 4 2 2 6 8" xfId="29372" xr:uid="{00000000-0005-0000-0000-0000B7720000}"/>
    <cellStyle name="Input 4 2 2 7" xfId="29373" xr:uid="{00000000-0005-0000-0000-0000B8720000}"/>
    <cellStyle name="Input 4 2 2 7 2" xfId="29374" xr:uid="{00000000-0005-0000-0000-0000B9720000}"/>
    <cellStyle name="Input 4 2 2 7 2 2" xfId="29375" xr:uid="{00000000-0005-0000-0000-0000BA720000}"/>
    <cellStyle name="Input 4 2 2 7 2 2 2" xfId="29376" xr:uid="{00000000-0005-0000-0000-0000BB720000}"/>
    <cellStyle name="Input 4 2 2 7 2 2 3" xfId="29377" xr:uid="{00000000-0005-0000-0000-0000BC720000}"/>
    <cellStyle name="Input 4 2 2 7 2 2 4" xfId="29378" xr:uid="{00000000-0005-0000-0000-0000BD720000}"/>
    <cellStyle name="Input 4 2 2 7 2 2 5" xfId="29379" xr:uid="{00000000-0005-0000-0000-0000BE720000}"/>
    <cellStyle name="Input 4 2 2 7 2 2 6" xfId="29380" xr:uid="{00000000-0005-0000-0000-0000BF720000}"/>
    <cellStyle name="Input 4 2 2 7 2 3" xfId="29381" xr:uid="{00000000-0005-0000-0000-0000C0720000}"/>
    <cellStyle name="Input 4 2 2 7 2 4" xfId="29382" xr:uid="{00000000-0005-0000-0000-0000C1720000}"/>
    <cellStyle name="Input 4 2 2 7 2 5" xfId="29383" xr:uid="{00000000-0005-0000-0000-0000C2720000}"/>
    <cellStyle name="Input 4 2 2 7 2 6" xfId="29384" xr:uid="{00000000-0005-0000-0000-0000C3720000}"/>
    <cellStyle name="Input 4 2 2 7 3" xfId="29385" xr:uid="{00000000-0005-0000-0000-0000C4720000}"/>
    <cellStyle name="Input 4 2 2 7 3 2" xfId="29386" xr:uid="{00000000-0005-0000-0000-0000C5720000}"/>
    <cellStyle name="Input 4 2 2 7 3 2 2" xfId="29387" xr:uid="{00000000-0005-0000-0000-0000C6720000}"/>
    <cellStyle name="Input 4 2 2 7 3 2 3" xfId="29388" xr:uid="{00000000-0005-0000-0000-0000C7720000}"/>
    <cellStyle name="Input 4 2 2 7 3 2 4" xfId="29389" xr:uid="{00000000-0005-0000-0000-0000C8720000}"/>
    <cellStyle name="Input 4 2 2 7 3 2 5" xfId="29390" xr:uid="{00000000-0005-0000-0000-0000C9720000}"/>
    <cellStyle name="Input 4 2 2 7 3 2 6" xfId="29391" xr:uid="{00000000-0005-0000-0000-0000CA720000}"/>
    <cellStyle name="Input 4 2 2 7 3 3" xfId="29392" xr:uid="{00000000-0005-0000-0000-0000CB720000}"/>
    <cellStyle name="Input 4 2 2 7 3 4" xfId="29393" xr:uid="{00000000-0005-0000-0000-0000CC720000}"/>
    <cellStyle name="Input 4 2 2 7 3 5" xfId="29394" xr:uid="{00000000-0005-0000-0000-0000CD720000}"/>
    <cellStyle name="Input 4 2 2 7 3 6" xfId="29395" xr:uid="{00000000-0005-0000-0000-0000CE720000}"/>
    <cellStyle name="Input 4 2 2 7 4" xfId="29396" xr:uid="{00000000-0005-0000-0000-0000CF720000}"/>
    <cellStyle name="Input 4 2 2 7 4 2" xfId="29397" xr:uid="{00000000-0005-0000-0000-0000D0720000}"/>
    <cellStyle name="Input 4 2 2 7 4 3" xfId="29398" xr:uid="{00000000-0005-0000-0000-0000D1720000}"/>
    <cellStyle name="Input 4 2 2 7 4 4" xfId="29399" xr:uid="{00000000-0005-0000-0000-0000D2720000}"/>
    <cellStyle name="Input 4 2 2 7 4 5" xfId="29400" xr:uid="{00000000-0005-0000-0000-0000D3720000}"/>
    <cellStyle name="Input 4 2 2 7 4 6" xfId="29401" xr:uid="{00000000-0005-0000-0000-0000D4720000}"/>
    <cellStyle name="Input 4 2 2 7 5" xfId="29402" xr:uid="{00000000-0005-0000-0000-0000D5720000}"/>
    <cellStyle name="Input 4 2 2 7 6" xfId="29403" xr:uid="{00000000-0005-0000-0000-0000D6720000}"/>
    <cellStyle name="Input 4 2 2 7 7" xfId="29404" xr:uid="{00000000-0005-0000-0000-0000D7720000}"/>
    <cellStyle name="Input 4 2 2 7 8" xfId="29405" xr:uid="{00000000-0005-0000-0000-0000D8720000}"/>
    <cellStyle name="Input 4 2 2 8" xfId="29406" xr:uid="{00000000-0005-0000-0000-0000D9720000}"/>
    <cellStyle name="Input 4 2 2 8 2" xfId="29407" xr:uid="{00000000-0005-0000-0000-0000DA720000}"/>
    <cellStyle name="Input 4 2 2 8 2 2" xfId="29408" xr:uid="{00000000-0005-0000-0000-0000DB720000}"/>
    <cellStyle name="Input 4 2 2 8 2 3" xfId="29409" xr:uid="{00000000-0005-0000-0000-0000DC720000}"/>
    <cellStyle name="Input 4 2 2 8 2 4" xfId="29410" xr:uid="{00000000-0005-0000-0000-0000DD720000}"/>
    <cellStyle name="Input 4 2 2 8 2 5" xfId="29411" xr:uid="{00000000-0005-0000-0000-0000DE720000}"/>
    <cellStyle name="Input 4 2 2 8 2 6" xfId="29412" xr:uid="{00000000-0005-0000-0000-0000DF720000}"/>
    <cellStyle name="Input 4 2 2 8 3" xfId="29413" xr:uid="{00000000-0005-0000-0000-0000E0720000}"/>
    <cellStyle name="Input 4 2 2 8 4" xfId="29414" xr:uid="{00000000-0005-0000-0000-0000E1720000}"/>
    <cellStyle name="Input 4 2 2 8 5" xfId="29415" xr:uid="{00000000-0005-0000-0000-0000E2720000}"/>
    <cellStyle name="Input 4 2 2 8 6" xfId="29416" xr:uid="{00000000-0005-0000-0000-0000E3720000}"/>
    <cellStyle name="Input 4 2 2 9" xfId="29417" xr:uid="{00000000-0005-0000-0000-0000E4720000}"/>
    <cellStyle name="Input 4 2 2 9 2" xfId="29418" xr:uid="{00000000-0005-0000-0000-0000E5720000}"/>
    <cellStyle name="Input 4 2 2 9 2 2" xfId="29419" xr:uid="{00000000-0005-0000-0000-0000E6720000}"/>
    <cellStyle name="Input 4 2 2 9 2 3" xfId="29420" xr:uid="{00000000-0005-0000-0000-0000E7720000}"/>
    <cellStyle name="Input 4 2 2 9 2 4" xfId="29421" xr:uid="{00000000-0005-0000-0000-0000E8720000}"/>
    <cellStyle name="Input 4 2 2 9 2 5" xfId="29422" xr:uid="{00000000-0005-0000-0000-0000E9720000}"/>
    <cellStyle name="Input 4 2 2 9 2 6" xfId="29423" xr:uid="{00000000-0005-0000-0000-0000EA720000}"/>
    <cellStyle name="Input 4 2 2 9 3" xfId="29424" xr:uid="{00000000-0005-0000-0000-0000EB720000}"/>
    <cellStyle name="Input 4 2 2 9 4" xfId="29425" xr:uid="{00000000-0005-0000-0000-0000EC720000}"/>
    <cellStyle name="Input 4 2 2 9 5" xfId="29426" xr:uid="{00000000-0005-0000-0000-0000ED720000}"/>
    <cellStyle name="Input 4 2 2 9 6" xfId="29427" xr:uid="{00000000-0005-0000-0000-0000EE720000}"/>
    <cellStyle name="Input 4 2 3" xfId="29428" xr:uid="{00000000-0005-0000-0000-0000EF720000}"/>
    <cellStyle name="Input 4 2 3 10" xfId="29429" xr:uid="{00000000-0005-0000-0000-0000F0720000}"/>
    <cellStyle name="Input 4 2 3 11" xfId="29430" xr:uid="{00000000-0005-0000-0000-0000F1720000}"/>
    <cellStyle name="Input 4 2 3 12" xfId="29431" xr:uid="{00000000-0005-0000-0000-0000F2720000}"/>
    <cellStyle name="Input 4 2 3 13" xfId="29432" xr:uid="{00000000-0005-0000-0000-0000F3720000}"/>
    <cellStyle name="Input 4 2 3 2" xfId="29433" xr:uid="{00000000-0005-0000-0000-0000F4720000}"/>
    <cellStyle name="Input 4 2 3 2 2" xfId="29434" xr:uid="{00000000-0005-0000-0000-0000F5720000}"/>
    <cellStyle name="Input 4 2 3 2 2 2" xfId="29435" xr:uid="{00000000-0005-0000-0000-0000F6720000}"/>
    <cellStyle name="Input 4 2 3 2 2 2 2" xfId="29436" xr:uid="{00000000-0005-0000-0000-0000F7720000}"/>
    <cellStyle name="Input 4 2 3 2 2 2 3" xfId="29437" xr:uid="{00000000-0005-0000-0000-0000F8720000}"/>
    <cellStyle name="Input 4 2 3 2 2 2 4" xfId="29438" xr:uid="{00000000-0005-0000-0000-0000F9720000}"/>
    <cellStyle name="Input 4 2 3 2 2 2 5" xfId="29439" xr:uid="{00000000-0005-0000-0000-0000FA720000}"/>
    <cellStyle name="Input 4 2 3 2 2 2 6" xfId="29440" xr:uid="{00000000-0005-0000-0000-0000FB720000}"/>
    <cellStyle name="Input 4 2 3 2 2 3" xfId="29441" xr:uid="{00000000-0005-0000-0000-0000FC720000}"/>
    <cellStyle name="Input 4 2 3 2 2 4" xfId="29442" xr:uid="{00000000-0005-0000-0000-0000FD720000}"/>
    <cellStyle name="Input 4 2 3 2 2 5" xfId="29443" xr:uid="{00000000-0005-0000-0000-0000FE720000}"/>
    <cellStyle name="Input 4 2 3 2 2 6" xfId="29444" xr:uid="{00000000-0005-0000-0000-0000FF720000}"/>
    <cellStyle name="Input 4 2 3 2 3" xfId="29445" xr:uid="{00000000-0005-0000-0000-000000730000}"/>
    <cellStyle name="Input 4 2 3 2 3 2" xfId="29446" xr:uid="{00000000-0005-0000-0000-000001730000}"/>
    <cellStyle name="Input 4 2 3 2 3 2 2" xfId="29447" xr:uid="{00000000-0005-0000-0000-000002730000}"/>
    <cellStyle name="Input 4 2 3 2 3 2 3" xfId="29448" xr:uid="{00000000-0005-0000-0000-000003730000}"/>
    <cellStyle name="Input 4 2 3 2 3 2 4" xfId="29449" xr:uid="{00000000-0005-0000-0000-000004730000}"/>
    <cellStyle name="Input 4 2 3 2 3 2 5" xfId="29450" xr:uid="{00000000-0005-0000-0000-000005730000}"/>
    <cellStyle name="Input 4 2 3 2 3 2 6" xfId="29451" xr:uid="{00000000-0005-0000-0000-000006730000}"/>
    <cellStyle name="Input 4 2 3 2 3 3" xfId="29452" xr:uid="{00000000-0005-0000-0000-000007730000}"/>
    <cellStyle name="Input 4 2 3 2 3 4" xfId="29453" xr:uid="{00000000-0005-0000-0000-000008730000}"/>
    <cellStyle name="Input 4 2 3 2 3 5" xfId="29454" xr:uid="{00000000-0005-0000-0000-000009730000}"/>
    <cellStyle name="Input 4 2 3 2 3 6" xfId="29455" xr:uid="{00000000-0005-0000-0000-00000A730000}"/>
    <cellStyle name="Input 4 2 3 2 4" xfId="29456" xr:uid="{00000000-0005-0000-0000-00000B730000}"/>
    <cellStyle name="Input 4 2 3 2 4 2" xfId="29457" xr:uid="{00000000-0005-0000-0000-00000C730000}"/>
    <cellStyle name="Input 4 2 3 2 4 3" xfId="29458" xr:uid="{00000000-0005-0000-0000-00000D730000}"/>
    <cellStyle name="Input 4 2 3 2 4 4" xfId="29459" xr:uid="{00000000-0005-0000-0000-00000E730000}"/>
    <cellStyle name="Input 4 2 3 2 4 5" xfId="29460" xr:uid="{00000000-0005-0000-0000-00000F730000}"/>
    <cellStyle name="Input 4 2 3 2 4 6" xfId="29461" xr:uid="{00000000-0005-0000-0000-000010730000}"/>
    <cellStyle name="Input 4 2 3 2 5" xfId="29462" xr:uid="{00000000-0005-0000-0000-000011730000}"/>
    <cellStyle name="Input 4 2 3 2 6" xfId="29463" xr:uid="{00000000-0005-0000-0000-000012730000}"/>
    <cellStyle name="Input 4 2 3 2 7" xfId="29464" xr:uid="{00000000-0005-0000-0000-000013730000}"/>
    <cellStyle name="Input 4 2 3 2 8" xfId="29465" xr:uid="{00000000-0005-0000-0000-000014730000}"/>
    <cellStyle name="Input 4 2 3 3" xfId="29466" xr:uid="{00000000-0005-0000-0000-000015730000}"/>
    <cellStyle name="Input 4 2 3 3 2" xfId="29467" xr:uid="{00000000-0005-0000-0000-000016730000}"/>
    <cellStyle name="Input 4 2 3 3 2 2" xfId="29468" xr:uid="{00000000-0005-0000-0000-000017730000}"/>
    <cellStyle name="Input 4 2 3 3 2 2 2" xfId="29469" xr:uid="{00000000-0005-0000-0000-000018730000}"/>
    <cellStyle name="Input 4 2 3 3 2 2 3" xfId="29470" xr:uid="{00000000-0005-0000-0000-000019730000}"/>
    <cellStyle name="Input 4 2 3 3 2 2 4" xfId="29471" xr:uid="{00000000-0005-0000-0000-00001A730000}"/>
    <cellStyle name="Input 4 2 3 3 2 2 5" xfId="29472" xr:uid="{00000000-0005-0000-0000-00001B730000}"/>
    <cellStyle name="Input 4 2 3 3 2 2 6" xfId="29473" xr:uid="{00000000-0005-0000-0000-00001C730000}"/>
    <cellStyle name="Input 4 2 3 3 2 3" xfId="29474" xr:uid="{00000000-0005-0000-0000-00001D730000}"/>
    <cellStyle name="Input 4 2 3 3 2 4" xfId="29475" xr:uid="{00000000-0005-0000-0000-00001E730000}"/>
    <cellStyle name="Input 4 2 3 3 2 5" xfId="29476" xr:uid="{00000000-0005-0000-0000-00001F730000}"/>
    <cellStyle name="Input 4 2 3 3 2 6" xfId="29477" xr:uid="{00000000-0005-0000-0000-000020730000}"/>
    <cellStyle name="Input 4 2 3 3 3" xfId="29478" xr:uid="{00000000-0005-0000-0000-000021730000}"/>
    <cellStyle name="Input 4 2 3 3 3 2" xfId="29479" xr:uid="{00000000-0005-0000-0000-000022730000}"/>
    <cellStyle name="Input 4 2 3 3 3 2 2" xfId="29480" xr:uid="{00000000-0005-0000-0000-000023730000}"/>
    <cellStyle name="Input 4 2 3 3 3 2 3" xfId="29481" xr:uid="{00000000-0005-0000-0000-000024730000}"/>
    <cellStyle name="Input 4 2 3 3 3 2 4" xfId="29482" xr:uid="{00000000-0005-0000-0000-000025730000}"/>
    <cellStyle name="Input 4 2 3 3 3 2 5" xfId="29483" xr:uid="{00000000-0005-0000-0000-000026730000}"/>
    <cellStyle name="Input 4 2 3 3 3 2 6" xfId="29484" xr:uid="{00000000-0005-0000-0000-000027730000}"/>
    <cellStyle name="Input 4 2 3 3 3 3" xfId="29485" xr:uid="{00000000-0005-0000-0000-000028730000}"/>
    <cellStyle name="Input 4 2 3 3 3 4" xfId="29486" xr:uid="{00000000-0005-0000-0000-000029730000}"/>
    <cellStyle name="Input 4 2 3 3 3 5" xfId="29487" xr:uid="{00000000-0005-0000-0000-00002A730000}"/>
    <cellStyle name="Input 4 2 3 3 3 6" xfId="29488" xr:uid="{00000000-0005-0000-0000-00002B730000}"/>
    <cellStyle name="Input 4 2 3 3 4" xfId="29489" xr:uid="{00000000-0005-0000-0000-00002C730000}"/>
    <cellStyle name="Input 4 2 3 3 4 2" xfId="29490" xr:uid="{00000000-0005-0000-0000-00002D730000}"/>
    <cellStyle name="Input 4 2 3 3 4 3" xfId="29491" xr:uid="{00000000-0005-0000-0000-00002E730000}"/>
    <cellStyle name="Input 4 2 3 3 4 4" xfId="29492" xr:uid="{00000000-0005-0000-0000-00002F730000}"/>
    <cellStyle name="Input 4 2 3 3 4 5" xfId="29493" xr:uid="{00000000-0005-0000-0000-000030730000}"/>
    <cellStyle name="Input 4 2 3 3 4 6" xfId="29494" xr:uid="{00000000-0005-0000-0000-000031730000}"/>
    <cellStyle name="Input 4 2 3 3 5" xfId="29495" xr:uid="{00000000-0005-0000-0000-000032730000}"/>
    <cellStyle name="Input 4 2 3 3 6" xfId="29496" xr:uid="{00000000-0005-0000-0000-000033730000}"/>
    <cellStyle name="Input 4 2 3 3 7" xfId="29497" xr:uid="{00000000-0005-0000-0000-000034730000}"/>
    <cellStyle name="Input 4 2 3 3 8" xfId="29498" xr:uid="{00000000-0005-0000-0000-000035730000}"/>
    <cellStyle name="Input 4 2 3 4" xfId="29499" xr:uid="{00000000-0005-0000-0000-000036730000}"/>
    <cellStyle name="Input 4 2 3 4 2" xfId="29500" xr:uid="{00000000-0005-0000-0000-000037730000}"/>
    <cellStyle name="Input 4 2 3 4 2 2" xfId="29501" xr:uid="{00000000-0005-0000-0000-000038730000}"/>
    <cellStyle name="Input 4 2 3 4 2 2 2" xfId="29502" xr:uid="{00000000-0005-0000-0000-000039730000}"/>
    <cellStyle name="Input 4 2 3 4 2 2 3" xfId="29503" xr:uid="{00000000-0005-0000-0000-00003A730000}"/>
    <cellStyle name="Input 4 2 3 4 2 2 4" xfId="29504" xr:uid="{00000000-0005-0000-0000-00003B730000}"/>
    <cellStyle name="Input 4 2 3 4 2 2 5" xfId="29505" xr:uid="{00000000-0005-0000-0000-00003C730000}"/>
    <cellStyle name="Input 4 2 3 4 2 2 6" xfId="29506" xr:uid="{00000000-0005-0000-0000-00003D730000}"/>
    <cellStyle name="Input 4 2 3 4 2 3" xfId="29507" xr:uid="{00000000-0005-0000-0000-00003E730000}"/>
    <cellStyle name="Input 4 2 3 4 2 4" xfId="29508" xr:uid="{00000000-0005-0000-0000-00003F730000}"/>
    <cellStyle name="Input 4 2 3 4 2 5" xfId="29509" xr:uid="{00000000-0005-0000-0000-000040730000}"/>
    <cellStyle name="Input 4 2 3 4 2 6" xfId="29510" xr:uid="{00000000-0005-0000-0000-000041730000}"/>
    <cellStyle name="Input 4 2 3 4 3" xfId="29511" xr:uid="{00000000-0005-0000-0000-000042730000}"/>
    <cellStyle name="Input 4 2 3 4 3 2" xfId="29512" xr:uid="{00000000-0005-0000-0000-000043730000}"/>
    <cellStyle name="Input 4 2 3 4 3 2 2" xfId="29513" xr:uid="{00000000-0005-0000-0000-000044730000}"/>
    <cellStyle name="Input 4 2 3 4 3 2 3" xfId="29514" xr:uid="{00000000-0005-0000-0000-000045730000}"/>
    <cellStyle name="Input 4 2 3 4 3 2 4" xfId="29515" xr:uid="{00000000-0005-0000-0000-000046730000}"/>
    <cellStyle name="Input 4 2 3 4 3 2 5" xfId="29516" xr:uid="{00000000-0005-0000-0000-000047730000}"/>
    <cellStyle name="Input 4 2 3 4 3 2 6" xfId="29517" xr:uid="{00000000-0005-0000-0000-000048730000}"/>
    <cellStyle name="Input 4 2 3 4 3 3" xfId="29518" xr:uid="{00000000-0005-0000-0000-000049730000}"/>
    <cellStyle name="Input 4 2 3 4 3 4" xfId="29519" xr:uid="{00000000-0005-0000-0000-00004A730000}"/>
    <cellStyle name="Input 4 2 3 4 3 5" xfId="29520" xr:uid="{00000000-0005-0000-0000-00004B730000}"/>
    <cellStyle name="Input 4 2 3 4 3 6" xfId="29521" xr:uid="{00000000-0005-0000-0000-00004C730000}"/>
    <cellStyle name="Input 4 2 3 4 4" xfId="29522" xr:uid="{00000000-0005-0000-0000-00004D730000}"/>
    <cellStyle name="Input 4 2 3 4 4 2" xfId="29523" xr:uid="{00000000-0005-0000-0000-00004E730000}"/>
    <cellStyle name="Input 4 2 3 4 4 3" xfId="29524" xr:uid="{00000000-0005-0000-0000-00004F730000}"/>
    <cellStyle name="Input 4 2 3 4 4 4" xfId="29525" xr:uid="{00000000-0005-0000-0000-000050730000}"/>
    <cellStyle name="Input 4 2 3 4 4 5" xfId="29526" xr:uid="{00000000-0005-0000-0000-000051730000}"/>
    <cellStyle name="Input 4 2 3 4 4 6" xfId="29527" xr:uid="{00000000-0005-0000-0000-000052730000}"/>
    <cellStyle name="Input 4 2 3 4 5" xfId="29528" xr:uid="{00000000-0005-0000-0000-000053730000}"/>
    <cellStyle name="Input 4 2 3 4 6" xfId="29529" xr:uid="{00000000-0005-0000-0000-000054730000}"/>
    <cellStyle name="Input 4 2 3 4 7" xfId="29530" xr:uid="{00000000-0005-0000-0000-000055730000}"/>
    <cellStyle name="Input 4 2 3 4 8" xfId="29531" xr:uid="{00000000-0005-0000-0000-000056730000}"/>
    <cellStyle name="Input 4 2 3 5" xfId="29532" xr:uid="{00000000-0005-0000-0000-000057730000}"/>
    <cellStyle name="Input 4 2 3 5 2" xfId="29533" xr:uid="{00000000-0005-0000-0000-000058730000}"/>
    <cellStyle name="Input 4 2 3 5 2 2" xfId="29534" xr:uid="{00000000-0005-0000-0000-000059730000}"/>
    <cellStyle name="Input 4 2 3 5 2 2 2" xfId="29535" xr:uid="{00000000-0005-0000-0000-00005A730000}"/>
    <cellStyle name="Input 4 2 3 5 2 2 3" xfId="29536" xr:uid="{00000000-0005-0000-0000-00005B730000}"/>
    <cellStyle name="Input 4 2 3 5 2 2 4" xfId="29537" xr:uid="{00000000-0005-0000-0000-00005C730000}"/>
    <cellStyle name="Input 4 2 3 5 2 2 5" xfId="29538" xr:uid="{00000000-0005-0000-0000-00005D730000}"/>
    <cellStyle name="Input 4 2 3 5 2 2 6" xfId="29539" xr:uid="{00000000-0005-0000-0000-00005E730000}"/>
    <cellStyle name="Input 4 2 3 5 2 3" xfId="29540" xr:uid="{00000000-0005-0000-0000-00005F730000}"/>
    <cellStyle name="Input 4 2 3 5 2 4" xfId="29541" xr:uid="{00000000-0005-0000-0000-000060730000}"/>
    <cellStyle name="Input 4 2 3 5 2 5" xfId="29542" xr:uid="{00000000-0005-0000-0000-000061730000}"/>
    <cellStyle name="Input 4 2 3 5 2 6" xfId="29543" xr:uid="{00000000-0005-0000-0000-000062730000}"/>
    <cellStyle name="Input 4 2 3 5 3" xfId="29544" xr:uid="{00000000-0005-0000-0000-000063730000}"/>
    <cellStyle name="Input 4 2 3 5 3 2" xfId="29545" xr:uid="{00000000-0005-0000-0000-000064730000}"/>
    <cellStyle name="Input 4 2 3 5 3 2 2" xfId="29546" xr:uid="{00000000-0005-0000-0000-000065730000}"/>
    <cellStyle name="Input 4 2 3 5 3 2 3" xfId="29547" xr:uid="{00000000-0005-0000-0000-000066730000}"/>
    <cellStyle name="Input 4 2 3 5 3 2 4" xfId="29548" xr:uid="{00000000-0005-0000-0000-000067730000}"/>
    <cellStyle name="Input 4 2 3 5 3 2 5" xfId="29549" xr:uid="{00000000-0005-0000-0000-000068730000}"/>
    <cellStyle name="Input 4 2 3 5 3 2 6" xfId="29550" xr:uid="{00000000-0005-0000-0000-000069730000}"/>
    <cellStyle name="Input 4 2 3 5 3 3" xfId="29551" xr:uid="{00000000-0005-0000-0000-00006A730000}"/>
    <cellStyle name="Input 4 2 3 5 3 4" xfId="29552" xr:uid="{00000000-0005-0000-0000-00006B730000}"/>
    <cellStyle name="Input 4 2 3 5 3 5" xfId="29553" xr:uid="{00000000-0005-0000-0000-00006C730000}"/>
    <cellStyle name="Input 4 2 3 5 3 6" xfId="29554" xr:uid="{00000000-0005-0000-0000-00006D730000}"/>
    <cellStyle name="Input 4 2 3 5 4" xfId="29555" xr:uid="{00000000-0005-0000-0000-00006E730000}"/>
    <cellStyle name="Input 4 2 3 5 4 2" xfId="29556" xr:uid="{00000000-0005-0000-0000-00006F730000}"/>
    <cellStyle name="Input 4 2 3 5 4 3" xfId="29557" xr:uid="{00000000-0005-0000-0000-000070730000}"/>
    <cellStyle name="Input 4 2 3 5 4 4" xfId="29558" xr:uid="{00000000-0005-0000-0000-000071730000}"/>
    <cellStyle name="Input 4 2 3 5 4 5" xfId="29559" xr:uid="{00000000-0005-0000-0000-000072730000}"/>
    <cellStyle name="Input 4 2 3 5 4 6" xfId="29560" xr:uid="{00000000-0005-0000-0000-000073730000}"/>
    <cellStyle name="Input 4 2 3 5 5" xfId="29561" xr:uid="{00000000-0005-0000-0000-000074730000}"/>
    <cellStyle name="Input 4 2 3 5 6" xfId="29562" xr:uid="{00000000-0005-0000-0000-000075730000}"/>
    <cellStyle name="Input 4 2 3 5 7" xfId="29563" xr:uid="{00000000-0005-0000-0000-000076730000}"/>
    <cellStyle name="Input 4 2 3 5 8" xfId="29564" xr:uid="{00000000-0005-0000-0000-000077730000}"/>
    <cellStyle name="Input 4 2 3 6" xfId="29565" xr:uid="{00000000-0005-0000-0000-000078730000}"/>
    <cellStyle name="Input 4 2 3 6 2" xfId="29566" xr:uid="{00000000-0005-0000-0000-000079730000}"/>
    <cellStyle name="Input 4 2 3 6 2 2" xfId="29567" xr:uid="{00000000-0005-0000-0000-00007A730000}"/>
    <cellStyle name="Input 4 2 3 6 2 2 2" xfId="29568" xr:uid="{00000000-0005-0000-0000-00007B730000}"/>
    <cellStyle name="Input 4 2 3 6 2 2 3" xfId="29569" xr:uid="{00000000-0005-0000-0000-00007C730000}"/>
    <cellStyle name="Input 4 2 3 6 2 2 4" xfId="29570" xr:uid="{00000000-0005-0000-0000-00007D730000}"/>
    <cellStyle name="Input 4 2 3 6 2 2 5" xfId="29571" xr:uid="{00000000-0005-0000-0000-00007E730000}"/>
    <cellStyle name="Input 4 2 3 6 2 2 6" xfId="29572" xr:uid="{00000000-0005-0000-0000-00007F730000}"/>
    <cellStyle name="Input 4 2 3 6 2 3" xfId="29573" xr:uid="{00000000-0005-0000-0000-000080730000}"/>
    <cellStyle name="Input 4 2 3 6 2 4" xfId="29574" xr:uid="{00000000-0005-0000-0000-000081730000}"/>
    <cellStyle name="Input 4 2 3 6 2 5" xfId="29575" xr:uid="{00000000-0005-0000-0000-000082730000}"/>
    <cellStyle name="Input 4 2 3 6 2 6" xfId="29576" xr:uid="{00000000-0005-0000-0000-000083730000}"/>
    <cellStyle name="Input 4 2 3 6 3" xfId="29577" xr:uid="{00000000-0005-0000-0000-000084730000}"/>
    <cellStyle name="Input 4 2 3 6 3 2" xfId="29578" xr:uid="{00000000-0005-0000-0000-000085730000}"/>
    <cellStyle name="Input 4 2 3 6 3 2 2" xfId="29579" xr:uid="{00000000-0005-0000-0000-000086730000}"/>
    <cellStyle name="Input 4 2 3 6 3 2 3" xfId="29580" xr:uid="{00000000-0005-0000-0000-000087730000}"/>
    <cellStyle name="Input 4 2 3 6 3 2 4" xfId="29581" xr:uid="{00000000-0005-0000-0000-000088730000}"/>
    <cellStyle name="Input 4 2 3 6 3 2 5" xfId="29582" xr:uid="{00000000-0005-0000-0000-000089730000}"/>
    <cellStyle name="Input 4 2 3 6 3 2 6" xfId="29583" xr:uid="{00000000-0005-0000-0000-00008A730000}"/>
    <cellStyle name="Input 4 2 3 6 3 3" xfId="29584" xr:uid="{00000000-0005-0000-0000-00008B730000}"/>
    <cellStyle name="Input 4 2 3 6 3 4" xfId="29585" xr:uid="{00000000-0005-0000-0000-00008C730000}"/>
    <cellStyle name="Input 4 2 3 6 3 5" xfId="29586" xr:uid="{00000000-0005-0000-0000-00008D730000}"/>
    <cellStyle name="Input 4 2 3 6 3 6" xfId="29587" xr:uid="{00000000-0005-0000-0000-00008E730000}"/>
    <cellStyle name="Input 4 2 3 6 4" xfId="29588" xr:uid="{00000000-0005-0000-0000-00008F730000}"/>
    <cellStyle name="Input 4 2 3 6 4 2" xfId="29589" xr:uid="{00000000-0005-0000-0000-000090730000}"/>
    <cellStyle name="Input 4 2 3 6 4 3" xfId="29590" xr:uid="{00000000-0005-0000-0000-000091730000}"/>
    <cellStyle name="Input 4 2 3 6 4 4" xfId="29591" xr:uid="{00000000-0005-0000-0000-000092730000}"/>
    <cellStyle name="Input 4 2 3 6 4 5" xfId="29592" xr:uid="{00000000-0005-0000-0000-000093730000}"/>
    <cellStyle name="Input 4 2 3 6 4 6" xfId="29593" xr:uid="{00000000-0005-0000-0000-000094730000}"/>
    <cellStyle name="Input 4 2 3 6 5" xfId="29594" xr:uid="{00000000-0005-0000-0000-000095730000}"/>
    <cellStyle name="Input 4 2 3 6 6" xfId="29595" xr:uid="{00000000-0005-0000-0000-000096730000}"/>
    <cellStyle name="Input 4 2 3 6 7" xfId="29596" xr:uid="{00000000-0005-0000-0000-000097730000}"/>
    <cellStyle name="Input 4 2 3 6 8" xfId="29597" xr:uid="{00000000-0005-0000-0000-000098730000}"/>
    <cellStyle name="Input 4 2 3 7" xfId="29598" xr:uid="{00000000-0005-0000-0000-000099730000}"/>
    <cellStyle name="Input 4 2 3 7 2" xfId="29599" xr:uid="{00000000-0005-0000-0000-00009A730000}"/>
    <cellStyle name="Input 4 2 3 7 2 2" xfId="29600" xr:uid="{00000000-0005-0000-0000-00009B730000}"/>
    <cellStyle name="Input 4 2 3 7 2 3" xfId="29601" xr:uid="{00000000-0005-0000-0000-00009C730000}"/>
    <cellStyle name="Input 4 2 3 7 2 4" xfId="29602" xr:uid="{00000000-0005-0000-0000-00009D730000}"/>
    <cellStyle name="Input 4 2 3 7 2 5" xfId="29603" xr:uid="{00000000-0005-0000-0000-00009E730000}"/>
    <cellStyle name="Input 4 2 3 7 2 6" xfId="29604" xr:uid="{00000000-0005-0000-0000-00009F730000}"/>
    <cellStyle name="Input 4 2 3 7 3" xfId="29605" xr:uid="{00000000-0005-0000-0000-0000A0730000}"/>
    <cellStyle name="Input 4 2 3 7 4" xfId="29606" xr:uid="{00000000-0005-0000-0000-0000A1730000}"/>
    <cellStyle name="Input 4 2 3 7 5" xfId="29607" xr:uid="{00000000-0005-0000-0000-0000A2730000}"/>
    <cellStyle name="Input 4 2 3 7 6" xfId="29608" xr:uid="{00000000-0005-0000-0000-0000A3730000}"/>
    <cellStyle name="Input 4 2 3 8" xfId="29609" xr:uid="{00000000-0005-0000-0000-0000A4730000}"/>
    <cellStyle name="Input 4 2 3 8 2" xfId="29610" xr:uid="{00000000-0005-0000-0000-0000A5730000}"/>
    <cellStyle name="Input 4 2 3 8 2 2" xfId="29611" xr:uid="{00000000-0005-0000-0000-0000A6730000}"/>
    <cellStyle name="Input 4 2 3 8 2 3" xfId="29612" xr:uid="{00000000-0005-0000-0000-0000A7730000}"/>
    <cellStyle name="Input 4 2 3 8 2 4" xfId="29613" xr:uid="{00000000-0005-0000-0000-0000A8730000}"/>
    <cellStyle name="Input 4 2 3 8 2 5" xfId="29614" xr:uid="{00000000-0005-0000-0000-0000A9730000}"/>
    <cellStyle name="Input 4 2 3 8 2 6" xfId="29615" xr:uid="{00000000-0005-0000-0000-0000AA730000}"/>
    <cellStyle name="Input 4 2 3 8 3" xfId="29616" xr:uid="{00000000-0005-0000-0000-0000AB730000}"/>
    <cellStyle name="Input 4 2 3 8 4" xfId="29617" xr:uid="{00000000-0005-0000-0000-0000AC730000}"/>
    <cellStyle name="Input 4 2 3 8 5" xfId="29618" xr:uid="{00000000-0005-0000-0000-0000AD730000}"/>
    <cellStyle name="Input 4 2 3 8 6" xfId="29619" xr:uid="{00000000-0005-0000-0000-0000AE730000}"/>
    <cellStyle name="Input 4 2 3 9" xfId="29620" xr:uid="{00000000-0005-0000-0000-0000AF730000}"/>
    <cellStyle name="Input 4 2 3 9 2" xfId="29621" xr:uid="{00000000-0005-0000-0000-0000B0730000}"/>
    <cellStyle name="Input 4 2 3 9 3" xfId="29622" xr:uid="{00000000-0005-0000-0000-0000B1730000}"/>
    <cellStyle name="Input 4 2 3 9 4" xfId="29623" xr:uid="{00000000-0005-0000-0000-0000B2730000}"/>
    <cellStyle name="Input 4 2 3 9 5" xfId="29624" xr:uid="{00000000-0005-0000-0000-0000B3730000}"/>
    <cellStyle name="Input 4 2 3 9 6" xfId="29625" xr:uid="{00000000-0005-0000-0000-0000B4730000}"/>
    <cellStyle name="Input 4 2 4" xfId="29626" xr:uid="{00000000-0005-0000-0000-0000B5730000}"/>
    <cellStyle name="Input 4 2 4 2" xfId="29627" xr:uid="{00000000-0005-0000-0000-0000B6730000}"/>
    <cellStyle name="Input 4 2 4 2 2" xfId="29628" xr:uid="{00000000-0005-0000-0000-0000B7730000}"/>
    <cellStyle name="Input 4 2 4 2 2 2" xfId="29629" xr:uid="{00000000-0005-0000-0000-0000B8730000}"/>
    <cellStyle name="Input 4 2 4 2 2 3" xfId="29630" xr:uid="{00000000-0005-0000-0000-0000B9730000}"/>
    <cellStyle name="Input 4 2 4 2 2 4" xfId="29631" xr:uid="{00000000-0005-0000-0000-0000BA730000}"/>
    <cellStyle name="Input 4 2 4 2 2 5" xfId="29632" xr:uid="{00000000-0005-0000-0000-0000BB730000}"/>
    <cellStyle name="Input 4 2 4 2 2 6" xfId="29633" xr:uid="{00000000-0005-0000-0000-0000BC730000}"/>
    <cellStyle name="Input 4 2 4 2 3" xfId="29634" xr:uid="{00000000-0005-0000-0000-0000BD730000}"/>
    <cellStyle name="Input 4 2 4 2 4" xfId="29635" xr:uid="{00000000-0005-0000-0000-0000BE730000}"/>
    <cellStyle name="Input 4 2 4 2 5" xfId="29636" xr:uid="{00000000-0005-0000-0000-0000BF730000}"/>
    <cellStyle name="Input 4 2 4 2 6" xfId="29637" xr:uid="{00000000-0005-0000-0000-0000C0730000}"/>
    <cellStyle name="Input 4 2 4 3" xfId="29638" xr:uid="{00000000-0005-0000-0000-0000C1730000}"/>
    <cellStyle name="Input 4 2 4 3 2" xfId="29639" xr:uid="{00000000-0005-0000-0000-0000C2730000}"/>
    <cellStyle name="Input 4 2 4 3 2 2" xfId="29640" xr:uid="{00000000-0005-0000-0000-0000C3730000}"/>
    <cellStyle name="Input 4 2 4 3 2 3" xfId="29641" xr:uid="{00000000-0005-0000-0000-0000C4730000}"/>
    <cellStyle name="Input 4 2 4 3 2 4" xfId="29642" xr:uid="{00000000-0005-0000-0000-0000C5730000}"/>
    <cellStyle name="Input 4 2 4 3 2 5" xfId="29643" xr:uid="{00000000-0005-0000-0000-0000C6730000}"/>
    <cellStyle name="Input 4 2 4 3 2 6" xfId="29644" xr:uid="{00000000-0005-0000-0000-0000C7730000}"/>
    <cellStyle name="Input 4 2 4 3 3" xfId="29645" xr:uid="{00000000-0005-0000-0000-0000C8730000}"/>
    <cellStyle name="Input 4 2 4 3 4" xfId="29646" xr:uid="{00000000-0005-0000-0000-0000C9730000}"/>
    <cellStyle name="Input 4 2 4 3 5" xfId="29647" xr:uid="{00000000-0005-0000-0000-0000CA730000}"/>
    <cellStyle name="Input 4 2 4 3 6" xfId="29648" xr:uid="{00000000-0005-0000-0000-0000CB730000}"/>
    <cellStyle name="Input 4 2 4 4" xfId="29649" xr:uid="{00000000-0005-0000-0000-0000CC730000}"/>
    <cellStyle name="Input 4 2 4 4 2" xfId="29650" xr:uid="{00000000-0005-0000-0000-0000CD730000}"/>
    <cellStyle name="Input 4 2 4 4 3" xfId="29651" xr:uid="{00000000-0005-0000-0000-0000CE730000}"/>
    <cellStyle name="Input 4 2 4 4 4" xfId="29652" xr:uid="{00000000-0005-0000-0000-0000CF730000}"/>
    <cellStyle name="Input 4 2 4 4 5" xfId="29653" xr:uid="{00000000-0005-0000-0000-0000D0730000}"/>
    <cellStyle name="Input 4 2 4 4 6" xfId="29654" xr:uid="{00000000-0005-0000-0000-0000D1730000}"/>
    <cellStyle name="Input 4 2 4 5" xfId="29655" xr:uid="{00000000-0005-0000-0000-0000D2730000}"/>
    <cellStyle name="Input 4 2 4 6" xfId="29656" xr:uid="{00000000-0005-0000-0000-0000D3730000}"/>
    <cellStyle name="Input 4 2 4 7" xfId="29657" xr:uid="{00000000-0005-0000-0000-0000D4730000}"/>
    <cellStyle name="Input 4 2 4 8" xfId="29658" xr:uid="{00000000-0005-0000-0000-0000D5730000}"/>
    <cellStyle name="Input 4 2 5" xfId="29659" xr:uid="{00000000-0005-0000-0000-0000D6730000}"/>
    <cellStyle name="Input 4 2 5 2" xfId="29660" xr:uid="{00000000-0005-0000-0000-0000D7730000}"/>
    <cellStyle name="Input 4 2 5 2 2" xfId="29661" xr:uid="{00000000-0005-0000-0000-0000D8730000}"/>
    <cellStyle name="Input 4 2 5 2 2 2" xfId="29662" xr:uid="{00000000-0005-0000-0000-0000D9730000}"/>
    <cellStyle name="Input 4 2 5 2 2 3" xfId="29663" xr:uid="{00000000-0005-0000-0000-0000DA730000}"/>
    <cellStyle name="Input 4 2 5 2 2 4" xfId="29664" xr:uid="{00000000-0005-0000-0000-0000DB730000}"/>
    <cellStyle name="Input 4 2 5 2 2 5" xfId="29665" xr:uid="{00000000-0005-0000-0000-0000DC730000}"/>
    <cellStyle name="Input 4 2 5 2 2 6" xfId="29666" xr:uid="{00000000-0005-0000-0000-0000DD730000}"/>
    <cellStyle name="Input 4 2 5 2 3" xfId="29667" xr:uid="{00000000-0005-0000-0000-0000DE730000}"/>
    <cellStyle name="Input 4 2 5 2 4" xfId="29668" xr:uid="{00000000-0005-0000-0000-0000DF730000}"/>
    <cellStyle name="Input 4 2 5 2 5" xfId="29669" xr:uid="{00000000-0005-0000-0000-0000E0730000}"/>
    <cellStyle name="Input 4 2 5 2 6" xfId="29670" xr:uid="{00000000-0005-0000-0000-0000E1730000}"/>
    <cellStyle name="Input 4 2 5 3" xfId="29671" xr:uid="{00000000-0005-0000-0000-0000E2730000}"/>
    <cellStyle name="Input 4 2 5 3 2" xfId="29672" xr:uid="{00000000-0005-0000-0000-0000E3730000}"/>
    <cellStyle name="Input 4 2 5 3 2 2" xfId="29673" xr:uid="{00000000-0005-0000-0000-0000E4730000}"/>
    <cellStyle name="Input 4 2 5 3 2 3" xfId="29674" xr:uid="{00000000-0005-0000-0000-0000E5730000}"/>
    <cellStyle name="Input 4 2 5 3 2 4" xfId="29675" xr:uid="{00000000-0005-0000-0000-0000E6730000}"/>
    <cellStyle name="Input 4 2 5 3 2 5" xfId="29676" xr:uid="{00000000-0005-0000-0000-0000E7730000}"/>
    <cellStyle name="Input 4 2 5 3 2 6" xfId="29677" xr:uid="{00000000-0005-0000-0000-0000E8730000}"/>
    <cellStyle name="Input 4 2 5 3 3" xfId="29678" xr:uid="{00000000-0005-0000-0000-0000E9730000}"/>
    <cellStyle name="Input 4 2 5 3 4" xfId="29679" xr:uid="{00000000-0005-0000-0000-0000EA730000}"/>
    <cellStyle name="Input 4 2 5 3 5" xfId="29680" xr:uid="{00000000-0005-0000-0000-0000EB730000}"/>
    <cellStyle name="Input 4 2 5 3 6" xfId="29681" xr:uid="{00000000-0005-0000-0000-0000EC730000}"/>
    <cellStyle name="Input 4 2 5 4" xfId="29682" xr:uid="{00000000-0005-0000-0000-0000ED730000}"/>
    <cellStyle name="Input 4 2 5 4 2" xfId="29683" xr:uid="{00000000-0005-0000-0000-0000EE730000}"/>
    <cellStyle name="Input 4 2 5 4 3" xfId="29684" xr:uid="{00000000-0005-0000-0000-0000EF730000}"/>
    <cellStyle name="Input 4 2 5 4 4" xfId="29685" xr:uid="{00000000-0005-0000-0000-0000F0730000}"/>
    <cellStyle name="Input 4 2 5 4 5" xfId="29686" xr:uid="{00000000-0005-0000-0000-0000F1730000}"/>
    <cellStyle name="Input 4 2 5 4 6" xfId="29687" xr:uid="{00000000-0005-0000-0000-0000F2730000}"/>
    <cellStyle name="Input 4 2 5 5" xfId="29688" xr:uid="{00000000-0005-0000-0000-0000F3730000}"/>
    <cellStyle name="Input 4 2 5 6" xfId="29689" xr:uid="{00000000-0005-0000-0000-0000F4730000}"/>
    <cellStyle name="Input 4 2 5 7" xfId="29690" xr:uid="{00000000-0005-0000-0000-0000F5730000}"/>
    <cellStyle name="Input 4 2 5 8" xfId="29691" xr:uid="{00000000-0005-0000-0000-0000F6730000}"/>
    <cellStyle name="Input 4 2 6" xfId="29692" xr:uid="{00000000-0005-0000-0000-0000F7730000}"/>
    <cellStyle name="Input 4 2 6 2" xfId="29693" xr:uid="{00000000-0005-0000-0000-0000F8730000}"/>
    <cellStyle name="Input 4 2 6 2 2" xfId="29694" xr:uid="{00000000-0005-0000-0000-0000F9730000}"/>
    <cellStyle name="Input 4 2 6 2 2 2" xfId="29695" xr:uid="{00000000-0005-0000-0000-0000FA730000}"/>
    <cellStyle name="Input 4 2 6 2 2 3" xfId="29696" xr:uid="{00000000-0005-0000-0000-0000FB730000}"/>
    <cellStyle name="Input 4 2 6 2 2 4" xfId="29697" xr:uid="{00000000-0005-0000-0000-0000FC730000}"/>
    <cellStyle name="Input 4 2 6 2 2 5" xfId="29698" xr:uid="{00000000-0005-0000-0000-0000FD730000}"/>
    <cellStyle name="Input 4 2 6 2 2 6" xfId="29699" xr:uid="{00000000-0005-0000-0000-0000FE730000}"/>
    <cellStyle name="Input 4 2 6 2 3" xfId="29700" xr:uid="{00000000-0005-0000-0000-0000FF730000}"/>
    <cellStyle name="Input 4 2 6 2 4" xfId="29701" xr:uid="{00000000-0005-0000-0000-000000740000}"/>
    <cellStyle name="Input 4 2 6 2 5" xfId="29702" xr:uid="{00000000-0005-0000-0000-000001740000}"/>
    <cellStyle name="Input 4 2 6 2 6" xfId="29703" xr:uid="{00000000-0005-0000-0000-000002740000}"/>
    <cellStyle name="Input 4 2 6 3" xfId="29704" xr:uid="{00000000-0005-0000-0000-000003740000}"/>
    <cellStyle name="Input 4 2 6 3 2" xfId="29705" xr:uid="{00000000-0005-0000-0000-000004740000}"/>
    <cellStyle name="Input 4 2 6 3 2 2" xfId="29706" xr:uid="{00000000-0005-0000-0000-000005740000}"/>
    <cellStyle name="Input 4 2 6 3 2 3" xfId="29707" xr:uid="{00000000-0005-0000-0000-000006740000}"/>
    <cellStyle name="Input 4 2 6 3 2 4" xfId="29708" xr:uid="{00000000-0005-0000-0000-000007740000}"/>
    <cellStyle name="Input 4 2 6 3 2 5" xfId="29709" xr:uid="{00000000-0005-0000-0000-000008740000}"/>
    <cellStyle name="Input 4 2 6 3 2 6" xfId="29710" xr:uid="{00000000-0005-0000-0000-000009740000}"/>
    <cellStyle name="Input 4 2 6 3 3" xfId="29711" xr:uid="{00000000-0005-0000-0000-00000A740000}"/>
    <cellStyle name="Input 4 2 6 3 4" xfId="29712" xr:uid="{00000000-0005-0000-0000-00000B740000}"/>
    <cellStyle name="Input 4 2 6 3 5" xfId="29713" xr:uid="{00000000-0005-0000-0000-00000C740000}"/>
    <cellStyle name="Input 4 2 6 3 6" xfId="29714" xr:uid="{00000000-0005-0000-0000-00000D740000}"/>
    <cellStyle name="Input 4 2 6 4" xfId="29715" xr:uid="{00000000-0005-0000-0000-00000E740000}"/>
    <cellStyle name="Input 4 2 6 4 2" xfId="29716" xr:uid="{00000000-0005-0000-0000-00000F740000}"/>
    <cellStyle name="Input 4 2 6 4 3" xfId="29717" xr:uid="{00000000-0005-0000-0000-000010740000}"/>
    <cellStyle name="Input 4 2 6 4 4" xfId="29718" xr:uid="{00000000-0005-0000-0000-000011740000}"/>
    <cellStyle name="Input 4 2 6 4 5" xfId="29719" xr:uid="{00000000-0005-0000-0000-000012740000}"/>
    <cellStyle name="Input 4 2 6 4 6" xfId="29720" xr:uid="{00000000-0005-0000-0000-000013740000}"/>
    <cellStyle name="Input 4 2 6 5" xfId="29721" xr:uid="{00000000-0005-0000-0000-000014740000}"/>
    <cellStyle name="Input 4 2 6 6" xfId="29722" xr:uid="{00000000-0005-0000-0000-000015740000}"/>
    <cellStyle name="Input 4 2 6 7" xfId="29723" xr:uid="{00000000-0005-0000-0000-000016740000}"/>
    <cellStyle name="Input 4 2 6 8" xfId="29724" xr:uid="{00000000-0005-0000-0000-000017740000}"/>
    <cellStyle name="Input 4 2 7" xfId="29725" xr:uid="{00000000-0005-0000-0000-000018740000}"/>
    <cellStyle name="Input 4 2 7 2" xfId="29726" xr:uid="{00000000-0005-0000-0000-000019740000}"/>
    <cellStyle name="Input 4 2 7 2 2" xfId="29727" xr:uid="{00000000-0005-0000-0000-00001A740000}"/>
    <cellStyle name="Input 4 2 7 2 3" xfId="29728" xr:uid="{00000000-0005-0000-0000-00001B740000}"/>
    <cellStyle name="Input 4 2 7 2 4" xfId="29729" xr:uid="{00000000-0005-0000-0000-00001C740000}"/>
    <cellStyle name="Input 4 2 7 2 5" xfId="29730" xr:uid="{00000000-0005-0000-0000-00001D740000}"/>
    <cellStyle name="Input 4 2 7 2 6" xfId="29731" xr:uid="{00000000-0005-0000-0000-00001E740000}"/>
    <cellStyle name="Input 4 2 7 3" xfId="29732" xr:uid="{00000000-0005-0000-0000-00001F740000}"/>
    <cellStyle name="Input 4 2 7 4" xfId="29733" xr:uid="{00000000-0005-0000-0000-000020740000}"/>
    <cellStyle name="Input 4 2 7 5" xfId="29734" xr:uid="{00000000-0005-0000-0000-000021740000}"/>
    <cellStyle name="Input 4 2 7 6" xfId="29735" xr:uid="{00000000-0005-0000-0000-000022740000}"/>
    <cellStyle name="Input 4 2 8" xfId="29736" xr:uid="{00000000-0005-0000-0000-000023740000}"/>
    <cellStyle name="Input 4 2 8 2" xfId="29737" xr:uid="{00000000-0005-0000-0000-000024740000}"/>
    <cellStyle name="Input 4 2 8 2 2" xfId="29738" xr:uid="{00000000-0005-0000-0000-000025740000}"/>
    <cellStyle name="Input 4 2 8 2 3" xfId="29739" xr:uid="{00000000-0005-0000-0000-000026740000}"/>
    <cellStyle name="Input 4 2 8 2 4" xfId="29740" xr:uid="{00000000-0005-0000-0000-000027740000}"/>
    <cellStyle name="Input 4 2 8 2 5" xfId="29741" xr:uid="{00000000-0005-0000-0000-000028740000}"/>
    <cellStyle name="Input 4 2 8 2 6" xfId="29742" xr:uid="{00000000-0005-0000-0000-000029740000}"/>
    <cellStyle name="Input 4 2 8 3" xfId="29743" xr:uid="{00000000-0005-0000-0000-00002A740000}"/>
    <cellStyle name="Input 4 2 8 4" xfId="29744" xr:uid="{00000000-0005-0000-0000-00002B740000}"/>
    <cellStyle name="Input 4 2 8 5" xfId="29745" xr:uid="{00000000-0005-0000-0000-00002C740000}"/>
    <cellStyle name="Input 4 2 8 6" xfId="29746" xr:uid="{00000000-0005-0000-0000-00002D740000}"/>
    <cellStyle name="Input 4 2 9" xfId="29747" xr:uid="{00000000-0005-0000-0000-00002E740000}"/>
    <cellStyle name="Input 4 2 9 2" xfId="29748" xr:uid="{00000000-0005-0000-0000-00002F740000}"/>
    <cellStyle name="Input 4 2 9 3" xfId="29749" xr:uid="{00000000-0005-0000-0000-000030740000}"/>
    <cellStyle name="Input 4 2 9 4" xfId="29750" xr:uid="{00000000-0005-0000-0000-000031740000}"/>
    <cellStyle name="Input 4 2 9 5" xfId="29751" xr:uid="{00000000-0005-0000-0000-000032740000}"/>
    <cellStyle name="Input 4 2 9 6" xfId="29752" xr:uid="{00000000-0005-0000-0000-000033740000}"/>
    <cellStyle name="Input 4 3" xfId="29753" xr:uid="{00000000-0005-0000-0000-000034740000}"/>
    <cellStyle name="Input 4 4" xfId="29754" xr:uid="{00000000-0005-0000-0000-000035740000}"/>
    <cellStyle name="Input 4 4 10" xfId="29755" xr:uid="{00000000-0005-0000-0000-000036740000}"/>
    <cellStyle name="Input 4 4 11" xfId="29756" xr:uid="{00000000-0005-0000-0000-000037740000}"/>
    <cellStyle name="Input 4 4 12" xfId="29757" xr:uid="{00000000-0005-0000-0000-000038740000}"/>
    <cellStyle name="Input 4 4 13" xfId="29758" xr:uid="{00000000-0005-0000-0000-000039740000}"/>
    <cellStyle name="Input 4 4 2" xfId="29759" xr:uid="{00000000-0005-0000-0000-00003A740000}"/>
    <cellStyle name="Input 4 4 2 10" xfId="29760" xr:uid="{00000000-0005-0000-0000-00003B740000}"/>
    <cellStyle name="Input 4 4 2 10 2" xfId="29761" xr:uid="{00000000-0005-0000-0000-00003C740000}"/>
    <cellStyle name="Input 4 4 2 10 3" xfId="29762" xr:uid="{00000000-0005-0000-0000-00003D740000}"/>
    <cellStyle name="Input 4 4 2 10 4" xfId="29763" xr:uid="{00000000-0005-0000-0000-00003E740000}"/>
    <cellStyle name="Input 4 4 2 10 5" xfId="29764" xr:uid="{00000000-0005-0000-0000-00003F740000}"/>
    <cellStyle name="Input 4 4 2 10 6" xfId="29765" xr:uid="{00000000-0005-0000-0000-000040740000}"/>
    <cellStyle name="Input 4 4 2 11" xfId="29766" xr:uid="{00000000-0005-0000-0000-000041740000}"/>
    <cellStyle name="Input 4 4 2 12" xfId="29767" xr:uid="{00000000-0005-0000-0000-000042740000}"/>
    <cellStyle name="Input 4 4 2 13" xfId="29768" xr:uid="{00000000-0005-0000-0000-000043740000}"/>
    <cellStyle name="Input 4 4 2 14" xfId="29769" xr:uid="{00000000-0005-0000-0000-000044740000}"/>
    <cellStyle name="Input 4 4 2 2" xfId="29770" xr:uid="{00000000-0005-0000-0000-000045740000}"/>
    <cellStyle name="Input 4 4 2 2 10" xfId="29771" xr:uid="{00000000-0005-0000-0000-000046740000}"/>
    <cellStyle name="Input 4 4 2 2 11" xfId="29772" xr:uid="{00000000-0005-0000-0000-000047740000}"/>
    <cellStyle name="Input 4 4 2 2 12" xfId="29773" xr:uid="{00000000-0005-0000-0000-000048740000}"/>
    <cellStyle name="Input 4 4 2 2 13" xfId="29774" xr:uid="{00000000-0005-0000-0000-000049740000}"/>
    <cellStyle name="Input 4 4 2 2 2" xfId="29775" xr:uid="{00000000-0005-0000-0000-00004A740000}"/>
    <cellStyle name="Input 4 4 2 2 2 2" xfId="29776" xr:uid="{00000000-0005-0000-0000-00004B740000}"/>
    <cellStyle name="Input 4 4 2 2 2 2 2" xfId="29777" xr:uid="{00000000-0005-0000-0000-00004C740000}"/>
    <cellStyle name="Input 4 4 2 2 2 2 2 2" xfId="29778" xr:uid="{00000000-0005-0000-0000-00004D740000}"/>
    <cellStyle name="Input 4 4 2 2 2 2 2 3" xfId="29779" xr:uid="{00000000-0005-0000-0000-00004E740000}"/>
    <cellStyle name="Input 4 4 2 2 2 2 2 4" xfId="29780" xr:uid="{00000000-0005-0000-0000-00004F740000}"/>
    <cellStyle name="Input 4 4 2 2 2 2 2 5" xfId="29781" xr:uid="{00000000-0005-0000-0000-000050740000}"/>
    <cellStyle name="Input 4 4 2 2 2 2 2 6" xfId="29782" xr:uid="{00000000-0005-0000-0000-000051740000}"/>
    <cellStyle name="Input 4 4 2 2 2 2 3" xfId="29783" xr:uid="{00000000-0005-0000-0000-000052740000}"/>
    <cellStyle name="Input 4 4 2 2 2 2 4" xfId="29784" xr:uid="{00000000-0005-0000-0000-000053740000}"/>
    <cellStyle name="Input 4 4 2 2 2 2 5" xfId="29785" xr:uid="{00000000-0005-0000-0000-000054740000}"/>
    <cellStyle name="Input 4 4 2 2 2 2 6" xfId="29786" xr:uid="{00000000-0005-0000-0000-000055740000}"/>
    <cellStyle name="Input 4 4 2 2 2 3" xfId="29787" xr:uid="{00000000-0005-0000-0000-000056740000}"/>
    <cellStyle name="Input 4 4 2 2 2 3 2" xfId="29788" xr:uid="{00000000-0005-0000-0000-000057740000}"/>
    <cellStyle name="Input 4 4 2 2 2 3 2 2" xfId="29789" xr:uid="{00000000-0005-0000-0000-000058740000}"/>
    <cellStyle name="Input 4 4 2 2 2 3 2 3" xfId="29790" xr:uid="{00000000-0005-0000-0000-000059740000}"/>
    <cellStyle name="Input 4 4 2 2 2 3 2 4" xfId="29791" xr:uid="{00000000-0005-0000-0000-00005A740000}"/>
    <cellStyle name="Input 4 4 2 2 2 3 2 5" xfId="29792" xr:uid="{00000000-0005-0000-0000-00005B740000}"/>
    <cellStyle name="Input 4 4 2 2 2 3 2 6" xfId="29793" xr:uid="{00000000-0005-0000-0000-00005C740000}"/>
    <cellStyle name="Input 4 4 2 2 2 3 3" xfId="29794" xr:uid="{00000000-0005-0000-0000-00005D740000}"/>
    <cellStyle name="Input 4 4 2 2 2 3 4" xfId="29795" xr:uid="{00000000-0005-0000-0000-00005E740000}"/>
    <cellStyle name="Input 4 4 2 2 2 3 5" xfId="29796" xr:uid="{00000000-0005-0000-0000-00005F740000}"/>
    <cellStyle name="Input 4 4 2 2 2 3 6" xfId="29797" xr:uid="{00000000-0005-0000-0000-000060740000}"/>
    <cellStyle name="Input 4 4 2 2 2 4" xfId="29798" xr:uid="{00000000-0005-0000-0000-000061740000}"/>
    <cellStyle name="Input 4 4 2 2 2 4 2" xfId="29799" xr:uid="{00000000-0005-0000-0000-000062740000}"/>
    <cellStyle name="Input 4 4 2 2 2 4 3" xfId="29800" xr:uid="{00000000-0005-0000-0000-000063740000}"/>
    <cellStyle name="Input 4 4 2 2 2 4 4" xfId="29801" xr:uid="{00000000-0005-0000-0000-000064740000}"/>
    <cellStyle name="Input 4 4 2 2 2 4 5" xfId="29802" xr:uid="{00000000-0005-0000-0000-000065740000}"/>
    <cellStyle name="Input 4 4 2 2 2 4 6" xfId="29803" xr:uid="{00000000-0005-0000-0000-000066740000}"/>
    <cellStyle name="Input 4 4 2 2 2 5" xfId="29804" xr:uid="{00000000-0005-0000-0000-000067740000}"/>
    <cellStyle name="Input 4 4 2 2 2 6" xfId="29805" xr:uid="{00000000-0005-0000-0000-000068740000}"/>
    <cellStyle name="Input 4 4 2 2 2 7" xfId="29806" xr:uid="{00000000-0005-0000-0000-000069740000}"/>
    <cellStyle name="Input 4 4 2 2 2 8" xfId="29807" xr:uid="{00000000-0005-0000-0000-00006A740000}"/>
    <cellStyle name="Input 4 4 2 2 3" xfId="29808" xr:uid="{00000000-0005-0000-0000-00006B740000}"/>
    <cellStyle name="Input 4 4 2 2 3 2" xfId="29809" xr:uid="{00000000-0005-0000-0000-00006C740000}"/>
    <cellStyle name="Input 4 4 2 2 3 2 2" xfId="29810" xr:uid="{00000000-0005-0000-0000-00006D740000}"/>
    <cellStyle name="Input 4 4 2 2 3 2 2 2" xfId="29811" xr:uid="{00000000-0005-0000-0000-00006E740000}"/>
    <cellStyle name="Input 4 4 2 2 3 2 2 3" xfId="29812" xr:uid="{00000000-0005-0000-0000-00006F740000}"/>
    <cellStyle name="Input 4 4 2 2 3 2 2 4" xfId="29813" xr:uid="{00000000-0005-0000-0000-000070740000}"/>
    <cellStyle name="Input 4 4 2 2 3 2 2 5" xfId="29814" xr:uid="{00000000-0005-0000-0000-000071740000}"/>
    <cellStyle name="Input 4 4 2 2 3 2 2 6" xfId="29815" xr:uid="{00000000-0005-0000-0000-000072740000}"/>
    <cellStyle name="Input 4 4 2 2 3 2 3" xfId="29816" xr:uid="{00000000-0005-0000-0000-000073740000}"/>
    <cellStyle name="Input 4 4 2 2 3 2 4" xfId="29817" xr:uid="{00000000-0005-0000-0000-000074740000}"/>
    <cellStyle name="Input 4 4 2 2 3 2 5" xfId="29818" xr:uid="{00000000-0005-0000-0000-000075740000}"/>
    <cellStyle name="Input 4 4 2 2 3 2 6" xfId="29819" xr:uid="{00000000-0005-0000-0000-000076740000}"/>
    <cellStyle name="Input 4 4 2 2 3 3" xfId="29820" xr:uid="{00000000-0005-0000-0000-000077740000}"/>
    <cellStyle name="Input 4 4 2 2 3 3 2" xfId="29821" xr:uid="{00000000-0005-0000-0000-000078740000}"/>
    <cellStyle name="Input 4 4 2 2 3 3 2 2" xfId="29822" xr:uid="{00000000-0005-0000-0000-000079740000}"/>
    <cellStyle name="Input 4 4 2 2 3 3 2 3" xfId="29823" xr:uid="{00000000-0005-0000-0000-00007A740000}"/>
    <cellStyle name="Input 4 4 2 2 3 3 2 4" xfId="29824" xr:uid="{00000000-0005-0000-0000-00007B740000}"/>
    <cellStyle name="Input 4 4 2 2 3 3 2 5" xfId="29825" xr:uid="{00000000-0005-0000-0000-00007C740000}"/>
    <cellStyle name="Input 4 4 2 2 3 3 2 6" xfId="29826" xr:uid="{00000000-0005-0000-0000-00007D740000}"/>
    <cellStyle name="Input 4 4 2 2 3 3 3" xfId="29827" xr:uid="{00000000-0005-0000-0000-00007E740000}"/>
    <cellStyle name="Input 4 4 2 2 3 3 4" xfId="29828" xr:uid="{00000000-0005-0000-0000-00007F740000}"/>
    <cellStyle name="Input 4 4 2 2 3 3 5" xfId="29829" xr:uid="{00000000-0005-0000-0000-000080740000}"/>
    <cellStyle name="Input 4 4 2 2 3 3 6" xfId="29830" xr:uid="{00000000-0005-0000-0000-000081740000}"/>
    <cellStyle name="Input 4 4 2 2 3 4" xfId="29831" xr:uid="{00000000-0005-0000-0000-000082740000}"/>
    <cellStyle name="Input 4 4 2 2 3 4 2" xfId="29832" xr:uid="{00000000-0005-0000-0000-000083740000}"/>
    <cellStyle name="Input 4 4 2 2 3 4 3" xfId="29833" xr:uid="{00000000-0005-0000-0000-000084740000}"/>
    <cellStyle name="Input 4 4 2 2 3 4 4" xfId="29834" xr:uid="{00000000-0005-0000-0000-000085740000}"/>
    <cellStyle name="Input 4 4 2 2 3 4 5" xfId="29835" xr:uid="{00000000-0005-0000-0000-000086740000}"/>
    <cellStyle name="Input 4 4 2 2 3 4 6" xfId="29836" xr:uid="{00000000-0005-0000-0000-000087740000}"/>
    <cellStyle name="Input 4 4 2 2 3 5" xfId="29837" xr:uid="{00000000-0005-0000-0000-000088740000}"/>
    <cellStyle name="Input 4 4 2 2 3 6" xfId="29838" xr:uid="{00000000-0005-0000-0000-000089740000}"/>
    <cellStyle name="Input 4 4 2 2 3 7" xfId="29839" xr:uid="{00000000-0005-0000-0000-00008A740000}"/>
    <cellStyle name="Input 4 4 2 2 3 8" xfId="29840" xr:uid="{00000000-0005-0000-0000-00008B740000}"/>
    <cellStyle name="Input 4 4 2 2 4" xfId="29841" xr:uid="{00000000-0005-0000-0000-00008C740000}"/>
    <cellStyle name="Input 4 4 2 2 4 2" xfId="29842" xr:uid="{00000000-0005-0000-0000-00008D740000}"/>
    <cellStyle name="Input 4 4 2 2 4 2 2" xfId="29843" xr:uid="{00000000-0005-0000-0000-00008E740000}"/>
    <cellStyle name="Input 4 4 2 2 4 2 2 2" xfId="29844" xr:uid="{00000000-0005-0000-0000-00008F740000}"/>
    <cellStyle name="Input 4 4 2 2 4 2 2 3" xfId="29845" xr:uid="{00000000-0005-0000-0000-000090740000}"/>
    <cellStyle name="Input 4 4 2 2 4 2 2 4" xfId="29846" xr:uid="{00000000-0005-0000-0000-000091740000}"/>
    <cellStyle name="Input 4 4 2 2 4 2 2 5" xfId="29847" xr:uid="{00000000-0005-0000-0000-000092740000}"/>
    <cellStyle name="Input 4 4 2 2 4 2 2 6" xfId="29848" xr:uid="{00000000-0005-0000-0000-000093740000}"/>
    <cellStyle name="Input 4 4 2 2 4 2 3" xfId="29849" xr:uid="{00000000-0005-0000-0000-000094740000}"/>
    <cellStyle name="Input 4 4 2 2 4 2 4" xfId="29850" xr:uid="{00000000-0005-0000-0000-000095740000}"/>
    <cellStyle name="Input 4 4 2 2 4 2 5" xfId="29851" xr:uid="{00000000-0005-0000-0000-000096740000}"/>
    <cellStyle name="Input 4 4 2 2 4 2 6" xfId="29852" xr:uid="{00000000-0005-0000-0000-000097740000}"/>
    <cellStyle name="Input 4 4 2 2 4 3" xfId="29853" xr:uid="{00000000-0005-0000-0000-000098740000}"/>
    <cellStyle name="Input 4 4 2 2 4 3 2" xfId="29854" xr:uid="{00000000-0005-0000-0000-000099740000}"/>
    <cellStyle name="Input 4 4 2 2 4 3 2 2" xfId="29855" xr:uid="{00000000-0005-0000-0000-00009A740000}"/>
    <cellStyle name="Input 4 4 2 2 4 3 2 3" xfId="29856" xr:uid="{00000000-0005-0000-0000-00009B740000}"/>
    <cellStyle name="Input 4 4 2 2 4 3 2 4" xfId="29857" xr:uid="{00000000-0005-0000-0000-00009C740000}"/>
    <cellStyle name="Input 4 4 2 2 4 3 2 5" xfId="29858" xr:uid="{00000000-0005-0000-0000-00009D740000}"/>
    <cellStyle name="Input 4 4 2 2 4 3 2 6" xfId="29859" xr:uid="{00000000-0005-0000-0000-00009E740000}"/>
    <cellStyle name="Input 4 4 2 2 4 3 3" xfId="29860" xr:uid="{00000000-0005-0000-0000-00009F740000}"/>
    <cellStyle name="Input 4 4 2 2 4 3 4" xfId="29861" xr:uid="{00000000-0005-0000-0000-0000A0740000}"/>
    <cellStyle name="Input 4 4 2 2 4 3 5" xfId="29862" xr:uid="{00000000-0005-0000-0000-0000A1740000}"/>
    <cellStyle name="Input 4 4 2 2 4 3 6" xfId="29863" xr:uid="{00000000-0005-0000-0000-0000A2740000}"/>
    <cellStyle name="Input 4 4 2 2 4 4" xfId="29864" xr:uid="{00000000-0005-0000-0000-0000A3740000}"/>
    <cellStyle name="Input 4 4 2 2 4 4 2" xfId="29865" xr:uid="{00000000-0005-0000-0000-0000A4740000}"/>
    <cellStyle name="Input 4 4 2 2 4 4 3" xfId="29866" xr:uid="{00000000-0005-0000-0000-0000A5740000}"/>
    <cellStyle name="Input 4 4 2 2 4 4 4" xfId="29867" xr:uid="{00000000-0005-0000-0000-0000A6740000}"/>
    <cellStyle name="Input 4 4 2 2 4 4 5" xfId="29868" xr:uid="{00000000-0005-0000-0000-0000A7740000}"/>
    <cellStyle name="Input 4 4 2 2 4 4 6" xfId="29869" xr:uid="{00000000-0005-0000-0000-0000A8740000}"/>
    <cellStyle name="Input 4 4 2 2 4 5" xfId="29870" xr:uid="{00000000-0005-0000-0000-0000A9740000}"/>
    <cellStyle name="Input 4 4 2 2 4 6" xfId="29871" xr:uid="{00000000-0005-0000-0000-0000AA740000}"/>
    <cellStyle name="Input 4 4 2 2 4 7" xfId="29872" xr:uid="{00000000-0005-0000-0000-0000AB740000}"/>
    <cellStyle name="Input 4 4 2 2 4 8" xfId="29873" xr:uid="{00000000-0005-0000-0000-0000AC740000}"/>
    <cellStyle name="Input 4 4 2 2 5" xfId="29874" xr:uid="{00000000-0005-0000-0000-0000AD740000}"/>
    <cellStyle name="Input 4 4 2 2 5 2" xfId="29875" xr:uid="{00000000-0005-0000-0000-0000AE740000}"/>
    <cellStyle name="Input 4 4 2 2 5 2 2" xfId="29876" xr:uid="{00000000-0005-0000-0000-0000AF740000}"/>
    <cellStyle name="Input 4 4 2 2 5 2 2 2" xfId="29877" xr:uid="{00000000-0005-0000-0000-0000B0740000}"/>
    <cellStyle name="Input 4 4 2 2 5 2 2 3" xfId="29878" xr:uid="{00000000-0005-0000-0000-0000B1740000}"/>
    <cellStyle name="Input 4 4 2 2 5 2 2 4" xfId="29879" xr:uid="{00000000-0005-0000-0000-0000B2740000}"/>
    <cellStyle name="Input 4 4 2 2 5 2 2 5" xfId="29880" xr:uid="{00000000-0005-0000-0000-0000B3740000}"/>
    <cellStyle name="Input 4 4 2 2 5 2 2 6" xfId="29881" xr:uid="{00000000-0005-0000-0000-0000B4740000}"/>
    <cellStyle name="Input 4 4 2 2 5 2 3" xfId="29882" xr:uid="{00000000-0005-0000-0000-0000B5740000}"/>
    <cellStyle name="Input 4 4 2 2 5 2 4" xfId="29883" xr:uid="{00000000-0005-0000-0000-0000B6740000}"/>
    <cellStyle name="Input 4 4 2 2 5 2 5" xfId="29884" xr:uid="{00000000-0005-0000-0000-0000B7740000}"/>
    <cellStyle name="Input 4 4 2 2 5 2 6" xfId="29885" xr:uid="{00000000-0005-0000-0000-0000B8740000}"/>
    <cellStyle name="Input 4 4 2 2 5 3" xfId="29886" xr:uid="{00000000-0005-0000-0000-0000B9740000}"/>
    <cellStyle name="Input 4 4 2 2 5 3 2" xfId="29887" xr:uid="{00000000-0005-0000-0000-0000BA740000}"/>
    <cellStyle name="Input 4 4 2 2 5 3 2 2" xfId="29888" xr:uid="{00000000-0005-0000-0000-0000BB740000}"/>
    <cellStyle name="Input 4 4 2 2 5 3 2 3" xfId="29889" xr:uid="{00000000-0005-0000-0000-0000BC740000}"/>
    <cellStyle name="Input 4 4 2 2 5 3 2 4" xfId="29890" xr:uid="{00000000-0005-0000-0000-0000BD740000}"/>
    <cellStyle name="Input 4 4 2 2 5 3 2 5" xfId="29891" xr:uid="{00000000-0005-0000-0000-0000BE740000}"/>
    <cellStyle name="Input 4 4 2 2 5 3 2 6" xfId="29892" xr:uid="{00000000-0005-0000-0000-0000BF740000}"/>
    <cellStyle name="Input 4 4 2 2 5 3 3" xfId="29893" xr:uid="{00000000-0005-0000-0000-0000C0740000}"/>
    <cellStyle name="Input 4 4 2 2 5 3 4" xfId="29894" xr:uid="{00000000-0005-0000-0000-0000C1740000}"/>
    <cellStyle name="Input 4 4 2 2 5 3 5" xfId="29895" xr:uid="{00000000-0005-0000-0000-0000C2740000}"/>
    <cellStyle name="Input 4 4 2 2 5 3 6" xfId="29896" xr:uid="{00000000-0005-0000-0000-0000C3740000}"/>
    <cellStyle name="Input 4 4 2 2 5 4" xfId="29897" xr:uid="{00000000-0005-0000-0000-0000C4740000}"/>
    <cellStyle name="Input 4 4 2 2 5 4 2" xfId="29898" xr:uid="{00000000-0005-0000-0000-0000C5740000}"/>
    <cellStyle name="Input 4 4 2 2 5 4 3" xfId="29899" xr:uid="{00000000-0005-0000-0000-0000C6740000}"/>
    <cellStyle name="Input 4 4 2 2 5 4 4" xfId="29900" xr:uid="{00000000-0005-0000-0000-0000C7740000}"/>
    <cellStyle name="Input 4 4 2 2 5 4 5" xfId="29901" xr:uid="{00000000-0005-0000-0000-0000C8740000}"/>
    <cellStyle name="Input 4 4 2 2 5 4 6" xfId="29902" xr:uid="{00000000-0005-0000-0000-0000C9740000}"/>
    <cellStyle name="Input 4 4 2 2 5 5" xfId="29903" xr:uid="{00000000-0005-0000-0000-0000CA740000}"/>
    <cellStyle name="Input 4 4 2 2 5 6" xfId="29904" xr:uid="{00000000-0005-0000-0000-0000CB740000}"/>
    <cellStyle name="Input 4 4 2 2 5 7" xfId="29905" xr:uid="{00000000-0005-0000-0000-0000CC740000}"/>
    <cellStyle name="Input 4 4 2 2 5 8" xfId="29906" xr:uid="{00000000-0005-0000-0000-0000CD740000}"/>
    <cellStyle name="Input 4 4 2 2 6" xfId="29907" xr:uid="{00000000-0005-0000-0000-0000CE740000}"/>
    <cellStyle name="Input 4 4 2 2 6 2" xfId="29908" xr:uid="{00000000-0005-0000-0000-0000CF740000}"/>
    <cellStyle name="Input 4 4 2 2 6 2 2" xfId="29909" xr:uid="{00000000-0005-0000-0000-0000D0740000}"/>
    <cellStyle name="Input 4 4 2 2 6 2 2 2" xfId="29910" xr:uid="{00000000-0005-0000-0000-0000D1740000}"/>
    <cellStyle name="Input 4 4 2 2 6 2 2 3" xfId="29911" xr:uid="{00000000-0005-0000-0000-0000D2740000}"/>
    <cellStyle name="Input 4 4 2 2 6 2 2 4" xfId="29912" xr:uid="{00000000-0005-0000-0000-0000D3740000}"/>
    <cellStyle name="Input 4 4 2 2 6 2 2 5" xfId="29913" xr:uid="{00000000-0005-0000-0000-0000D4740000}"/>
    <cellStyle name="Input 4 4 2 2 6 2 2 6" xfId="29914" xr:uid="{00000000-0005-0000-0000-0000D5740000}"/>
    <cellStyle name="Input 4 4 2 2 6 2 3" xfId="29915" xr:uid="{00000000-0005-0000-0000-0000D6740000}"/>
    <cellStyle name="Input 4 4 2 2 6 2 4" xfId="29916" xr:uid="{00000000-0005-0000-0000-0000D7740000}"/>
    <cellStyle name="Input 4 4 2 2 6 2 5" xfId="29917" xr:uid="{00000000-0005-0000-0000-0000D8740000}"/>
    <cellStyle name="Input 4 4 2 2 6 2 6" xfId="29918" xr:uid="{00000000-0005-0000-0000-0000D9740000}"/>
    <cellStyle name="Input 4 4 2 2 6 3" xfId="29919" xr:uid="{00000000-0005-0000-0000-0000DA740000}"/>
    <cellStyle name="Input 4 4 2 2 6 3 2" xfId="29920" xr:uid="{00000000-0005-0000-0000-0000DB740000}"/>
    <cellStyle name="Input 4 4 2 2 6 3 2 2" xfId="29921" xr:uid="{00000000-0005-0000-0000-0000DC740000}"/>
    <cellStyle name="Input 4 4 2 2 6 3 2 3" xfId="29922" xr:uid="{00000000-0005-0000-0000-0000DD740000}"/>
    <cellStyle name="Input 4 4 2 2 6 3 2 4" xfId="29923" xr:uid="{00000000-0005-0000-0000-0000DE740000}"/>
    <cellStyle name="Input 4 4 2 2 6 3 2 5" xfId="29924" xr:uid="{00000000-0005-0000-0000-0000DF740000}"/>
    <cellStyle name="Input 4 4 2 2 6 3 2 6" xfId="29925" xr:uid="{00000000-0005-0000-0000-0000E0740000}"/>
    <cellStyle name="Input 4 4 2 2 6 3 3" xfId="29926" xr:uid="{00000000-0005-0000-0000-0000E1740000}"/>
    <cellStyle name="Input 4 4 2 2 6 3 4" xfId="29927" xr:uid="{00000000-0005-0000-0000-0000E2740000}"/>
    <cellStyle name="Input 4 4 2 2 6 3 5" xfId="29928" xr:uid="{00000000-0005-0000-0000-0000E3740000}"/>
    <cellStyle name="Input 4 4 2 2 6 3 6" xfId="29929" xr:uid="{00000000-0005-0000-0000-0000E4740000}"/>
    <cellStyle name="Input 4 4 2 2 6 4" xfId="29930" xr:uid="{00000000-0005-0000-0000-0000E5740000}"/>
    <cellStyle name="Input 4 4 2 2 6 4 2" xfId="29931" xr:uid="{00000000-0005-0000-0000-0000E6740000}"/>
    <cellStyle name="Input 4 4 2 2 6 4 3" xfId="29932" xr:uid="{00000000-0005-0000-0000-0000E7740000}"/>
    <cellStyle name="Input 4 4 2 2 6 4 4" xfId="29933" xr:uid="{00000000-0005-0000-0000-0000E8740000}"/>
    <cellStyle name="Input 4 4 2 2 6 4 5" xfId="29934" xr:uid="{00000000-0005-0000-0000-0000E9740000}"/>
    <cellStyle name="Input 4 4 2 2 6 4 6" xfId="29935" xr:uid="{00000000-0005-0000-0000-0000EA740000}"/>
    <cellStyle name="Input 4 4 2 2 6 5" xfId="29936" xr:uid="{00000000-0005-0000-0000-0000EB740000}"/>
    <cellStyle name="Input 4 4 2 2 6 6" xfId="29937" xr:uid="{00000000-0005-0000-0000-0000EC740000}"/>
    <cellStyle name="Input 4 4 2 2 6 7" xfId="29938" xr:uid="{00000000-0005-0000-0000-0000ED740000}"/>
    <cellStyle name="Input 4 4 2 2 6 8" xfId="29939" xr:uid="{00000000-0005-0000-0000-0000EE740000}"/>
    <cellStyle name="Input 4 4 2 2 7" xfId="29940" xr:uid="{00000000-0005-0000-0000-0000EF740000}"/>
    <cellStyle name="Input 4 4 2 2 7 2" xfId="29941" xr:uid="{00000000-0005-0000-0000-0000F0740000}"/>
    <cellStyle name="Input 4 4 2 2 7 2 2" xfId="29942" xr:uid="{00000000-0005-0000-0000-0000F1740000}"/>
    <cellStyle name="Input 4 4 2 2 7 2 3" xfId="29943" xr:uid="{00000000-0005-0000-0000-0000F2740000}"/>
    <cellStyle name="Input 4 4 2 2 7 2 4" xfId="29944" xr:uid="{00000000-0005-0000-0000-0000F3740000}"/>
    <cellStyle name="Input 4 4 2 2 7 2 5" xfId="29945" xr:uid="{00000000-0005-0000-0000-0000F4740000}"/>
    <cellStyle name="Input 4 4 2 2 7 2 6" xfId="29946" xr:uid="{00000000-0005-0000-0000-0000F5740000}"/>
    <cellStyle name="Input 4 4 2 2 7 3" xfId="29947" xr:uid="{00000000-0005-0000-0000-0000F6740000}"/>
    <cellStyle name="Input 4 4 2 2 7 4" xfId="29948" xr:uid="{00000000-0005-0000-0000-0000F7740000}"/>
    <cellStyle name="Input 4 4 2 2 7 5" xfId="29949" xr:uid="{00000000-0005-0000-0000-0000F8740000}"/>
    <cellStyle name="Input 4 4 2 2 7 6" xfId="29950" xr:uid="{00000000-0005-0000-0000-0000F9740000}"/>
    <cellStyle name="Input 4 4 2 2 8" xfId="29951" xr:uid="{00000000-0005-0000-0000-0000FA740000}"/>
    <cellStyle name="Input 4 4 2 2 8 2" xfId="29952" xr:uid="{00000000-0005-0000-0000-0000FB740000}"/>
    <cellStyle name="Input 4 4 2 2 8 2 2" xfId="29953" xr:uid="{00000000-0005-0000-0000-0000FC740000}"/>
    <cellStyle name="Input 4 4 2 2 8 2 3" xfId="29954" xr:uid="{00000000-0005-0000-0000-0000FD740000}"/>
    <cellStyle name="Input 4 4 2 2 8 2 4" xfId="29955" xr:uid="{00000000-0005-0000-0000-0000FE740000}"/>
    <cellStyle name="Input 4 4 2 2 8 2 5" xfId="29956" xr:uid="{00000000-0005-0000-0000-0000FF740000}"/>
    <cellStyle name="Input 4 4 2 2 8 2 6" xfId="29957" xr:uid="{00000000-0005-0000-0000-000000750000}"/>
    <cellStyle name="Input 4 4 2 2 8 3" xfId="29958" xr:uid="{00000000-0005-0000-0000-000001750000}"/>
    <cellStyle name="Input 4 4 2 2 8 4" xfId="29959" xr:uid="{00000000-0005-0000-0000-000002750000}"/>
    <cellStyle name="Input 4 4 2 2 8 5" xfId="29960" xr:uid="{00000000-0005-0000-0000-000003750000}"/>
    <cellStyle name="Input 4 4 2 2 8 6" xfId="29961" xr:uid="{00000000-0005-0000-0000-000004750000}"/>
    <cellStyle name="Input 4 4 2 2 9" xfId="29962" xr:uid="{00000000-0005-0000-0000-000005750000}"/>
    <cellStyle name="Input 4 4 2 2 9 2" xfId="29963" xr:uid="{00000000-0005-0000-0000-000006750000}"/>
    <cellStyle name="Input 4 4 2 2 9 3" xfId="29964" xr:uid="{00000000-0005-0000-0000-000007750000}"/>
    <cellStyle name="Input 4 4 2 2 9 4" xfId="29965" xr:uid="{00000000-0005-0000-0000-000008750000}"/>
    <cellStyle name="Input 4 4 2 2 9 5" xfId="29966" xr:uid="{00000000-0005-0000-0000-000009750000}"/>
    <cellStyle name="Input 4 4 2 2 9 6" xfId="29967" xr:uid="{00000000-0005-0000-0000-00000A750000}"/>
    <cellStyle name="Input 4 4 2 3" xfId="29968" xr:uid="{00000000-0005-0000-0000-00000B750000}"/>
    <cellStyle name="Input 4 4 2 3 2" xfId="29969" xr:uid="{00000000-0005-0000-0000-00000C750000}"/>
    <cellStyle name="Input 4 4 2 3 2 2" xfId="29970" xr:uid="{00000000-0005-0000-0000-00000D750000}"/>
    <cellStyle name="Input 4 4 2 3 2 2 2" xfId="29971" xr:uid="{00000000-0005-0000-0000-00000E750000}"/>
    <cellStyle name="Input 4 4 2 3 2 2 3" xfId="29972" xr:uid="{00000000-0005-0000-0000-00000F750000}"/>
    <cellStyle name="Input 4 4 2 3 2 2 4" xfId="29973" xr:uid="{00000000-0005-0000-0000-000010750000}"/>
    <cellStyle name="Input 4 4 2 3 2 2 5" xfId="29974" xr:uid="{00000000-0005-0000-0000-000011750000}"/>
    <cellStyle name="Input 4 4 2 3 2 2 6" xfId="29975" xr:uid="{00000000-0005-0000-0000-000012750000}"/>
    <cellStyle name="Input 4 4 2 3 2 3" xfId="29976" xr:uid="{00000000-0005-0000-0000-000013750000}"/>
    <cellStyle name="Input 4 4 2 3 2 4" xfId="29977" xr:uid="{00000000-0005-0000-0000-000014750000}"/>
    <cellStyle name="Input 4 4 2 3 2 5" xfId="29978" xr:uid="{00000000-0005-0000-0000-000015750000}"/>
    <cellStyle name="Input 4 4 2 3 2 6" xfId="29979" xr:uid="{00000000-0005-0000-0000-000016750000}"/>
    <cellStyle name="Input 4 4 2 3 3" xfId="29980" xr:uid="{00000000-0005-0000-0000-000017750000}"/>
    <cellStyle name="Input 4 4 2 3 3 2" xfId="29981" xr:uid="{00000000-0005-0000-0000-000018750000}"/>
    <cellStyle name="Input 4 4 2 3 3 2 2" xfId="29982" xr:uid="{00000000-0005-0000-0000-000019750000}"/>
    <cellStyle name="Input 4 4 2 3 3 2 3" xfId="29983" xr:uid="{00000000-0005-0000-0000-00001A750000}"/>
    <cellStyle name="Input 4 4 2 3 3 2 4" xfId="29984" xr:uid="{00000000-0005-0000-0000-00001B750000}"/>
    <cellStyle name="Input 4 4 2 3 3 2 5" xfId="29985" xr:uid="{00000000-0005-0000-0000-00001C750000}"/>
    <cellStyle name="Input 4 4 2 3 3 2 6" xfId="29986" xr:uid="{00000000-0005-0000-0000-00001D750000}"/>
    <cellStyle name="Input 4 4 2 3 3 3" xfId="29987" xr:uid="{00000000-0005-0000-0000-00001E750000}"/>
    <cellStyle name="Input 4 4 2 3 3 4" xfId="29988" xr:uid="{00000000-0005-0000-0000-00001F750000}"/>
    <cellStyle name="Input 4 4 2 3 3 5" xfId="29989" xr:uid="{00000000-0005-0000-0000-000020750000}"/>
    <cellStyle name="Input 4 4 2 3 3 6" xfId="29990" xr:uid="{00000000-0005-0000-0000-000021750000}"/>
    <cellStyle name="Input 4 4 2 3 4" xfId="29991" xr:uid="{00000000-0005-0000-0000-000022750000}"/>
    <cellStyle name="Input 4 4 2 3 4 2" xfId="29992" xr:uid="{00000000-0005-0000-0000-000023750000}"/>
    <cellStyle name="Input 4 4 2 3 4 3" xfId="29993" xr:uid="{00000000-0005-0000-0000-000024750000}"/>
    <cellStyle name="Input 4 4 2 3 4 4" xfId="29994" xr:uid="{00000000-0005-0000-0000-000025750000}"/>
    <cellStyle name="Input 4 4 2 3 4 5" xfId="29995" xr:uid="{00000000-0005-0000-0000-000026750000}"/>
    <cellStyle name="Input 4 4 2 3 4 6" xfId="29996" xr:uid="{00000000-0005-0000-0000-000027750000}"/>
    <cellStyle name="Input 4 4 2 3 5" xfId="29997" xr:uid="{00000000-0005-0000-0000-000028750000}"/>
    <cellStyle name="Input 4 4 2 3 6" xfId="29998" xr:uid="{00000000-0005-0000-0000-000029750000}"/>
    <cellStyle name="Input 4 4 2 3 7" xfId="29999" xr:uid="{00000000-0005-0000-0000-00002A750000}"/>
    <cellStyle name="Input 4 4 2 3 8" xfId="30000" xr:uid="{00000000-0005-0000-0000-00002B750000}"/>
    <cellStyle name="Input 4 4 2 4" xfId="30001" xr:uid="{00000000-0005-0000-0000-00002C750000}"/>
    <cellStyle name="Input 4 4 2 4 2" xfId="30002" xr:uid="{00000000-0005-0000-0000-00002D750000}"/>
    <cellStyle name="Input 4 4 2 4 2 2" xfId="30003" xr:uid="{00000000-0005-0000-0000-00002E750000}"/>
    <cellStyle name="Input 4 4 2 4 2 2 2" xfId="30004" xr:uid="{00000000-0005-0000-0000-00002F750000}"/>
    <cellStyle name="Input 4 4 2 4 2 2 3" xfId="30005" xr:uid="{00000000-0005-0000-0000-000030750000}"/>
    <cellStyle name="Input 4 4 2 4 2 2 4" xfId="30006" xr:uid="{00000000-0005-0000-0000-000031750000}"/>
    <cellStyle name="Input 4 4 2 4 2 2 5" xfId="30007" xr:uid="{00000000-0005-0000-0000-000032750000}"/>
    <cellStyle name="Input 4 4 2 4 2 2 6" xfId="30008" xr:uid="{00000000-0005-0000-0000-000033750000}"/>
    <cellStyle name="Input 4 4 2 4 2 3" xfId="30009" xr:uid="{00000000-0005-0000-0000-000034750000}"/>
    <cellStyle name="Input 4 4 2 4 2 4" xfId="30010" xr:uid="{00000000-0005-0000-0000-000035750000}"/>
    <cellStyle name="Input 4 4 2 4 2 5" xfId="30011" xr:uid="{00000000-0005-0000-0000-000036750000}"/>
    <cellStyle name="Input 4 4 2 4 2 6" xfId="30012" xr:uid="{00000000-0005-0000-0000-000037750000}"/>
    <cellStyle name="Input 4 4 2 4 3" xfId="30013" xr:uid="{00000000-0005-0000-0000-000038750000}"/>
    <cellStyle name="Input 4 4 2 4 3 2" xfId="30014" xr:uid="{00000000-0005-0000-0000-000039750000}"/>
    <cellStyle name="Input 4 4 2 4 3 2 2" xfId="30015" xr:uid="{00000000-0005-0000-0000-00003A750000}"/>
    <cellStyle name="Input 4 4 2 4 3 2 3" xfId="30016" xr:uid="{00000000-0005-0000-0000-00003B750000}"/>
    <cellStyle name="Input 4 4 2 4 3 2 4" xfId="30017" xr:uid="{00000000-0005-0000-0000-00003C750000}"/>
    <cellStyle name="Input 4 4 2 4 3 2 5" xfId="30018" xr:uid="{00000000-0005-0000-0000-00003D750000}"/>
    <cellStyle name="Input 4 4 2 4 3 2 6" xfId="30019" xr:uid="{00000000-0005-0000-0000-00003E750000}"/>
    <cellStyle name="Input 4 4 2 4 3 3" xfId="30020" xr:uid="{00000000-0005-0000-0000-00003F750000}"/>
    <cellStyle name="Input 4 4 2 4 3 4" xfId="30021" xr:uid="{00000000-0005-0000-0000-000040750000}"/>
    <cellStyle name="Input 4 4 2 4 3 5" xfId="30022" xr:uid="{00000000-0005-0000-0000-000041750000}"/>
    <cellStyle name="Input 4 4 2 4 3 6" xfId="30023" xr:uid="{00000000-0005-0000-0000-000042750000}"/>
    <cellStyle name="Input 4 4 2 4 4" xfId="30024" xr:uid="{00000000-0005-0000-0000-000043750000}"/>
    <cellStyle name="Input 4 4 2 4 4 2" xfId="30025" xr:uid="{00000000-0005-0000-0000-000044750000}"/>
    <cellStyle name="Input 4 4 2 4 4 3" xfId="30026" xr:uid="{00000000-0005-0000-0000-000045750000}"/>
    <cellStyle name="Input 4 4 2 4 4 4" xfId="30027" xr:uid="{00000000-0005-0000-0000-000046750000}"/>
    <cellStyle name="Input 4 4 2 4 4 5" xfId="30028" xr:uid="{00000000-0005-0000-0000-000047750000}"/>
    <cellStyle name="Input 4 4 2 4 4 6" xfId="30029" xr:uid="{00000000-0005-0000-0000-000048750000}"/>
    <cellStyle name="Input 4 4 2 4 5" xfId="30030" xr:uid="{00000000-0005-0000-0000-000049750000}"/>
    <cellStyle name="Input 4 4 2 4 6" xfId="30031" xr:uid="{00000000-0005-0000-0000-00004A750000}"/>
    <cellStyle name="Input 4 4 2 4 7" xfId="30032" xr:uid="{00000000-0005-0000-0000-00004B750000}"/>
    <cellStyle name="Input 4 4 2 4 8" xfId="30033" xr:uid="{00000000-0005-0000-0000-00004C750000}"/>
    <cellStyle name="Input 4 4 2 5" xfId="30034" xr:uid="{00000000-0005-0000-0000-00004D750000}"/>
    <cellStyle name="Input 4 4 2 5 2" xfId="30035" xr:uid="{00000000-0005-0000-0000-00004E750000}"/>
    <cellStyle name="Input 4 4 2 5 2 2" xfId="30036" xr:uid="{00000000-0005-0000-0000-00004F750000}"/>
    <cellStyle name="Input 4 4 2 5 2 2 2" xfId="30037" xr:uid="{00000000-0005-0000-0000-000050750000}"/>
    <cellStyle name="Input 4 4 2 5 2 2 3" xfId="30038" xr:uid="{00000000-0005-0000-0000-000051750000}"/>
    <cellStyle name="Input 4 4 2 5 2 2 4" xfId="30039" xr:uid="{00000000-0005-0000-0000-000052750000}"/>
    <cellStyle name="Input 4 4 2 5 2 2 5" xfId="30040" xr:uid="{00000000-0005-0000-0000-000053750000}"/>
    <cellStyle name="Input 4 4 2 5 2 2 6" xfId="30041" xr:uid="{00000000-0005-0000-0000-000054750000}"/>
    <cellStyle name="Input 4 4 2 5 2 3" xfId="30042" xr:uid="{00000000-0005-0000-0000-000055750000}"/>
    <cellStyle name="Input 4 4 2 5 2 4" xfId="30043" xr:uid="{00000000-0005-0000-0000-000056750000}"/>
    <cellStyle name="Input 4 4 2 5 2 5" xfId="30044" xr:uid="{00000000-0005-0000-0000-000057750000}"/>
    <cellStyle name="Input 4 4 2 5 2 6" xfId="30045" xr:uid="{00000000-0005-0000-0000-000058750000}"/>
    <cellStyle name="Input 4 4 2 5 3" xfId="30046" xr:uid="{00000000-0005-0000-0000-000059750000}"/>
    <cellStyle name="Input 4 4 2 5 3 2" xfId="30047" xr:uid="{00000000-0005-0000-0000-00005A750000}"/>
    <cellStyle name="Input 4 4 2 5 3 2 2" xfId="30048" xr:uid="{00000000-0005-0000-0000-00005B750000}"/>
    <cellStyle name="Input 4 4 2 5 3 2 3" xfId="30049" xr:uid="{00000000-0005-0000-0000-00005C750000}"/>
    <cellStyle name="Input 4 4 2 5 3 2 4" xfId="30050" xr:uid="{00000000-0005-0000-0000-00005D750000}"/>
    <cellStyle name="Input 4 4 2 5 3 2 5" xfId="30051" xr:uid="{00000000-0005-0000-0000-00005E750000}"/>
    <cellStyle name="Input 4 4 2 5 3 2 6" xfId="30052" xr:uid="{00000000-0005-0000-0000-00005F750000}"/>
    <cellStyle name="Input 4 4 2 5 3 3" xfId="30053" xr:uid="{00000000-0005-0000-0000-000060750000}"/>
    <cellStyle name="Input 4 4 2 5 3 4" xfId="30054" xr:uid="{00000000-0005-0000-0000-000061750000}"/>
    <cellStyle name="Input 4 4 2 5 3 5" xfId="30055" xr:uid="{00000000-0005-0000-0000-000062750000}"/>
    <cellStyle name="Input 4 4 2 5 3 6" xfId="30056" xr:uid="{00000000-0005-0000-0000-000063750000}"/>
    <cellStyle name="Input 4 4 2 5 4" xfId="30057" xr:uid="{00000000-0005-0000-0000-000064750000}"/>
    <cellStyle name="Input 4 4 2 5 4 2" xfId="30058" xr:uid="{00000000-0005-0000-0000-000065750000}"/>
    <cellStyle name="Input 4 4 2 5 4 3" xfId="30059" xr:uid="{00000000-0005-0000-0000-000066750000}"/>
    <cellStyle name="Input 4 4 2 5 4 4" xfId="30060" xr:uid="{00000000-0005-0000-0000-000067750000}"/>
    <cellStyle name="Input 4 4 2 5 4 5" xfId="30061" xr:uid="{00000000-0005-0000-0000-000068750000}"/>
    <cellStyle name="Input 4 4 2 5 4 6" xfId="30062" xr:uid="{00000000-0005-0000-0000-000069750000}"/>
    <cellStyle name="Input 4 4 2 5 5" xfId="30063" xr:uid="{00000000-0005-0000-0000-00006A750000}"/>
    <cellStyle name="Input 4 4 2 5 6" xfId="30064" xr:uid="{00000000-0005-0000-0000-00006B750000}"/>
    <cellStyle name="Input 4 4 2 5 7" xfId="30065" xr:uid="{00000000-0005-0000-0000-00006C750000}"/>
    <cellStyle name="Input 4 4 2 5 8" xfId="30066" xr:uid="{00000000-0005-0000-0000-00006D750000}"/>
    <cellStyle name="Input 4 4 2 6" xfId="30067" xr:uid="{00000000-0005-0000-0000-00006E750000}"/>
    <cellStyle name="Input 4 4 2 6 2" xfId="30068" xr:uid="{00000000-0005-0000-0000-00006F750000}"/>
    <cellStyle name="Input 4 4 2 6 2 2" xfId="30069" xr:uid="{00000000-0005-0000-0000-000070750000}"/>
    <cellStyle name="Input 4 4 2 6 2 2 2" xfId="30070" xr:uid="{00000000-0005-0000-0000-000071750000}"/>
    <cellStyle name="Input 4 4 2 6 2 2 3" xfId="30071" xr:uid="{00000000-0005-0000-0000-000072750000}"/>
    <cellStyle name="Input 4 4 2 6 2 2 4" xfId="30072" xr:uid="{00000000-0005-0000-0000-000073750000}"/>
    <cellStyle name="Input 4 4 2 6 2 2 5" xfId="30073" xr:uid="{00000000-0005-0000-0000-000074750000}"/>
    <cellStyle name="Input 4 4 2 6 2 2 6" xfId="30074" xr:uid="{00000000-0005-0000-0000-000075750000}"/>
    <cellStyle name="Input 4 4 2 6 2 3" xfId="30075" xr:uid="{00000000-0005-0000-0000-000076750000}"/>
    <cellStyle name="Input 4 4 2 6 2 4" xfId="30076" xr:uid="{00000000-0005-0000-0000-000077750000}"/>
    <cellStyle name="Input 4 4 2 6 2 5" xfId="30077" xr:uid="{00000000-0005-0000-0000-000078750000}"/>
    <cellStyle name="Input 4 4 2 6 2 6" xfId="30078" xr:uid="{00000000-0005-0000-0000-000079750000}"/>
    <cellStyle name="Input 4 4 2 6 3" xfId="30079" xr:uid="{00000000-0005-0000-0000-00007A750000}"/>
    <cellStyle name="Input 4 4 2 6 3 2" xfId="30080" xr:uid="{00000000-0005-0000-0000-00007B750000}"/>
    <cellStyle name="Input 4 4 2 6 3 2 2" xfId="30081" xr:uid="{00000000-0005-0000-0000-00007C750000}"/>
    <cellStyle name="Input 4 4 2 6 3 2 3" xfId="30082" xr:uid="{00000000-0005-0000-0000-00007D750000}"/>
    <cellStyle name="Input 4 4 2 6 3 2 4" xfId="30083" xr:uid="{00000000-0005-0000-0000-00007E750000}"/>
    <cellStyle name="Input 4 4 2 6 3 2 5" xfId="30084" xr:uid="{00000000-0005-0000-0000-00007F750000}"/>
    <cellStyle name="Input 4 4 2 6 3 2 6" xfId="30085" xr:uid="{00000000-0005-0000-0000-000080750000}"/>
    <cellStyle name="Input 4 4 2 6 3 3" xfId="30086" xr:uid="{00000000-0005-0000-0000-000081750000}"/>
    <cellStyle name="Input 4 4 2 6 3 4" xfId="30087" xr:uid="{00000000-0005-0000-0000-000082750000}"/>
    <cellStyle name="Input 4 4 2 6 3 5" xfId="30088" xr:uid="{00000000-0005-0000-0000-000083750000}"/>
    <cellStyle name="Input 4 4 2 6 3 6" xfId="30089" xr:uid="{00000000-0005-0000-0000-000084750000}"/>
    <cellStyle name="Input 4 4 2 6 4" xfId="30090" xr:uid="{00000000-0005-0000-0000-000085750000}"/>
    <cellStyle name="Input 4 4 2 6 4 2" xfId="30091" xr:uid="{00000000-0005-0000-0000-000086750000}"/>
    <cellStyle name="Input 4 4 2 6 4 3" xfId="30092" xr:uid="{00000000-0005-0000-0000-000087750000}"/>
    <cellStyle name="Input 4 4 2 6 4 4" xfId="30093" xr:uid="{00000000-0005-0000-0000-000088750000}"/>
    <cellStyle name="Input 4 4 2 6 4 5" xfId="30094" xr:uid="{00000000-0005-0000-0000-000089750000}"/>
    <cellStyle name="Input 4 4 2 6 4 6" xfId="30095" xr:uid="{00000000-0005-0000-0000-00008A750000}"/>
    <cellStyle name="Input 4 4 2 6 5" xfId="30096" xr:uid="{00000000-0005-0000-0000-00008B750000}"/>
    <cellStyle name="Input 4 4 2 6 6" xfId="30097" xr:uid="{00000000-0005-0000-0000-00008C750000}"/>
    <cellStyle name="Input 4 4 2 6 7" xfId="30098" xr:uid="{00000000-0005-0000-0000-00008D750000}"/>
    <cellStyle name="Input 4 4 2 6 8" xfId="30099" xr:uid="{00000000-0005-0000-0000-00008E750000}"/>
    <cellStyle name="Input 4 4 2 7" xfId="30100" xr:uid="{00000000-0005-0000-0000-00008F750000}"/>
    <cellStyle name="Input 4 4 2 7 2" xfId="30101" xr:uid="{00000000-0005-0000-0000-000090750000}"/>
    <cellStyle name="Input 4 4 2 7 2 2" xfId="30102" xr:uid="{00000000-0005-0000-0000-000091750000}"/>
    <cellStyle name="Input 4 4 2 7 2 2 2" xfId="30103" xr:uid="{00000000-0005-0000-0000-000092750000}"/>
    <cellStyle name="Input 4 4 2 7 2 2 3" xfId="30104" xr:uid="{00000000-0005-0000-0000-000093750000}"/>
    <cellStyle name="Input 4 4 2 7 2 2 4" xfId="30105" xr:uid="{00000000-0005-0000-0000-000094750000}"/>
    <cellStyle name="Input 4 4 2 7 2 2 5" xfId="30106" xr:uid="{00000000-0005-0000-0000-000095750000}"/>
    <cellStyle name="Input 4 4 2 7 2 2 6" xfId="30107" xr:uid="{00000000-0005-0000-0000-000096750000}"/>
    <cellStyle name="Input 4 4 2 7 2 3" xfId="30108" xr:uid="{00000000-0005-0000-0000-000097750000}"/>
    <cellStyle name="Input 4 4 2 7 2 4" xfId="30109" xr:uid="{00000000-0005-0000-0000-000098750000}"/>
    <cellStyle name="Input 4 4 2 7 2 5" xfId="30110" xr:uid="{00000000-0005-0000-0000-000099750000}"/>
    <cellStyle name="Input 4 4 2 7 2 6" xfId="30111" xr:uid="{00000000-0005-0000-0000-00009A750000}"/>
    <cellStyle name="Input 4 4 2 7 3" xfId="30112" xr:uid="{00000000-0005-0000-0000-00009B750000}"/>
    <cellStyle name="Input 4 4 2 7 3 2" xfId="30113" xr:uid="{00000000-0005-0000-0000-00009C750000}"/>
    <cellStyle name="Input 4 4 2 7 3 2 2" xfId="30114" xr:uid="{00000000-0005-0000-0000-00009D750000}"/>
    <cellStyle name="Input 4 4 2 7 3 2 3" xfId="30115" xr:uid="{00000000-0005-0000-0000-00009E750000}"/>
    <cellStyle name="Input 4 4 2 7 3 2 4" xfId="30116" xr:uid="{00000000-0005-0000-0000-00009F750000}"/>
    <cellStyle name="Input 4 4 2 7 3 2 5" xfId="30117" xr:uid="{00000000-0005-0000-0000-0000A0750000}"/>
    <cellStyle name="Input 4 4 2 7 3 2 6" xfId="30118" xr:uid="{00000000-0005-0000-0000-0000A1750000}"/>
    <cellStyle name="Input 4 4 2 7 3 3" xfId="30119" xr:uid="{00000000-0005-0000-0000-0000A2750000}"/>
    <cellStyle name="Input 4 4 2 7 3 4" xfId="30120" xr:uid="{00000000-0005-0000-0000-0000A3750000}"/>
    <cellStyle name="Input 4 4 2 7 3 5" xfId="30121" xr:uid="{00000000-0005-0000-0000-0000A4750000}"/>
    <cellStyle name="Input 4 4 2 7 3 6" xfId="30122" xr:uid="{00000000-0005-0000-0000-0000A5750000}"/>
    <cellStyle name="Input 4 4 2 7 4" xfId="30123" xr:uid="{00000000-0005-0000-0000-0000A6750000}"/>
    <cellStyle name="Input 4 4 2 7 4 2" xfId="30124" xr:uid="{00000000-0005-0000-0000-0000A7750000}"/>
    <cellStyle name="Input 4 4 2 7 4 3" xfId="30125" xr:uid="{00000000-0005-0000-0000-0000A8750000}"/>
    <cellStyle name="Input 4 4 2 7 4 4" xfId="30126" xr:uid="{00000000-0005-0000-0000-0000A9750000}"/>
    <cellStyle name="Input 4 4 2 7 4 5" xfId="30127" xr:uid="{00000000-0005-0000-0000-0000AA750000}"/>
    <cellStyle name="Input 4 4 2 7 4 6" xfId="30128" xr:uid="{00000000-0005-0000-0000-0000AB750000}"/>
    <cellStyle name="Input 4 4 2 7 5" xfId="30129" xr:uid="{00000000-0005-0000-0000-0000AC750000}"/>
    <cellStyle name="Input 4 4 2 7 6" xfId="30130" xr:uid="{00000000-0005-0000-0000-0000AD750000}"/>
    <cellStyle name="Input 4 4 2 7 7" xfId="30131" xr:uid="{00000000-0005-0000-0000-0000AE750000}"/>
    <cellStyle name="Input 4 4 2 7 8" xfId="30132" xr:uid="{00000000-0005-0000-0000-0000AF750000}"/>
    <cellStyle name="Input 4 4 2 8" xfId="30133" xr:uid="{00000000-0005-0000-0000-0000B0750000}"/>
    <cellStyle name="Input 4 4 2 8 2" xfId="30134" xr:uid="{00000000-0005-0000-0000-0000B1750000}"/>
    <cellStyle name="Input 4 4 2 8 2 2" xfId="30135" xr:uid="{00000000-0005-0000-0000-0000B2750000}"/>
    <cellStyle name="Input 4 4 2 8 2 3" xfId="30136" xr:uid="{00000000-0005-0000-0000-0000B3750000}"/>
    <cellStyle name="Input 4 4 2 8 2 4" xfId="30137" xr:uid="{00000000-0005-0000-0000-0000B4750000}"/>
    <cellStyle name="Input 4 4 2 8 2 5" xfId="30138" xr:uid="{00000000-0005-0000-0000-0000B5750000}"/>
    <cellStyle name="Input 4 4 2 8 2 6" xfId="30139" xr:uid="{00000000-0005-0000-0000-0000B6750000}"/>
    <cellStyle name="Input 4 4 2 8 3" xfId="30140" xr:uid="{00000000-0005-0000-0000-0000B7750000}"/>
    <cellStyle name="Input 4 4 2 8 4" xfId="30141" xr:uid="{00000000-0005-0000-0000-0000B8750000}"/>
    <cellStyle name="Input 4 4 2 8 5" xfId="30142" xr:uid="{00000000-0005-0000-0000-0000B9750000}"/>
    <cellStyle name="Input 4 4 2 8 6" xfId="30143" xr:uid="{00000000-0005-0000-0000-0000BA750000}"/>
    <cellStyle name="Input 4 4 2 9" xfId="30144" xr:uid="{00000000-0005-0000-0000-0000BB750000}"/>
    <cellStyle name="Input 4 4 2 9 2" xfId="30145" xr:uid="{00000000-0005-0000-0000-0000BC750000}"/>
    <cellStyle name="Input 4 4 2 9 2 2" xfId="30146" xr:uid="{00000000-0005-0000-0000-0000BD750000}"/>
    <cellStyle name="Input 4 4 2 9 2 3" xfId="30147" xr:uid="{00000000-0005-0000-0000-0000BE750000}"/>
    <cellStyle name="Input 4 4 2 9 2 4" xfId="30148" xr:uid="{00000000-0005-0000-0000-0000BF750000}"/>
    <cellStyle name="Input 4 4 2 9 2 5" xfId="30149" xr:uid="{00000000-0005-0000-0000-0000C0750000}"/>
    <cellStyle name="Input 4 4 2 9 2 6" xfId="30150" xr:uid="{00000000-0005-0000-0000-0000C1750000}"/>
    <cellStyle name="Input 4 4 2 9 3" xfId="30151" xr:uid="{00000000-0005-0000-0000-0000C2750000}"/>
    <cellStyle name="Input 4 4 2 9 4" xfId="30152" xr:uid="{00000000-0005-0000-0000-0000C3750000}"/>
    <cellStyle name="Input 4 4 2 9 5" xfId="30153" xr:uid="{00000000-0005-0000-0000-0000C4750000}"/>
    <cellStyle name="Input 4 4 2 9 6" xfId="30154" xr:uid="{00000000-0005-0000-0000-0000C5750000}"/>
    <cellStyle name="Input 4 4 3" xfId="30155" xr:uid="{00000000-0005-0000-0000-0000C6750000}"/>
    <cellStyle name="Input 4 4 3 10" xfId="30156" xr:uid="{00000000-0005-0000-0000-0000C7750000}"/>
    <cellStyle name="Input 4 4 3 11" xfId="30157" xr:uid="{00000000-0005-0000-0000-0000C8750000}"/>
    <cellStyle name="Input 4 4 3 12" xfId="30158" xr:uid="{00000000-0005-0000-0000-0000C9750000}"/>
    <cellStyle name="Input 4 4 3 13" xfId="30159" xr:uid="{00000000-0005-0000-0000-0000CA750000}"/>
    <cellStyle name="Input 4 4 3 2" xfId="30160" xr:uid="{00000000-0005-0000-0000-0000CB750000}"/>
    <cellStyle name="Input 4 4 3 2 2" xfId="30161" xr:uid="{00000000-0005-0000-0000-0000CC750000}"/>
    <cellStyle name="Input 4 4 3 2 2 2" xfId="30162" xr:uid="{00000000-0005-0000-0000-0000CD750000}"/>
    <cellStyle name="Input 4 4 3 2 2 2 2" xfId="30163" xr:uid="{00000000-0005-0000-0000-0000CE750000}"/>
    <cellStyle name="Input 4 4 3 2 2 2 3" xfId="30164" xr:uid="{00000000-0005-0000-0000-0000CF750000}"/>
    <cellStyle name="Input 4 4 3 2 2 2 4" xfId="30165" xr:uid="{00000000-0005-0000-0000-0000D0750000}"/>
    <cellStyle name="Input 4 4 3 2 2 2 5" xfId="30166" xr:uid="{00000000-0005-0000-0000-0000D1750000}"/>
    <cellStyle name="Input 4 4 3 2 2 2 6" xfId="30167" xr:uid="{00000000-0005-0000-0000-0000D2750000}"/>
    <cellStyle name="Input 4 4 3 2 2 3" xfId="30168" xr:uid="{00000000-0005-0000-0000-0000D3750000}"/>
    <cellStyle name="Input 4 4 3 2 2 4" xfId="30169" xr:uid="{00000000-0005-0000-0000-0000D4750000}"/>
    <cellStyle name="Input 4 4 3 2 2 5" xfId="30170" xr:uid="{00000000-0005-0000-0000-0000D5750000}"/>
    <cellStyle name="Input 4 4 3 2 2 6" xfId="30171" xr:uid="{00000000-0005-0000-0000-0000D6750000}"/>
    <cellStyle name="Input 4 4 3 2 3" xfId="30172" xr:uid="{00000000-0005-0000-0000-0000D7750000}"/>
    <cellStyle name="Input 4 4 3 2 3 2" xfId="30173" xr:uid="{00000000-0005-0000-0000-0000D8750000}"/>
    <cellStyle name="Input 4 4 3 2 3 2 2" xfId="30174" xr:uid="{00000000-0005-0000-0000-0000D9750000}"/>
    <cellStyle name="Input 4 4 3 2 3 2 3" xfId="30175" xr:uid="{00000000-0005-0000-0000-0000DA750000}"/>
    <cellStyle name="Input 4 4 3 2 3 2 4" xfId="30176" xr:uid="{00000000-0005-0000-0000-0000DB750000}"/>
    <cellStyle name="Input 4 4 3 2 3 2 5" xfId="30177" xr:uid="{00000000-0005-0000-0000-0000DC750000}"/>
    <cellStyle name="Input 4 4 3 2 3 2 6" xfId="30178" xr:uid="{00000000-0005-0000-0000-0000DD750000}"/>
    <cellStyle name="Input 4 4 3 2 3 3" xfId="30179" xr:uid="{00000000-0005-0000-0000-0000DE750000}"/>
    <cellStyle name="Input 4 4 3 2 3 4" xfId="30180" xr:uid="{00000000-0005-0000-0000-0000DF750000}"/>
    <cellStyle name="Input 4 4 3 2 3 5" xfId="30181" xr:uid="{00000000-0005-0000-0000-0000E0750000}"/>
    <cellStyle name="Input 4 4 3 2 3 6" xfId="30182" xr:uid="{00000000-0005-0000-0000-0000E1750000}"/>
    <cellStyle name="Input 4 4 3 2 4" xfId="30183" xr:uid="{00000000-0005-0000-0000-0000E2750000}"/>
    <cellStyle name="Input 4 4 3 2 4 2" xfId="30184" xr:uid="{00000000-0005-0000-0000-0000E3750000}"/>
    <cellStyle name="Input 4 4 3 2 4 3" xfId="30185" xr:uid="{00000000-0005-0000-0000-0000E4750000}"/>
    <cellStyle name="Input 4 4 3 2 4 4" xfId="30186" xr:uid="{00000000-0005-0000-0000-0000E5750000}"/>
    <cellStyle name="Input 4 4 3 2 4 5" xfId="30187" xr:uid="{00000000-0005-0000-0000-0000E6750000}"/>
    <cellStyle name="Input 4 4 3 2 4 6" xfId="30188" xr:uid="{00000000-0005-0000-0000-0000E7750000}"/>
    <cellStyle name="Input 4 4 3 2 5" xfId="30189" xr:uid="{00000000-0005-0000-0000-0000E8750000}"/>
    <cellStyle name="Input 4 4 3 2 6" xfId="30190" xr:uid="{00000000-0005-0000-0000-0000E9750000}"/>
    <cellStyle name="Input 4 4 3 2 7" xfId="30191" xr:uid="{00000000-0005-0000-0000-0000EA750000}"/>
    <cellStyle name="Input 4 4 3 2 8" xfId="30192" xr:uid="{00000000-0005-0000-0000-0000EB750000}"/>
    <cellStyle name="Input 4 4 3 3" xfId="30193" xr:uid="{00000000-0005-0000-0000-0000EC750000}"/>
    <cellStyle name="Input 4 4 3 3 2" xfId="30194" xr:uid="{00000000-0005-0000-0000-0000ED750000}"/>
    <cellStyle name="Input 4 4 3 3 2 2" xfId="30195" xr:uid="{00000000-0005-0000-0000-0000EE750000}"/>
    <cellStyle name="Input 4 4 3 3 2 2 2" xfId="30196" xr:uid="{00000000-0005-0000-0000-0000EF750000}"/>
    <cellStyle name="Input 4 4 3 3 2 2 3" xfId="30197" xr:uid="{00000000-0005-0000-0000-0000F0750000}"/>
    <cellStyle name="Input 4 4 3 3 2 2 4" xfId="30198" xr:uid="{00000000-0005-0000-0000-0000F1750000}"/>
    <cellStyle name="Input 4 4 3 3 2 2 5" xfId="30199" xr:uid="{00000000-0005-0000-0000-0000F2750000}"/>
    <cellStyle name="Input 4 4 3 3 2 2 6" xfId="30200" xr:uid="{00000000-0005-0000-0000-0000F3750000}"/>
    <cellStyle name="Input 4 4 3 3 2 3" xfId="30201" xr:uid="{00000000-0005-0000-0000-0000F4750000}"/>
    <cellStyle name="Input 4 4 3 3 2 4" xfId="30202" xr:uid="{00000000-0005-0000-0000-0000F5750000}"/>
    <cellStyle name="Input 4 4 3 3 2 5" xfId="30203" xr:uid="{00000000-0005-0000-0000-0000F6750000}"/>
    <cellStyle name="Input 4 4 3 3 2 6" xfId="30204" xr:uid="{00000000-0005-0000-0000-0000F7750000}"/>
    <cellStyle name="Input 4 4 3 3 3" xfId="30205" xr:uid="{00000000-0005-0000-0000-0000F8750000}"/>
    <cellStyle name="Input 4 4 3 3 3 2" xfId="30206" xr:uid="{00000000-0005-0000-0000-0000F9750000}"/>
    <cellStyle name="Input 4 4 3 3 3 2 2" xfId="30207" xr:uid="{00000000-0005-0000-0000-0000FA750000}"/>
    <cellStyle name="Input 4 4 3 3 3 2 3" xfId="30208" xr:uid="{00000000-0005-0000-0000-0000FB750000}"/>
    <cellStyle name="Input 4 4 3 3 3 2 4" xfId="30209" xr:uid="{00000000-0005-0000-0000-0000FC750000}"/>
    <cellStyle name="Input 4 4 3 3 3 2 5" xfId="30210" xr:uid="{00000000-0005-0000-0000-0000FD750000}"/>
    <cellStyle name="Input 4 4 3 3 3 2 6" xfId="30211" xr:uid="{00000000-0005-0000-0000-0000FE750000}"/>
    <cellStyle name="Input 4 4 3 3 3 3" xfId="30212" xr:uid="{00000000-0005-0000-0000-0000FF750000}"/>
    <cellStyle name="Input 4 4 3 3 3 4" xfId="30213" xr:uid="{00000000-0005-0000-0000-000000760000}"/>
    <cellStyle name="Input 4 4 3 3 3 5" xfId="30214" xr:uid="{00000000-0005-0000-0000-000001760000}"/>
    <cellStyle name="Input 4 4 3 3 3 6" xfId="30215" xr:uid="{00000000-0005-0000-0000-000002760000}"/>
    <cellStyle name="Input 4 4 3 3 4" xfId="30216" xr:uid="{00000000-0005-0000-0000-000003760000}"/>
    <cellStyle name="Input 4 4 3 3 4 2" xfId="30217" xr:uid="{00000000-0005-0000-0000-000004760000}"/>
    <cellStyle name="Input 4 4 3 3 4 3" xfId="30218" xr:uid="{00000000-0005-0000-0000-000005760000}"/>
    <cellStyle name="Input 4 4 3 3 4 4" xfId="30219" xr:uid="{00000000-0005-0000-0000-000006760000}"/>
    <cellStyle name="Input 4 4 3 3 4 5" xfId="30220" xr:uid="{00000000-0005-0000-0000-000007760000}"/>
    <cellStyle name="Input 4 4 3 3 4 6" xfId="30221" xr:uid="{00000000-0005-0000-0000-000008760000}"/>
    <cellStyle name="Input 4 4 3 3 5" xfId="30222" xr:uid="{00000000-0005-0000-0000-000009760000}"/>
    <cellStyle name="Input 4 4 3 3 6" xfId="30223" xr:uid="{00000000-0005-0000-0000-00000A760000}"/>
    <cellStyle name="Input 4 4 3 3 7" xfId="30224" xr:uid="{00000000-0005-0000-0000-00000B760000}"/>
    <cellStyle name="Input 4 4 3 3 8" xfId="30225" xr:uid="{00000000-0005-0000-0000-00000C760000}"/>
    <cellStyle name="Input 4 4 3 4" xfId="30226" xr:uid="{00000000-0005-0000-0000-00000D760000}"/>
    <cellStyle name="Input 4 4 3 4 2" xfId="30227" xr:uid="{00000000-0005-0000-0000-00000E760000}"/>
    <cellStyle name="Input 4 4 3 4 2 2" xfId="30228" xr:uid="{00000000-0005-0000-0000-00000F760000}"/>
    <cellStyle name="Input 4 4 3 4 2 2 2" xfId="30229" xr:uid="{00000000-0005-0000-0000-000010760000}"/>
    <cellStyle name="Input 4 4 3 4 2 2 3" xfId="30230" xr:uid="{00000000-0005-0000-0000-000011760000}"/>
    <cellStyle name="Input 4 4 3 4 2 2 4" xfId="30231" xr:uid="{00000000-0005-0000-0000-000012760000}"/>
    <cellStyle name="Input 4 4 3 4 2 2 5" xfId="30232" xr:uid="{00000000-0005-0000-0000-000013760000}"/>
    <cellStyle name="Input 4 4 3 4 2 2 6" xfId="30233" xr:uid="{00000000-0005-0000-0000-000014760000}"/>
    <cellStyle name="Input 4 4 3 4 2 3" xfId="30234" xr:uid="{00000000-0005-0000-0000-000015760000}"/>
    <cellStyle name="Input 4 4 3 4 2 4" xfId="30235" xr:uid="{00000000-0005-0000-0000-000016760000}"/>
    <cellStyle name="Input 4 4 3 4 2 5" xfId="30236" xr:uid="{00000000-0005-0000-0000-000017760000}"/>
    <cellStyle name="Input 4 4 3 4 2 6" xfId="30237" xr:uid="{00000000-0005-0000-0000-000018760000}"/>
    <cellStyle name="Input 4 4 3 4 3" xfId="30238" xr:uid="{00000000-0005-0000-0000-000019760000}"/>
    <cellStyle name="Input 4 4 3 4 3 2" xfId="30239" xr:uid="{00000000-0005-0000-0000-00001A760000}"/>
    <cellStyle name="Input 4 4 3 4 3 2 2" xfId="30240" xr:uid="{00000000-0005-0000-0000-00001B760000}"/>
    <cellStyle name="Input 4 4 3 4 3 2 3" xfId="30241" xr:uid="{00000000-0005-0000-0000-00001C760000}"/>
    <cellStyle name="Input 4 4 3 4 3 2 4" xfId="30242" xr:uid="{00000000-0005-0000-0000-00001D760000}"/>
    <cellStyle name="Input 4 4 3 4 3 2 5" xfId="30243" xr:uid="{00000000-0005-0000-0000-00001E760000}"/>
    <cellStyle name="Input 4 4 3 4 3 2 6" xfId="30244" xr:uid="{00000000-0005-0000-0000-00001F760000}"/>
    <cellStyle name="Input 4 4 3 4 3 3" xfId="30245" xr:uid="{00000000-0005-0000-0000-000020760000}"/>
    <cellStyle name="Input 4 4 3 4 3 4" xfId="30246" xr:uid="{00000000-0005-0000-0000-000021760000}"/>
    <cellStyle name="Input 4 4 3 4 3 5" xfId="30247" xr:uid="{00000000-0005-0000-0000-000022760000}"/>
    <cellStyle name="Input 4 4 3 4 3 6" xfId="30248" xr:uid="{00000000-0005-0000-0000-000023760000}"/>
    <cellStyle name="Input 4 4 3 4 4" xfId="30249" xr:uid="{00000000-0005-0000-0000-000024760000}"/>
    <cellStyle name="Input 4 4 3 4 4 2" xfId="30250" xr:uid="{00000000-0005-0000-0000-000025760000}"/>
    <cellStyle name="Input 4 4 3 4 4 3" xfId="30251" xr:uid="{00000000-0005-0000-0000-000026760000}"/>
    <cellStyle name="Input 4 4 3 4 4 4" xfId="30252" xr:uid="{00000000-0005-0000-0000-000027760000}"/>
    <cellStyle name="Input 4 4 3 4 4 5" xfId="30253" xr:uid="{00000000-0005-0000-0000-000028760000}"/>
    <cellStyle name="Input 4 4 3 4 4 6" xfId="30254" xr:uid="{00000000-0005-0000-0000-000029760000}"/>
    <cellStyle name="Input 4 4 3 4 5" xfId="30255" xr:uid="{00000000-0005-0000-0000-00002A760000}"/>
    <cellStyle name="Input 4 4 3 4 6" xfId="30256" xr:uid="{00000000-0005-0000-0000-00002B760000}"/>
    <cellStyle name="Input 4 4 3 4 7" xfId="30257" xr:uid="{00000000-0005-0000-0000-00002C760000}"/>
    <cellStyle name="Input 4 4 3 4 8" xfId="30258" xr:uid="{00000000-0005-0000-0000-00002D760000}"/>
    <cellStyle name="Input 4 4 3 5" xfId="30259" xr:uid="{00000000-0005-0000-0000-00002E760000}"/>
    <cellStyle name="Input 4 4 3 5 2" xfId="30260" xr:uid="{00000000-0005-0000-0000-00002F760000}"/>
    <cellStyle name="Input 4 4 3 5 2 2" xfId="30261" xr:uid="{00000000-0005-0000-0000-000030760000}"/>
    <cellStyle name="Input 4 4 3 5 2 2 2" xfId="30262" xr:uid="{00000000-0005-0000-0000-000031760000}"/>
    <cellStyle name="Input 4 4 3 5 2 2 3" xfId="30263" xr:uid="{00000000-0005-0000-0000-000032760000}"/>
    <cellStyle name="Input 4 4 3 5 2 2 4" xfId="30264" xr:uid="{00000000-0005-0000-0000-000033760000}"/>
    <cellStyle name="Input 4 4 3 5 2 2 5" xfId="30265" xr:uid="{00000000-0005-0000-0000-000034760000}"/>
    <cellStyle name="Input 4 4 3 5 2 2 6" xfId="30266" xr:uid="{00000000-0005-0000-0000-000035760000}"/>
    <cellStyle name="Input 4 4 3 5 2 3" xfId="30267" xr:uid="{00000000-0005-0000-0000-000036760000}"/>
    <cellStyle name="Input 4 4 3 5 2 4" xfId="30268" xr:uid="{00000000-0005-0000-0000-000037760000}"/>
    <cellStyle name="Input 4 4 3 5 2 5" xfId="30269" xr:uid="{00000000-0005-0000-0000-000038760000}"/>
    <cellStyle name="Input 4 4 3 5 2 6" xfId="30270" xr:uid="{00000000-0005-0000-0000-000039760000}"/>
    <cellStyle name="Input 4 4 3 5 3" xfId="30271" xr:uid="{00000000-0005-0000-0000-00003A760000}"/>
    <cellStyle name="Input 4 4 3 5 3 2" xfId="30272" xr:uid="{00000000-0005-0000-0000-00003B760000}"/>
    <cellStyle name="Input 4 4 3 5 3 2 2" xfId="30273" xr:uid="{00000000-0005-0000-0000-00003C760000}"/>
    <cellStyle name="Input 4 4 3 5 3 2 3" xfId="30274" xr:uid="{00000000-0005-0000-0000-00003D760000}"/>
    <cellStyle name="Input 4 4 3 5 3 2 4" xfId="30275" xr:uid="{00000000-0005-0000-0000-00003E760000}"/>
    <cellStyle name="Input 4 4 3 5 3 2 5" xfId="30276" xr:uid="{00000000-0005-0000-0000-00003F760000}"/>
    <cellStyle name="Input 4 4 3 5 3 2 6" xfId="30277" xr:uid="{00000000-0005-0000-0000-000040760000}"/>
    <cellStyle name="Input 4 4 3 5 3 3" xfId="30278" xr:uid="{00000000-0005-0000-0000-000041760000}"/>
    <cellStyle name="Input 4 4 3 5 3 4" xfId="30279" xr:uid="{00000000-0005-0000-0000-000042760000}"/>
    <cellStyle name="Input 4 4 3 5 3 5" xfId="30280" xr:uid="{00000000-0005-0000-0000-000043760000}"/>
    <cellStyle name="Input 4 4 3 5 3 6" xfId="30281" xr:uid="{00000000-0005-0000-0000-000044760000}"/>
    <cellStyle name="Input 4 4 3 5 4" xfId="30282" xr:uid="{00000000-0005-0000-0000-000045760000}"/>
    <cellStyle name="Input 4 4 3 5 4 2" xfId="30283" xr:uid="{00000000-0005-0000-0000-000046760000}"/>
    <cellStyle name="Input 4 4 3 5 4 3" xfId="30284" xr:uid="{00000000-0005-0000-0000-000047760000}"/>
    <cellStyle name="Input 4 4 3 5 4 4" xfId="30285" xr:uid="{00000000-0005-0000-0000-000048760000}"/>
    <cellStyle name="Input 4 4 3 5 4 5" xfId="30286" xr:uid="{00000000-0005-0000-0000-000049760000}"/>
    <cellStyle name="Input 4 4 3 5 4 6" xfId="30287" xr:uid="{00000000-0005-0000-0000-00004A760000}"/>
    <cellStyle name="Input 4 4 3 5 5" xfId="30288" xr:uid="{00000000-0005-0000-0000-00004B760000}"/>
    <cellStyle name="Input 4 4 3 5 6" xfId="30289" xr:uid="{00000000-0005-0000-0000-00004C760000}"/>
    <cellStyle name="Input 4 4 3 5 7" xfId="30290" xr:uid="{00000000-0005-0000-0000-00004D760000}"/>
    <cellStyle name="Input 4 4 3 5 8" xfId="30291" xr:uid="{00000000-0005-0000-0000-00004E760000}"/>
    <cellStyle name="Input 4 4 3 6" xfId="30292" xr:uid="{00000000-0005-0000-0000-00004F760000}"/>
    <cellStyle name="Input 4 4 3 6 2" xfId="30293" xr:uid="{00000000-0005-0000-0000-000050760000}"/>
    <cellStyle name="Input 4 4 3 6 2 2" xfId="30294" xr:uid="{00000000-0005-0000-0000-000051760000}"/>
    <cellStyle name="Input 4 4 3 6 2 2 2" xfId="30295" xr:uid="{00000000-0005-0000-0000-000052760000}"/>
    <cellStyle name="Input 4 4 3 6 2 2 3" xfId="30296" xr:uid="{00000000-0005-0000-0000-000053760000}"/>
    <cellStyle name="Input 4 4 3 6 2 2 4" xfId="30297" xr:uid="{00000000-0005-0000-0000-000054760000}"/>
    <cellStyle name="Input 4 4 3 6 2 2 5" xfId="30298" xr:uid="{00000000-0005-0000-0000-000055760000}"/>
    <cellStyle name="Input 4 4 3 6 2 2 6" xfId="30299" xr:uid="{00000000-0005-0000-0000-000056760000}"/>
    <cellStyle name="Input 4 4 3 6 2 3" xfId="30300" xr:uid="{00000000-0005-0000-0000-000057760000}"/>
    <cellStyle name="Input 4 4 3 6 2 4" xfId="30301" xr:uid="{00000000-0005-0000-0000-000058760000}"/>
    <cellStyle name="Input 4 4 3 6 2 5" xfId="30302" xr:uid="{00000000-0005-0000-0000-000059760000}"/>
    <cellStyle name="Input 4 4 3 6 2 6" xfId="30303" xr:uid="{00000000-0005-0000-0000-00005A760000}"/>
    <cellStyle name="Input 4 4 3 6 3" xfId="30304" xr:uid="{00000000-0005-0000-0000-00005B760000}"/>
    <cellStyle name="Input 4 4 3 6 3 2" xfId="30305" xr:uid="{00000000-0005-0000-0000-00005C760000}"/>
    <cellStyle name="Input 4 4 3 6 3 2 2" xfId="30306" xr:uid="{00000000-0005-0000-0000-00005D760000}"/>
    <cellStyle name="Input 4 4 3 6 3 2 3" xfId="30307" xr:uid="{00000000-0005-0000-0000-00005E760000}"/>
    <cellStyle name="Input 4 4 3 6 3 2 4" xfId="30308" xr:uid="{00000000-0005-0000-0000-00005F760000}"/>
    <cellStyle name="Input 4 4 3 6 3 2 5" xfId="30309" xr:uid="{00000000-0005-0000-0000-000060760000}"/>
    <cellStyle name="Input 4 4 3 6 3 2 6" xfId="30310" xr:uid="{00000000-0005-0000-0000-000061760000}"/>
    <cellStyle name="Input 4 4 3 6 3 3" xfId="30311" xr:uid="{00000000-0005-0000-0000-000062760000}"/>
    <cellStyle name="Input 4 4 3 6 3 4" xfId="30312" xr:uid="{00000000-0005-0000-0000-000063760000}"/>
    <cellStyle name="Input 4 4 3 6 3 5" xfId="30313" xr:uid="{00000000-0005-0000-0000-000064760000}"/>
    <cellStyle name="Input 4 4 3 6 3 6" xfId="30314" xr:uid="{00000000-0005-0000-0000-000065760000}"/>
    <cellStyle name="Input 4 4 3 6 4" xfId="30315" xr:uid="{00000000-0005-0000-0000-000066760000}"/>
    <cellStyle name="Input 4 4 3 6 4 2" xfId="30316" xr:uid="{00000000-0005-0000-0000-000067760000}"/>
    <cellStyle name="Input 4 4 3 6 4 3" xfId="30317" xr:uid="{00000000-0005-0000-0000-000068760000}"/>
    <cellStyle name="Input 4 4 3 6 4 4" xfId="30318" xr:uid="{00000000-0005-0000-0000-000069760000}"/>
    <cellStyle name="Input 4 4 3 6 4 5" xfId="30319" xr:uid="{00000000-0005-0000-0000-00006A760000}"/>
    <cellStyle name="Input 4 4 3 6 4 6" xfId="30320" xr:uid="{00000000-0005-0000-0000-00006B760000}"/>
    <cellStyle name="Input 4 4 3 6 5" xfId="30321" xr:uid="{00000000-0005-0000-0000-00006C760000}"/>
    <cellStyle name="Input 4 4 3 6 6" xfId="30322" xr:uid="{00000000-0005-0000-0000-00006D760000}"/>
    <cellStyle name="Input 4 4 3 6 7" xfId="30323" xr:uid="{00000000-0005-0000-0000-00006E760000}"/>
    <cellStyle name="Input 4 4 3 6 8" xfId="30324" xr:uid="{00000000-0005-0000-0000-00006F760000}"/>
    <cellStyle name="Input 4 4 3 7" xfId="30325" xr:uid="{00000000-0005-0000-0000-000070760000}"/>
    <cellStyle name="Input 4 4 3 7 2" xfId="30326" xr:uid="{00000000-0005-0000-0000-000071760000}"/>
    <cellStyle name="Input 4 4 3 7 2 2" xfId="30327" xr:uid="{00000000-0005-0000-0000-000072760000}"/>
    <cellStyle name="Input 4 4 3 7 2 3" xfId="30328" xr:uid="{00000000-0005-0000-0000-000073760000}"/>
    <cellStyle name="Input 4 4 3 7 2 4" xfId="30329" xr:uid="{00000000-0005-0000-0000-000074760000}"/>
    <cellStyle name="Input 4 4 3 7 2 5" xfId="30330" xr:uid="{00000000-0005-0000-0000-000075760000}"/>
    <cellStyle name="Input 4 4 3 7 2 6" xfId="30331" xr:uid="{00000000-0005-0000-0000-000076760000}"/>
    <cellStyle name="Input 4 4 3 7 3" xfId="30332" xr:uid="{00000000-0005-0000-0000-000077760000}"/>
    <cellStyle name="Input 4 4 3 7 4" xfId="30333" xr:uid="{00000000-0005-0000-0000-000078760000}"/>
    <cellStyle name="Input 4 4 3 7 5" xfId="30334" xr:uid="{00000000-0005-0000-0000-000079760000}"/>
    <cellStyle name="Input 4 4 3 7 6" xfId="30335" xr:uid="{00000000-0005-0000-0000-00007A760000}"/>
    <cellStyle name="Input 4 4 3 8" xfId="30336" xr:uid="{00000000-0005-0000-0000-00007B760000}"/>
    <cellStyle name="Input 4 4 3 8 2" xfId="30337" xr:uid="{00000000-0005-0000-0000-00007C760000}"/>
    <cellStyle name="Input 4 4 3 8 2 2" xfId="30338" xr:uid="{00000000-0005-0000-0000-00007D760000}"/>
    <cellStyle name="Input 4 4 3 8 2 3" xfId="30339" xr:uid="{00000000-0005-0000-0000-00007E760000}"/>
    <cellStyle name="Input 4 4 3 8 2 4" xfId="30340" xr:uid="{00000000-0005-0000-0000-00007F760000}"/>
    <cellStyle name="Input 4 4 3 8 2 5" xfId="30341" xr:uid="{00000000-0005-0000-0000-000080760000}"/>
    <cellStyle name="Input 4 4 3 8 2 6" xfId="30342" xr:uid="{00000000-0005-0000-0000-000081760000}"/>
    <cellStyle name="Input 4 4 3 8 3" xfId="30343" xr:uid="{00000000-0005-0000-0000-000082760000}"/>
    <cellStyle name="Input 4 4 3 8 4" xfId="30344" xr:uid="{00000000-0005-0000-0000-000083760000}"/>
    <cellStyle name="Input 4 4 3 8 5" xfId="30345" xr:uid="{00000000-0005-0000-0000-000084760000}"/>
    <cellStyle name="Input 4 4 3 8 6" xfId="30346" xr:uid="{00000000-0005-0000-0000-000085760000}"/>
    <cellStyle name="Input 4 4 3 9" xfId="30347" xr:uid="{00000000-0005-0000-0000-000086760000}"/>
    <cellStyle name="Input 4 4 3 9 2" xfId="30348" xr:uid="{00000000-0005-0000-0000-000087760000}"/>
    <cellStyle name="Input 4 4 3 9 3" xfId="30349" xr:uid="{00000000-0005-0000-0000-000088760000}"/>
    <cellStyle name="Input 4 4 3 9 4" xfId="30350" xr:uid="{00000000-0005-0000-0000-000089760000}"/>
    <cellStyle name="Input 4 4 3 9 5" xfId="30351" xr:uid="{00000000-0005-0000-0000-00008A760000}"/>
    <cellStyle name="Input 4 4 3 9 6" xfId="30352" xr:uid="{00000000-0005-0000-0000-00008B760000}"/>
    <cellStyle name="Input 4 4 4" xfId="30353" xr:uid="{00000000-0005-0000-0000-00008C760000}"/>
    <cellStyle name="Input 4 4 4 2" xfId="30354" xr:uid="{00000000-0005-0000-0000-00008D760000}"/>
    <cellStyle name="Input 4 4 4 2 2" xfId="30355" xr:uid="{00000000-0005-0000-0000-00008E760000}"/>
    <cellStyle name="Input 4 4 4 2 2 2" xfId="30356" xr:uid="{00000000-0005-0000-0000-00008F760000}"/>
    <cellStyle name="Input 4 4 4 2 2 3" xfId="30357" xr:uid="{00000000-0005-0000-0000-000090760000}"/>
    <cellStyle name="Input 4 4 4 2 2 4" xfId="30358" xr:uid="{00000000-0005-0000-0000-000091760000}"/>
    <cellStyle name="Input 4 4 4 2 2 5" xfId="30359" xr:uid="{00000000-0005-0000-0000-000092760000}"/>
    <cellStyle name="Input 4 4 4 2 2 6" xfId="30360" xr:uid="{00000000-0005-0000-0000-000093760000}"/>
    <cellStyle name="Input 4 4 4 2 3" xfId="30361" xr:uid="{00000000-0005-0000-0000-000094760000}"/>
    <cellStyle name="Input 4 4 4 2 4" xfId="30362" xr:uid="{00000000-0005-0000-0000-000095760000}"/>
    <cellStyle name="Input 4 4 4 2 5" xfId="30363" xr:uid="{00000000-0005-0000-0000-000096760000}"/>
    <cellStyle name="Input 4 4 4 2 6" xfId="30364" xr:uid="{00000000-0005-0000-0000-000097760000}"/>
    <cellStyle name="Input 4 4 4 3" xfId="30365" xr:uid="{00000000-0005-0000-0000-000098760000}"/>
    <cellStyle name="Input 4 4 4 3 2" xfId="30366" xr:uid="{00000000-0005-0000-0000-000099760000}"/>
    <cellStyle name="Input 4 4 4 3 2 2" xfId="30367" xr:uid="{00000000-0005-0000-0000-00009A760000}"/>
    <cellStyle name="Input 4 4 4 3 2 3" xfId="30368" xr:uid="{00000000-0005-0000-0000-00009B760000}"/>
    <cellStyle name="Input 4 4 4 3 2 4" xfId="30369" xr:uid="{00000000-0005-0000-0000-00009C760000}"/>
    <cellStyle name="Input 4 4 4 3 2 5" xfId="30370" xr:uid="{00000000-0005-0000-0000-00009D760000}"/>
    <cellStyle name="Input 4 4 4 3 2 6" xfId="30371" xr:uid="{00000000-0005-0000-0000-00009E760000}"/>
    <cellStyle name="Input 4 4 4 3 3" xfId="30372" xr:uid="{00000000-0005-0000-0000-00009F760000}"/>
    <cellStyle name="Input 4 4 4 3 4" xfId="30373" xr:uid="{00000000-0005-0000-0000-0000A0760000}"/>
    <cellStyle name="Input 4 4 4 3 5" xfId="30374" xr:uid="{00000000-0005-0000-0000-0000A1760000}"/>
    <cellStyle name="Input 4 4 4 3 6" xfId="30375" xr:uid="{00000000-0005-0000-0000-0000A2760000}"/>
    <cellStyle name="Input 4 4 4 4" xfId="30376" xr:uid="{00000000-0005-0000-0000-0000A3760000}"/>
    <cellStyle name="Input 4 4 4 4 2" xfId="30377" xr:uid="{00000000-0005-0000-0000-0000A4760000}"/>
    <cellStyle name="Input 4 4 4 4 3" xfId="30378" xr:uid="{00000000-0005-0000-0000-0000A5760000}"/>
    <cellStyle name="Input 4 4 4 4 4" xfId="30379" xr:uid="{00000000-0005-0000-0000-0000A6760000}"/>
    <cellStyle name="Input 4 4 4 4 5" xfId="30380" xr:uid="{00000000-0005-0000-0000-0000A7760000}"/>
    <cellStyle name="Input 4 4 4 4 6" xfId="30381" xr:uid="{00000000-0005-0000-0000-0000A8760000}"/>
    <cellStyle name="Input 4 4 4 5" xfId="30382" xr:uid="{00000000-0005-0000-0000-0000A9760000}"/>
    <cellStyle name="Input 4 4 4 6" xfId="30383" xr:uid="{00000000-0005-0000-0000-0000AA760000}"/>
    <cellStyle name="Input 4 4 4 7" xfId="30384" xr:uid="{00000000-0005-0000-0000-0000AB760000}"/>
    <cellStyle name="Input 4 4 4 8" xfId="30385" xr:uid="{00000000-0005-0000-0000-0000AC760000}"/>
    <cellStyle name="Input 4 4 5" xfId="30386" xr:uid="{00000000-0005-0000-0000-0000AD760000}"/>
    <cellStyle name="Input 4 4 5 2" xfId="30387" xr:uid="{00000000-0005-0000-0000-0000AE760000}"/>
    <cellStyle name="Input 4 4 5 2 2" xfId="30388" xr:uid="{00000000-0005-0000-0000-0000AF760000}"/>
    <cellStyle name="Input 4 4 5 2 2 2" xfId="30389" xr:uid="{00000000-0005-0000-0000-0000B0760000}"/>
    <cellStyle name="Input 4 4 5 2 2 3" xfId="30390" xr:uid="{00000000-0005-0000-0000-0000B1760000}"/>
    <cellStyle name="Input 4 4 5 2 2 4" xfId="30391" xr:uid="{00000000-0005-0000-0000-0000B2760000}"/>
    <cellStyle name="Input 4 4 5 2 2 5" xfId="30392" xr:uid="{00000000-0005-0000-0000-0000B3760000}"/>
    <cellStyle name="Input 4 4 5 2 2 6" xfId="30393" xr:uid="{00000000-0005-0000-0000-0000B4760000}"/>
    <cellStyle name="Input 4 4 5 2 3" xfId="30394" xr:uid="{00000000-0005-0000-0000-0000B5760000}"/>
    <cellStyle name="Input 4 4 5 2 4" xfId="30395" xr:uid="{00000000-0005-0000-0000-0000B6760000}"/>
    <cellStyle name="Input 4 4 5 2 5" xfId="30396" xr:uid="{00000000-0005-0000-0000-0000B7760000}"/>
    <cellStyle name="Input 4 4 5 2 6" xfId="30397" xr:uid="{00000000-0005-0000-0000-0000B8760000}"/>
    <cellStyle name="Input 4 4 5 3" xfId="30398" xr:uid="{00000000-0005-0000-0000-0000B9760000}"/>
    <cellStyle name="Input 4 4 5 3 2" xfId="30399" xr:uid="{00000000-0005-0000-0000-0000BA760000}"/>
    <cellStyle name="Input 4 4 5 3 2 2" xfId="30400" xr:uid="{00000000-0005-0000-0000-0000BB760000}"/>
    <cellStyle name="Input 4 4 5 3 2 3" xfId="30401" xr:uid="{00000000-0005-0000-0000-0000BC760000}"/>
    <cellStyle name="Input 4 4 5 3 2 4" xfId="30402" xr:uid="{00000000-0005-0000-0000-0000BD760000}"/>
    <cellStyle name="Input 4 4 5 3 2 5" xfId="30403" xr:uid="{00000000-0005-0000-0000-0000BE760000}"/>
    <cellStyle name="Input 4 4 5 3 2 6" xfId="30404" xr:uid="{00000000-0005-0000-0000-0000BF760000}"/>
    <cellStyle name="Input 4 4 5 3 3" xfId="30405" xr:uid="{00000000-0005-0000-0000-0000C0760000}"/>
    <cellStyle name="Input 4 4 5 3 4" xfId="30406" xr:uid="{00000000-0005-0000-0000-0000C1760000}"/>
    <cellStyle name="Input 4 4 5 3 5" xfId="30407" xr:uid="{00000000-0005-0000-0000-0000C2760000}"/>
    <cellStyle name="Input 4 4 5 3 6" xfId="30408" xr:uid="{00000000-0005-0000-0000-0000C3760000}"/>
    <cellStyle name="Input 4 4 5 4" xfId="30409" xr:uid="{00000000-0005-0000-0000-0000C4760000}"/>
    <cellStyle name="Input 4 4 5 4 2" xfId="30410" xr:uid="{00000000-0005-0000-0000-0000C5760000}"/>
    <cellStyle name="Input 4 4 5 4 3" xfId="30411" xr:uid="{00000000-0005-0000-0000-0000C6760000}"/>
    <cellStyle name="Input 4 4 5 4 4" xfId="30412" xr:uid="{00000000-0005-0000-0000-0000C7760000}"/>
    <cellStyle name="Input 4 4 5 4 5" xfId="30413" xr:uid="{00000000-0005-0000-0000-0000C8760000}"/>
    <cellStyle name="Input 4 4 5 4 6" xfId="30414" xr:uid="{00000000-0005-0000-0000-0000C9760000}"/>
    <cellStyle name="Input 4 4 5 5" xfId="30415" xr:uid="{00000000-0005-0000-0000-0000CA760000}"/>
    <cellStyle name="Input 4 4 5 6" xfId="30416" xr:uid="{00000000-0005-0000-0000-0000CB760000}"/>
    <cellStyle name="Input 4 4 5 7" xfId="30417" xr:uid="{00000000-0005-0000-0000-0000CC760000}"/>
    <cellStyle name="Input 4 4 5 8" xfId="30418" xr:uid="{00000000-0005-0000-0000-0000CD760000}"/>
    <cellStyle name="Input 4 4 6" xfId="30419" xr:uid="{00000000-0005-0000-0000-0000CE760000}"/>
    <cellStyle name="Input 4 4 6 2" xfId="30420" xr:uid="{00000000-0005-0000-0000-0000CF760000}"/>
    <cellStyle name="Input 4 4 6 2 2" xfId="30421" xr:uid="{00000000-0005-0000-0000-0000D0760000}"/>
    <cellStyle name="Input 4 4 6 2 2 2" xfId="30422" xr:uid="{00000000-0005-0000-0000-0000D1760000}"/>
    <cellStyle name="Input 4 4 6 2 2 3" xfId="30423" xr:uid="{00000000-0005-0000-0000-0000D2760000}"/>
    <cellStyle name="Input 4 4 6 2 2 4" xfId="30424" xr:uid="{00000000-0005-0000-0000-0000D3760000}"/>
    <cellStyle name="Input 4 4 6 2 2 5" xfId="30425" xr:uid="{00000000-0005-0000-0000-0000D4760000}"/>
    <cellStyle name="Input 4 4 6 2 2 6" xfId="30426" xr:uid="{00000000-0005-0000-0000-0000D5760000}"/>
    <cellStyle name="Input 4 4 6 2 3" xfId="30427" xr:uid="{00000000-0005-0000-0000-0000D6760000}"/>
    <cellStyle name="Input 4 4 6 2 4" xfId="30428" xr:uid="{00000000-0005-0000-0000-0000D7760000}"/>
    <cellStyle name="Input 4 4 6 2 5" xfId="30429" xr:uid="{00000000-0005-0000-0000-0000D8760000}"/>
    <cellStyle name="Input 4 4 6 2 6" xfId="30430" xr:uid="{00000000-0005-0000-0000-0000D9760000}"/>
    <cellStyle name="Input 4 4 6 3" xfId="30431" xr:uid="{00000000-0005-0000-0000-0000DA760000}"/>
    <cellStyle name="Input 4 4 6 3 2" xfId="30432" xr:uid="{00000000-0005-0000-0000-0000DB760000}"/>
    <cellStyle name="Input 4 4 6 3 2 2" xfId="30433" xr:uid="{00000000-0005-0000-0000-0000DC760000}"/>
    <cellStyle name="Input 4 4 6 3 2 3" xfId="30434" xr:uid="{00000000-0005-0000-0000-0000DD760000}"/>
    <cellStyle name="Input 4 4 6 3 2 4" xfId="30435" xr:uid="{00000000-0005-0000-0000-0000DE760000}"/>
    <cellStyle name="Input 4 4 6 3 2 5" xfId="30436" xr:uid="{00000000-0005-0000-0000-0000DF760000}"/>
    <cellStyle name="Input 4 4 6 3 2 6" xfId="30437" xr:uid="{00000000-0005-0000-0000-0000E0760000}"/>
    <cellStyle name="Input 4 4 6 3 3" xfId="30438" xr:uid="{00000000-0005-0000-0000-0000E1760000}"/>
    <cellStyle name="Input 4 4 6 3 4" xfId="30439" xr:uid="{00000000-0005-0000-0000-0000E2760000}"/>
    <cellStyle name="Input 4 4 6 3 5" xfId="30440" xr:uid="{00000000-0005-0000-0000-0000E3760000}"/>
    <cellStyle name="Input 4 4 6 3 6" xfId="30441" xr:uid="{00000000-0005-0000-0000-0000E4760000}"/>
    <cellStyle name="Input 4 4 6 4" xfId="30442" xr:uid="{00000000-0005-0000-0000-0000E5760000}"/>
    <cellStyle name="Input 4 4 6 4 2" xfId="30443" xr:uid="{00000000-0005-0000-0000-0000E6760000}"/>
    <cellStyle name="Input 4 4 6 4 3" xfId="30444" xr:uid="{00000000-0005-0000-0000-0000E7760000}"/>
    <cellStyle name="Input 4 4 6 4 4" xfId="30445" xr:uid="{00000000-0005-0000-0000-0000E8760000}"/>
    <cellStyle name="Input 4 4 6 4 5" xfId="30446" xr:uid="{00000000-0005-0000-0000-0000E9760000}"/>
    <cellStyle name="Input 4 4 6 4 6" xfId="30447" xr:uid="{00000000-0005-0000-0000-0000EA760000}"/>
    <cellStyle name="Input 4 4 6 5" xfId="30448" xr:uid="{00000000-0005-0000-0000-0000EB760000}"/>
    <cellStyle name="Input 4 4 6 6" xfId="30449" xr:uid="{00000000-0005-0000-0000-0000EC760000}"/>
    <cellStyle name="Input 4 4 6 7" xfId="30450" xr:uid="{00000000-0005-0000-0000-0000ED760000}"/>
    <cellStyle name="Input 4 4 6 8" xfId="30451" xr:uid="{00000000-0005-0000-0000-0000EE760000}"/>
    <cellStyle name="Input 4 4 7" xfId="30452" xr:uid="{00000000-0005-0000-0000-0000EF760000}"/>
    <cellStyle name="Input 4 4 7 2" xfId="30453" xr:uid="{00000000-0005-0000-0000-0000F0760000}"/>
    <cellStyle name="Input 4 4 7 2 2" xfId="30454" xr:uid="{00000000-0005-0000-0000-0000F1760000}"/>
    <cellStyle name="Input 4 4 7 2 3" xfId="30455" xr:uid="{00000000-0005-0000-0000-0000F2760000}"/>
    <cellStyle name="Input 4 4 7 2 4" xfId="30456" xr:uid="{00000000-0005-0000-0000-0000F3760000}"/>
    <cellStyle name="Input 4 4 7 2 5" xfId="30457" xr:uid="{00000000-0005-0000-0000-0000F4760000}"/>
    <cellStyle name="Input 4 4 7 2 6" xfId="30458" xr:uid="{00000000-0005-0000-0000-0000F5760000}"/>
    <cellStyle name="Input 4 4 7 3" xfId="30459" xr:uid="{00000000-0005-0000-0000-0000F6760000}"/>
    <cellStyle name="Input 4 4 7 4" xfId="30460" xr:uid="{00000000-0005-0000-0000-0000F7760000}"/>
    <cellStyle name="Input 4 4 7 5" xfId="30461" xr:uid="{00000000-0005-0000-0000-0000F8760000}"/>
    <cellStyle name="Input 4 4 7 6" xfId="30462" xr:uid="{00000000-0005-0000-0000-0000F9760000}"/>
    <cellStyle name="Input 4 4 8" xfId="30463" xr:uid="{00000000-0005-0000-0000-0000FA760000}"/>
    <cellStyle name="Input 4 4 8 2" xfId="30464" xr:uid="{00000000-0005-0000-0000-0000FB760000}"/>
    <cellStyle name="Input 4 4 8 2 2" xfId="30465" xr:uid="{00000000-0005-0000-0000-0000FC760000}"/>
    <cellStyle name="Input 4 4 8 2 3" xfId="30466" xr:uid="{00000000-0005-0000-0000-0000FD760000}"/>
    <cellStyle name="Input 4 4 8 2 4" xfId="30467" xr:uid="{00000000-0005-0000-0000-0000FE760000}"/>
    <cellStyle name="Input 4 4 8 2 5" xfId="30468" xr:uid="{00000000-0005-0000-0000-0000FF760000}"/>
    <cellStyle name="Input 4 4 8 2 6" xfId="30469" xr:uid="{00000000-0005-0000-0000-000000770000}"/>
    <cellStyle name="Input 4 4 8 3" xfId="30470" xr:uid="{00000000-0005-0000-0000-000001770000}"/>
    <cellStyle name="Input 4 4 8 4" xfId="30471" xr:uid="{00000000-0005-0000-0000-000002770000}"/>
    <cellStyle name="Input 4 4 8 5" xfId="30472" xr:uid="{00000000-0005-0000-0000-000003770000}"/>
    <cellStyle name="Input 4 4 8 6" xfId="30473" xr:uid="{00000000-0005-0000-0000-000004770000}"/>
    <cellStyle name="Input 4 4 9" xfId="30474" xr:uid="{00000000-0005-0000-0000-000005770000}"/>
    <cellStyle name="Input 4 4 9 2" xfId="30475" xr:uid="{00000000-0005-0000-0000-000006770000}"/>
    <cellStyle name="Input 4 4 9 3" xfId="30476" xr:uid="{00000000-0005-0000-0000-000007770000}"/>
    <cellStyle name="Input 4 4 9 4" xfId="30477" xr:uid="{00000000-0005-0000-0000-000008770000}"/>
    <cellStyle name="Input 4 4 9 5" xfId="30478" xr:uid="{00000000-0005-0000-0000-000009770000}"/>
    <cellStyle name="Input 4 4 9 6" xfId="30479" xr:uid="{00000000-0005-0000-0000-00000A770000}"/>
    <cellStyle name="Input 5" xfId="30480" xr:uid="{00000000-0005-0000-0000-00000B770000}"/>
    <cellStyle name="Input 5 2" xfId="30481" xr:uid="{00000000-0005-0000-0000-00000C770000}"/>
    <cellStyle name="Input 5 3" xfId="30482" xr:uid="{00000000-0005-0000-0000-00000D770000}"/>
    <cellStyle name="Input 5 3 10" xfId="30483" xr:uid="{00000000-0005-0000-0000-00000E770000}"/>
    <cellStyle name="Input 5 3 11" xfId="30484" xr:uid="{00000000-0005-0000-0000-00000F770000}"/>
    <cellStyle name="Input 5 3 12" xfId="30485" xr:uid="{00000000-0005-0000-0000-000010770000}"/>
    <cellStyle name="Input 5 3 13" xfId="30486" xr:uid="{00000000-0005-0000-0000-000011770000}"/>
    <cellStyle name="Input 5 3 2" xfId="30487" xr:uid="{00000000-0005-0000-0000-000012770000}"/>
    <cellStyle name="Input 5 3 2 10" xfId="30488" xr:uid="{00000000-0005-0000-0000-000013770000}"/>
    <cellStyle name="Input 5 3 2 10 2" xfId="30489" xr:uid="{00000000-0005-0000-0000-000014770000}"/>
    <cellStyle name="Input 5 3 2 10 3" xfId="30490" xr:uid="{00000000-0005-0000-0000-000015770000}"/>
    <cellStyle name="Input 5 3 2 10 4" xfId="30491" xr:uid="{00000000-0005-0000-0000-000016770000}"/>
    <cellStyle name="Input 5 3 2 10 5" xfId="30492" xr:uid="{00000000-0005-0000-0000-000017770000}"/>
    <cellStyle name="Input 5 3 2 10 6" xfId="30493" xr:uid="{00000000-0005-0000-0000-000018770000}"/>
    <cellStyle name="Input 5 3 2 11" xfId="30494" xr:uid="{00000000-0005-0000-0000-000019770000}"/>
    <cellStyle name="Input 5 3 2 12" xfId="30495" xr:uid="{00000000-0005-0000-0000-00001A770000}"/>
    <cellStyle name="Input 5 3 2 13" xfId="30496" xr:uid="{00000000-0005-0000-0000-00001B770000}"/>
    <cellStyle name="Input 5 3 2 14" xfId="30497" xr:uid="{00000000-0005-0000-0000-00001C770000}"/>
    <cellStyle name="Input 5 3 2 2" xfId="30498" xr:uid="{00000000-0005-0000-0000-00001D770000}"/>
    <cellStyle name="Input 5 3 2 2 10" xfId="30499" xr:uid="{00000000-0005-0000-0000-00001E770000}"/>
    <cellStyle name="Input 5 3 2 2 11" xfId="30500" xr:uid="{00000000-0005-0000-0000-00001F770000}"/>
    <cellStyle name="Input 5 3 2 2 12" xfId="30501" xr:uid="{00000000-0005-0000-0000-000020770000}"/>
    <cellStyle name="Input 5 3 2 2 13" xfId="30502" xr:uid="{00000000-0005-0000-0000-000021770000}"/>
    <cellStyle name="Input 5 3 2 2 2" xfId="30503" xr:uid="{00000000-0005-0000-0000-000022770000}"/>
    <cellStyle name="Input 5 3 2 2 2 2" xfId="30504" xr:uid="{00000000-0005-0000-0000-000023770000}"/>
    <cellStyle name="Input 5 3 2 2 2 2 2" xfId="30505" xr:uid="{00000000-0005-0000-0000-000024770000}"/>
    <cellStyle name="Input 5 3 2 2 2 2 2 2" xfId="30506" xr:uid="{00000000-0005-0000-0000-000025770000}"/>
    <cellStyle name="Input 5 3 2 2 2 2 2 3" xfId="30507" xr:uid="{00000000-0005-0000-0000-000026770000}"/>
    <cellStyle name="Input 5 3 2 2 2 2 2 4" xfId="30508" xr:uid="{00000000-0005-0000-0000-000027770000}"/>
    <cellStyle name="Input 5 3 2 2 2 2 2 5" xfId="30509" xr:uid="{00000000-0005-0000-0000-000028770000}"/>
    <cellStyle name="Input 5 3 2 2 2 2 2 6" xfId="30510" xr:uid="{00000000-0005-0000-0000-000029770000}"/>
    <cellStyle name="Input 5 3 2 2 2 2 3" xfId="30511" xr:uid="{00000000-0005-0000-0000-00002A770000}"/>
    <cellStyle name="Input 5 3 2 2 2 2 4" xfId="30512" xr:uid="{00000000-0005-0000-0000-00002B770000}"/>
    <cellStyle name="Input 5 3 2 2 2 2 5" xfId="30513" xr:uid="{00000000-0005-0000-0000-00002C770000}"/>
    <cellStyle name="Input 5 3 2 2 2 2 6" xfId="30514" xr:uid="{00000000-0005-0000-0000-00002D770000}"/>
    <cellStyle name="Input 5 3 2 2 2 3" xfId="30515" xr:uid="{00000000-0005-0000-0000-00002E770000}"/>
    <cellStyle name="Input 5 3 2 2 2 3 2" xfId="30516" xr:uid="{00000000-0005-0000-0000-00002F770000}"/>
    <cellStyle name="Input 5 3 2 2 2 3 2 2" xfId="30517" xr:uid="{00000000-0005-0000-0000-000030770000}"/>
    <cellStyle name="Input 5 3 2 2 2 3 2 3" xfId="30518" xr:uid="{00000000-0005-0000-0000-000031770000}"/>
    <cellStyle name="Input 5 3 2 2 2 3 2 4" xfId="30519" xr:uid="{00000000-0005-0000-0000-000032770000}"/>
    <cellStyle name="Input 5 3 2 2 2 3 2 5" xfId="30520" xr:uid="{00000000-0005-0000-0000-000033770000}"/>
    <cellStyle name="Input 5 3 2 2 2 3 2 6" xfId="30521" xr:uid="{00000000-0005-0000-0000-000034770000}"/>
    <cellStyle name="Input 5 3 2 2 2 3 3" xfId="30522" xr:uid="{00000000-0005-0000-0000-000035770000}"/>
    <cellStyle name="Input 5 3 2 2 2 3 4" xfId="30523" xr:uid="{00000000-0005-0000-0000-000036770000}"/>
    <cellStyle name="Input 5 3 2 2 2 3 5" xfId="30524" xr:uid="{00000000-0005-0000-0000-000037770000}"/>
    <cellStyle name="Input 5 3 2 2 2 3 6" xfId="30525" xr:uid="{00000000-0005-0000-0000-000038770000}"/>
    <cellStyle name="Input 5 3 2 2 2 4" xfId="30526" xr:uid="{00000000-0005-0000-0000-000039770000}"/>
    <cellStyle name="Input 5 3 2 2 2 4 2" xfId="30527" xr:uid="{00000000-0005-0000-0000-00003A770000}"/>
    <cellStyle name="Input 5 3 2 2 2 4 3" xfId="30528" xr:uid="{00000000-0005-0000-0000-00003B770000}"/>
    <cellStyle name="Input 5 3 2 2 2 4 4" xfId="30529" xr:uid="{00000000-0005-0000-0000-00003C770000}"/>
    <cellStyle name="Input 5 3 2 2 2 4 5" xfId="30530" xr:uid="{00000000-0005-0000-0000-00003D770000}"/>
    <cellStyle name="Input 5 3 2 2 2 4 6" xfId="30531" xr:uid="{00000000-0005-0000-0000-00003E770000}"/>
    <cellStyle name="Input 5 3 2 2 2 5" xfId="30532" xr:uid="{00000000-0005-0000-0000-00003F770000}"/>
    <cellStyle name="Input 5 3 2 2 2 6" xfId="30533" xr:uid="{00000000-0005-0000-0000-000040770000}"/>
    <cellStyle name="Input 5 3 2 2 2 7" xfId="30534" xr:uid="{00000000-0005-0000-0000-000041770000}"/>
    <cellStyle name="Input 5 3 2 2 2 8" xfId="30535" xr:uid="{00000000-0005-0000-0000-000042770000}"/>
    <cellStyle name="Input 5 3 2 2 3" xfId="30536" xr:uid="{00000000-0005-0000-0000-000043770000}"/>
    <cellStyle name="Input 5 3 2 2 3 2" xfId="30537" xr:uid="{00000000-0005-0000-0000-000044770000}"/>
    <cellStyle name="Input 5 3 2 2 3 2 2" xfId="30538" xr:uid="{00000000-0005-0000-0000-000045770000}"/>
    <cellStyle name="Input 5 3 2 2 3 2 2 2" xfId="30539" xr:uid="{00000000-0005-0000-0000-000046770000}"/>
    <cellStyle name="Input 5 3 2 2 3 2 2 3" xfId="30540" xr:uid="{00000000-0005-0000-0000-000047770000}"/>
    <cellStyle name="Input 5 3 2 2 3 2 2 4" xfId="30541" xr:uid="{00000000-0005-0000-0000-000048770000}"/>
    <cellStyle name="Input 5 3 2 2 3 2 2 5" xfId="30542" xr:uid="{00000000-0005-0000-0000-000049770000}"/>
    <cellStyle name="Input 5 3 2 2 3 2 2 6" xfId="30543" xr:uid="{00000000-0005-0000-0000-00004A770000}"/>
    <cellStyle name="Input 5 3 2 2 3 2 3" xfId="30544" xr:uid="{00000000-0005-0000-0000-00004B770000}"/>
    <cellStyle name="Input 5 3 2 2 3 2 4" xfId="30545" xr:uid="{00000000-0005-0000-0000-00004C770000}"/>
    <cellStyle name="Input 5 3 2 2 3 2 5" xfId="30546" xr:uid="{00000000-0005-0000-0000-00004D770000}"/>
    <cellStyle name="Input 5 3 2 2 3 2 6" xfId="30547" xr:uid="{00000000-0005-0000-0000-00004E770000}"/>
    <cellStyle name="Input 5 3 2 2 3 3" xfId="30548" xr:uid="{00000000-0005-0000-0000-00004F770000}"/>
    <cellStyle name="Input 5 3 2 2 3 3 2" xfId="30549" xr:uid="{00000000-0005-0000-0000-000050770000}"/>
    <cellStyle name="Input 5 3 2 2 3 3 2 2" xfId="30550" xr:uid="{00000000-0005-0000-0000-000051770000}"/>
    <cellStyle name="Input 5 3 2 2 3 3 2 3" xfId="30551" xr:uid="{00000000-0005-0000-0000-000052770000}"/>
    <cellStyle name="Input 5 3 2 2 3 3 2 4" xfId="30552" xr:uid="{00000000-0005-0000-0000-000053770000}"/>
    <cellStyle name="Input 5 3 2 2 3 3 2 5" xfId="30553" xr:uid="{00000000-0005-0000-0000-000054770000}"/>
    <cellStyle name="Input 5 3 2 2 3 3 2 6" xfId="30554" xr:uid="{00000000-0005-0000-0000-000055770000}"/>
    <cellStyle name="Input 5 3 2 2 3 3 3" xfId="30555" xr:uid="{00000000-0005-0000-0000-000056770000}"/>
    <cellStyle name="Input 5 3 2 2 3 3 4" xfId="30556" xr:uid="{00000000-0005-0000-0000-000057770000}"/>
    <cellStyle name="Input 5 3 2 2 3 3 5" xfId="30557" xr:uid="{00000000-0005-0000-0000-000058770000}"/>
    <cellStyle name="Input 5 3 2 2 3 3 6" xfId="30558" xr:uid="{00000000-0005-0000-0000-000059770000}"/>
    <cellStyle name="Input 5 3 2 2 3 4" xfId="30559" xr:uid="{00000000-0005-0000-0000-00005A770000}"/>
    <cellStyle name="Input 5 3 2 2 3 4 2" xfId="30560" xr:uid="{00000000-0005-0000-0000-00005B770000}"/>
    <cellStyle name="Input 5 3 2 2 3 4 3" xfId="30561" xr:uid="{00000000-0005-0000-0000-00005C770000}"/>
    <cellStyle name="Input 5 3 2 2 3 4 4" xfId="30562" xr:uid="{00000000-0005-0000-0000-00005D770000}"/>
    <cellStyle name="Input 5 3 2 2 3 4 5" xfId="30563" xr:uid="{00000000-0005-0000-0000-00005E770000}"/>
    <cellStyle name="Input 5 3 2 2 3 4 6" xfId="30564" xr:uid="{00000000-0005-0000-0000-00005F770000}"/>
    <cellStyle name="Input 5 3 2 2 3 5" xfId="30565" xr:uid="{00000000-0005-0000-0000-000060770000}"/>
    <cellStyle name="Input 5 3 2 2 3 6" xfId="30566" xr:uid="{00000000-0005-0000-0000-000061770000}"/>
    <cellStyle name="Input 5 3 2 2 3 7" xfId="30567" xr:uid="{00000000-0005-0000-0000-000062770000}"/>
    <cellStyle name="Input 5 3 2 2 3 8" xfId="30568" xr:uid="{00000000-0005-0000-0000-000063770000}"/>
    <cellStyle name="Input 5 3 2 2 4" xfId="30569" xr:uid="{00000000-0005-0000-0000-000064770000}"/>
    <cellStyle name="Input 5 3 2 2 4 2" xfId="30570" xr:uid="{00000000-0005-0000-0000-000065770000}"/>
    <cellStyle name="Input 5 3 2 2 4 2 2" xfId="30571" xr:uid="{00000000-0005-0000-0000-000066770000}"/>
    <cellStyle name="Input 5 3 2 2 4 2 2 2" xfId="30572" xr:uid="{00000000-0005-0000-0000-000067770000}"/>
    <cellStyle name="Input 5 3 2 2 4 2 2 3" xfId="30573" xr:uid="{00000000-0005-0000-0000-000068770000}"/>
    <cellStyle name="Input 5 3 2 2 4 2 2 4" xfId="30574" xr:uid="{00000000-0005-0000-0000-000069770000}"/>
    <cellStyle name="Input 5 3 2 2 4 2 2 5" xfId="30575" xr:uid="{00000000-0005-0000-0000-00006A770000}"/>
    <cellStyle name="Input 5 3 2 2 4 2 2 6" xfId="30576" xr:uid="{00000000-0005-0000-0000-00006B770000}"/>
    <cellStyle name="Input 5 3 2 2 4 2 3" xfId="30577" xr:uid="{00000000-0005-0000-0000-00006C770000}"/>
    <cellStyle name="Input 5 3 2 2 4 2 4" xfId="30578" xr:uid="{00000000-0005-0000-0000-00006D770000}"/>
    <cellStyle name="Input 5 3 2 2 4 2 5" xfId="30579" xr:uid="{00000000-0005-0000-0000-00006E770000}"/>
    <cellStyle name="Input 5 3 2 2 4 2 6" xfId="30580" xr:uid="{00000000-0005-0000-0000-00006F770000}"/>
    <cellStyle name="Input 5 3 2 2 4 3" xfId="30581" xr:uid="{00000000-0005-0000-0000-000070770000}"/>
    <cellStyle name="Input 5 3 2 2 4 3 2" xfId="30582" xr:uid="{00000000-0005-0000-0000-000071770000}"/>
    <cellStyle name="Input 5 3 2 2 4 3 2 2" xfId="30583" xr:uid="{00000000-0005-0000-0000-000072770000}"/>
    <cellStyle name="Input 5 3 2 2 4 3 2 3" xfId="30584" xr:uid="{00000000-0005-0000-0000-000073770000}"/>
    <cellStyle name="Input 5 3 2 2 4 3 2 4" xfId="30585" xr:uid="{00000000-0005-0000-0000-000074770000}"/>
    <cellStyle name="Input 5 3 2 2 4 3 2 5" xfId="30586" xr:uid="{00000000-0005-0000-0000-000075770000}"/>
    <cellStyle name="Input 5 3 2 2 4 3 2 6" xfId="30587" xr:uid="{00000000-0005-0000-0000-000076770000}"/>
    <cellStyle name="Input 5 3 2 2 4 3 3" xfId="30588" xr:uid="{00000000-0005-0000-0000-000077770000}"/>
    <cellStyle name="Input 5 3 2 2 4 3 4" xfId="30589" xr:uid="{00000000-0005-0000-0000-000078770000}"/>
    <cellStyle name="Input 5 3 2 2 4 3 5" xfId="30590" xr:uid="{00000000-0005-0000-0000-000079770000}"/>
    <cellStyle name="Input 5 3 2 2 4 3 6" xfId="30591" xr:uid="{00000000-0005-0000-0000-00007A770000}"/>
    <cellStyle name="Input 5 3 2 2 4 4" xfId="30592" xr:uid="{00000000-0005-0000-0000-00007B770000}"/>
    <cellStyle name="Input 5 3 2 2 4 4 2" xfId="30593" xr:uid="{00000000-0005-0000-0000-00007C770000}"/>
    <cellStyle name="Input 5 3 2 2 4 4 3" xfId="30594" xr:uid="{00000000-0005-0000-0000-00007D770000}"/>
    <cellStyle name="Input 5 3 2 2 4 4 4" xfId="30595" xr:uid="{00000000-0005-0000-0000-00007E770000}"/>
    <cellStyle name="Input 5 3 2 2 4 4 5" xfId="30596" xr:uid="{00000000-0005-0000-0000-00007F770000}"/>
    <cellStyle name="Input 5 3 2 2 4 4 6" xfId="30597" xr:uid="{00000000-0005-0000-0000-000080770000}"/>
    <cellStyle name="Input 5 3 2 2 4 5" xfId="30598" xr:uid="{00000000-0005-0000-0000-000081770000}"/>
    <cellStyle name="Input 5 3 2 2 4 6" xfId="30599" xr:uid="{00000000-0005-0000-0000-000082770000}"/>
    <cellStyle name="Input 5 3 2 2 4 7" xfId="30600" xr:uid="{00000000-0005-0000-0000-000083770000}"/>
    <cellStyle name="Input 5 3 2 2 4 8" xfId="30601" xr:uid="{00000000-0005-0000-0000-000084770000}"/>
    <cellStyle name="Input 5 3 2 2 5" xfId="30602" xr:uid="{00000000-0005-0000-0000-000085770000}"/>
    <cellStyle name="Input 5 3 2 2 5 2" xfId="30603" xr:uid="{00000000-0005-0000-0000-000086770000}"/>
    <cellStyle name="Input 5 3 2 2 5 2 2" xfId="30604" xr:uid="{00000000-0005-0000-0000-000087770000}"/>
    <cellStyle name="Input 5 3 2 2 5 2 2 2" xfId="30605" xr:uid="{00000000-0005-0000-0000-000088770000}"/>
    <cellStyle name="Input 5 3 2 2 5 2 2 3" xfId="30606" xr:uid="{00000000-0005-0000-0000-000089770000}"/>
    <cellStyle name="Input 5 3 2 2 5 2 2 4" xfId="30607" xr:uid="{00000000-0005-0000-0000-00008A770000}"/>
    <cellStyle name="Input 5 3 2 2 5 2 2 5" xfId="30608" xr:uid="{00000000-0005-0000-0000-00008B770000}"/>
    <cellStyle name="Input 5 3 2 2 5 2 2 6" xfId="30609" xr:uid="{00000000-0005-0000-0000-00008C770000}"/>
    <cellStyle name="Input 5 3 2 2 5 2 3" xfId="30610" xr:uid="{00000000-0005-0000-0000-00008D770000}"/>
    <cellStyle name="Input 5 3 2 2 5 2 4" xfId="30611" xr:uid="{00000000-0005-0000-0000-00008E770000}"/>
    <cellStyle name="Input 5 3 2 2 5 2 5" xfId="30612" xr:uid="{00000000-0005-0000-0000-00008F770000}"/>
    <cellStyle name="Input 5 3 2 2 5 2 6" xfId="30613" xr:uid="{00000000-0005-0000-0000-000090770000}"/>
    <cellStyle name="Input 5 3 2 2 5 3" xfId="30614" xr:uid="{00000000-0005-0000-0000-000091770000}"/>
    <cellStyle name="Input 5 3 2 2 5 3 2" xfId="30615" xr:uid="{00000000-0005-0000-0000-000092770000}"/>
    <cellStyle name="Input 5 3 2 2 5 3 2 2" xfId="30616" xr:uid="{00000000-0005-0000-0000-000093770000}"/>
    <cellStyle name="Input 5 3 2 2 5 3 2 3" xfId="30617" xr:uid="{00000000-0005-0000-0000-000094770000}"/>
    <cellStyle name="Input 5 3 2 2 5 3 2 4" xfId="30618" xr:uid="{00000000-0005-0000-0000-000095770000}"/>
    <cellStyle name="Input 5 3 2 2 5 3 2 5" xfId="30619" xr:uid="{00000000-0005-0000-0000-000096770000}"/>
    <cellStyle name="Input 5 3 2 2 5 3 2 6" xfId="30620" xr:uid="{00000000-0005-0000-0000-000097770000}"/>
    <cellStyle name="Input 5 3 2 2 5 3 3" xfId="30621" xr:uid="{00000000-0005-0000-0000-000098770000}"/>
    <cellStyle name="Input 5 3 2 2 5 3 4" xfId="30622" xr:uid="{00000000-0005-0000-0000-000099770000}"/>
    <cellStyle name="Input 5 3 2 2 5 3 5" xfId="30623" xr:uid="{00000000-0005-0000-0000-00009A770000}"/>
    <cellStyle name="Input 5 3 2 2 5 3 6" xfId="30624" xr:uid="{00000000-0005-0000-0000-00009B770000}"/>
    <cellStyle name="Input 5 3 2 2 5 4" xfId="30625" xr:uid="{00000000-0005-0000-0000-00009C770000}"/>
    <cellStyle name="Input 5 3 2 2 5 4 2" xfId="30626" xr:uid="{00000000-0005-0000-0000-00009D770000}"/>
    <cellStyle name="Input 5 3 2 2 5 4 3" xfId="30627" xr:uid="{00000000-0005-0000-0000-00009E770000}"/>
    <cellStyle name="Input 5 3 2 2 5 4 4" xfId="30628" xr:uid="{00000000-0005-0000-0000-00009F770000}"/>
    <cellStyle name="Input 5 3 2 2 5 4 5" xfId="30629" xr:uid="{00000000-0005-0000-0000-0000A0770000}"/>
    <cellStyle name="Input 5 3 2 2 5 4 6" xfId="30630" xr:uid="{00000000-0005-0000-0000-0000A1770000}"/>
    <cellStyle name="Input 5 3 2 2 5 5" xfId="30631" xr:uid="{00000000-0005-0000-0000-0000A2770000}"/>
    <cellStyle name="Input 5 3 2 2 5 6" xfId="30632" xr:uid="{00000000-0005-0000-0000-0000A3770000}"/>
    <cellStyle name="Input 5 3 2 2 5 7" xfId="30633" xr:uid="{00000000-0005-0000-0000-0000A4770000}"/>
    <cellStyle name="Input 5 3 2 2 5 8" xfId="30634" xr:uid="{00000000-0005-0000-0000-0000A5770000}"/>
    <cellStyle name="Input 5 3 2 2 6" xfId="30635" xr:uid="{00000000-0005-0000-0000-0000A6770000}"/>
    <cellStyle name="Input 5 3 2 2 6 2" xfId="30636" xr:uid="{00000000-0005-0000-0000-0000A7770000}"/>
    <cellStyle name="Input 5 3 2 2 6 2 2" xfId="30637" xr:uid="{00000000-0005-0000-0000-0000A8770000}"/>
    <cellStyle name="Input 5 3 2 2 6 2 2 2" xfId="30638" xr:uid="{00000000-0005-0000-0000-0000A9770000}"/>
    <cellStyle name="Input 5 3 2 2 6 2 2 3" xfId="30639" xr:uid="{00000000-0005-0000-0000-0000AA770000}"/>
    <cellStyle name="Input 5 3 2 2 6 2 2 4" xfId="30640" xr:uid="{00000000-0005-0000-0000-0000AB770000}"/>
    <cellStyle name="Input 5 3 2 2 6 2 2 5" xfId="30641" xr:uid="{00000000-0005-0000-0000-0000AC770000}"/>
    <cellStyle name="Input 5 3 2 2 6 2 2 6" xfId="30642" xr:uid="{00000000-0005-0000-0000-0000AD770000}"/>
    <cellStyle name="Input 5 3 2 2 6 2 3" xfId="30643" xr:uid="{00000000-0005-0000-0000-0000AE770000}"/>
    <cellStyle name="Input 5 3 2 2 6 2 4" xfId="30644" xr:uid="{00000000-0005-0000-0000-0000AF770000}"/>
    <cellStyle name="Input 5 3 2 2 6 2 5" xfId="30645" xr:uid="{00000000-0005-0000-0000-0000B0770000}"/>
    <cellStyle name="Input 5 3 2 2 6 2 6" xfId="30646" xr:uid="{00000000-0005-0000-0000-0000B1770000}"/>
    <cellStyle name="Input 5 3 2 2 6 3" xfId="30647" xr:uid="{00000000-0005-0000-0000-0000B2770000}"/>
    <cellStyle name="Input 5 3 2 2 6 3 2" xfId="30648" xr:uid="{00000000-0005-0000-0000-0000B3770000}"/>
    <cellStyle name="Input 5 3 2 2 6 3 2 2" xfId="30649" xr:uid="{00000000-0005-0000-0000-0000B4770000}"/>
    <cellStyle name="Input 5 3 2 2 6 3 2 3" xfId="30650" xr:uid="{00000000-0005-0000-0000-0000B5770000}"/>
    <cellStyle name="Input 5 3 2 2 6 3 2 4" xfId="30651" xr:uid="{00000000-0005-0000-0000-0000B6770000}"/>
    <cellStyle name="Input 5 3 2 2 6 3 2 5" xfId="30652" xr:uid="{00000000-0005-0000-0000-0000B7770000}"/>
    <cellStyle name="Input 5 3 2 2 6 3 2 6" xfId="30653" xr:uid="{00000000-0005-0000-0000-0000B8770000}"/>
    <cellStyle name="Input 5 3 2 2 6 3 3" xfId="30654" xr:uid="{00000000-0005-0000-0000-0000B9770000}"/>
    <cellStyle name="Input 5 3 2 2 6 3 4" xfId="30655" xr:uid="{00000000-0005-0000-0000-0000BA770000}"/>
    <cellStyle name="Input 5 3 2 2 6 3 5" xfId="30656" xr:uid="{00000000-0005-0000-0000-0000BB770000}"/>
    <cellStyle name="Input 5 3 2 2 6 3 6" xfId="30657" xr:uid="{00000000-0005-0000-0000-0000BC770000}"/>
    <cellStyle name="Input 5 3 2 2 6 4" xfId="30658" xr:uid="{00000000-0005-0000-0000-0000BD770000}"/>
    <cellStyle name="Input 5 3 2 2 6 4 2" xfId="30659" xr:uid="{00000000-0005-0000-0000-0000BE770000}"/>
    <cellStyle name="Input 5 3 2 2 6 4 3" xfId="30660" xr:uid="{00000000-0005-0000-0000-0000BF770000}"/>
    <cellStyle name="Input 5 3 2 2 6 4 4" xfId="30661" xr:uid="{00000000-0005-0000-0000-0000C0770000}"/>
    <cellStyle name="Input 5 3 2 2 6 4 5" xfId="30662" xr:uid="{00000000-0005-0000-0000-0000C1770000}"/>
    <cellStyle name="Input 5 3 2 2 6 4 6" xfId="30663" xr:uid="{00000000-0005-0000-0000-0000C2770000}"/>
    <cellStyle name="Input 5 3 2 2 6 5" xfId="30664" xr:uid="{00000000-0005-0000-0000-0000C3770000}"/>
    <cellStyle name="Input 5 3 2 2 6 6" xfId="30665" xr:uid="{00000000-0005-0000-0000-0000C4770000}"/>
    <cellStyle name="Input 5 3 2 2 6 7" xfId="30666" xr:uid="{00000000-0005-0000-0000-0000C5770000}"/>
    <cellStyle name="Input 5 3 2 2 6 8" xfId="30667" xr:uid="{00000000-0005-0000-0000-0000C6770000}"/>
    <cellStyle name="Input 5 3 2 2 7" xfId="30668" xr:uid="{00000000-0005-0000-0000-0000C7770000}"/>
    <cellStyle name="Input 5 3 2 2 7 2" xfId="30669" xr:uid="{00000000-0005-0000-0000-0000C8770000}"/>
    <cellStyle name="Input 5 3 2 2 7 2 2" xfId="30670" xr:uid="{00000000-0005-0000-0000-0000C9770000}"/>
    <cellStyle name="Input 5 3 2 2 7 2 3" xfId="30671" xr:uid="{00000000-0005-0000-0000-0000CA770000}"/>
    <cellStyle name="Input 5 3 2 2 7 2 4" xfId="30672" xr:uid="{00000000-0005-0000-0000-0000CB770000}"/>
    <cellStyle name="Input 5 3 2 2 7 2 5" xfId="30673" xr:uid="{00000000-0005-0000-0000-0000CC770000}"/>
    <cellStyle name="Input 5 3 2 2 7 2 6" xfId="30674" xr:uid="{00000000-0005-0000-0000-0000CD770000}"/>
    <cellStyle name="Input 5 3 2 2 7 3" xfId="30675" xr:uid="{00000000-0005-0000-0000-0000CE770000}"/>
    <cellStyle name="Input 5 3 2 2 7 4" xfId="30676" xr:uid="{00000000-0005-0000-0000-0000CF770000}"/>
    <cellStyle name="Input 5 3 2 2 7 5" xfId="30677" xr:uid="{00000000-0005-0000-0000-0000D0770000}"/>
    <cellStyle name="Input 5 3 2 2 7 6" xfId="30678" xr:uid="{00000000-0005-0000-0000-0000D1770000}"/>
    <cellStyle name="Input 5 3 2 2 8" xfId="30679" xr:uid="{00000000-0005-0000-0000-0000D2770000}"/>
    <cellStyle name="Input 5 3 2 2 8 2" xfId="30680" xr:uid="{00000000-0005-0000-0000-0000D3770000}"/>
    <cellStyle name="Input 5 3 2 2 8 2 2" xfId="30681" xr:uid="{00000000-0005-0000-0000-0000D4770000}"/>
    <cellStyle name="Input 5 3 2 2 8 2 3" xfId="30682" xr:uid="{00000000-0005-0000-0000-0000D5770000}"/>
    <cellStyle name="Input 5 3 2 2 8 2 4" xfId="30683" xr:uid="{00000000-0005-0000-0000-0000D6770000}"/>
    <cellStyle name="Input 5 3 2 2 8 2 5" xfId="30684" xr:uid="{00000000-0005-0000-0000-0000D7770000}"/>
    <cellStyle name="Input 5 3 2 2 8 2 6" xfId="30685" xr:uid="{00000000-0005-0000-0000-0000D8770000}"/>
    <cellStyle name="Input 5 3 2 2 8 3" xfId="30686" xr:uid="{00000000-0005-0000-0000-0000D9770000}"/>
    <cellStyle name="Input 5 3 2 2 8 4" xfId="30687" xr:uid="{00000000-0005-0000-0000-0000DA770000}"/>
    <cellStyle name="Input 5 3 2 2 8 5" xfId="30688" xr:uid="{00000000-0005-0000-0000-0000DB770000}"/>
    <cellStyle name="Input 5 3 2 2 8 6" xfId="30689" xr:uid="{00000000-0005-0000-0000-0000DC770000}"/>
    <cellStyle name="Input 5 3 2 2 9" xfId="30690" xr:uid="{00000000-0005-0000-0000-0000DD770000}"/>
    <cellStyle name="Input 5 3 2 2 9 2" xfId="30691" xr:uid="{00000000-0005-0000-0000-0000DE770000}"/>
    <cellStyle name="Input 5 3 2 2 9 3" xfId="30692" xr:uid="{00000000-0005-0000-0000-0000DF770000}"/>
    <cellStyle name="Input 5 3 2 2 9 4" xfId="30693" xr:uid="{00000000-0005-0000-0000-0000E0770000}"/>
    <cellStyle name="Input 5 3 2 2 9 5" xfId="30694" xr:uid="{00000000-0005-0000-0000-0000E1770000}"/>
    <cellStyle name="Input 5 3 2 2 9 6" xfId="30695" xr:uid="{00000000-0005-0000-0000-0000E2770000}"/>
    <cellStyle name="Input 5 3 2 3" xfId="30696" xr:uid="{00000000-0005-0000-0000-0000E3770000}"/>
    <cellStyle name="Input 5 3 2 3 2" xfId="30697" xr:uid="{00000000-0005-0000-0000-0000E4770000}"/>
    <cellStyle name="Input 5 3 2 3 2 2" xfId="30698" xr:uid="{00000000-0005-0000-0000-0000E5770000}"/>
    <cellStyle name="Input 5 3 2 3 2 2 2" xfId="30699" xr:uid="{00000000-0005-0000-0000-0000E6770000}"/>
    <cellStyle name="Input 5 3 2 3 2 2 3" xfId="30700" xr:uid="{00000000-0005-0000-0000-0000E7770000}"/>
    <cellStyle name="Input 5 3 2 3 2 2 4" xfId="30701" xr:uid="{00000000-0005-0000-0000-0000E8770000}"/>
    <cellStyle name="Input 5 3 2 3 2 2 5" xfId="30702" xr:uid="{00000000-0005-0000-0000-0000E9770000}"/>
    <cellStyle name="Input 5 3 2 3 2 2 6" xfId="30703" xr:uid="{00000000-0005-0000-0000-0000EA770000}"/>
    <cellStyle name="Input 5 3 2 3 2 3" xfId="30704" xr:uid="{00000000-0005-0000-0000-0000EB770000}"/>
    <cellStyle name="Input 5 3 2 3 2 4" xfId="30705" xr:uid="{00000000-0005-0000-0000-0000EC770000}"/>
    <cellStyle name="Input 5 3 2 3 2 5" xfId="30706" xr:uid="{00000000-0005-0000-0000-0000ED770000}"/>
    <cellStyle name="Input 5 3 2 3 2 6" xfId="30707" xr:uid="{00000000-0005-0000-0000-0000EE770000}"/>
    <cellStyle name="Input 5 3 2 3 3" xfId="30708" xr:uid="{00000000-0005-0000-0000-0000EF770000}"/>
    <cellStyle name="Input 5 3 2 3 3 2" xfId="30709" xr:uid="{00000000-0005-0000-0000-0000F0770000}"/>
    <cellStyle name="Input 5 3 2 3 3 2 2" xfId="30710" xr:uid="{00000000-0005-0000-0000-0000F1770000}"/>
    <cellStyle name="Input 5 3 2 3 3 2 3" xfId="30711" xr:uid="{00000000-0005-0000-0000-0000F2770000}"/>
    <cellStyle name="Input 5 3 2 3 3 2 4" xfId="30712" xr:uid="{00000000-0005-0000-0000-0000F3770000}"/>
    <cellStyle name="Input 5 3 2 3 3 2 5" xfId="30713" xr:uid="{00000000-0005-0000-0000-0000F4770000}"/>
    <cellStyle name="Input 5 3 2 3 3 2 6" xfId="30714" xr:uid="{00000000-0005-0000-0000-0000F5770000}"/>
    <cellStyle name="Input 5 3 2 3 3 3" xfId="30715" xr:uid="{00000000-0005-0000-0000-0000F6770000}"/>
    <cellStyle name="Input 5 3 2 3 3 4" xfId="30716" xr:uid="{00000000-0005-0000-0000-0000F7770000}"/>
    <cellStyle name="Input 5 3 2 3 3 5" xfId="30717" xr:uid="{00000000-0005-0000-0000-0000F8770000}"/>
    <cellStyle name="Input 5 3 2 3 3 6" xfId="30718" xr:uid="{00000000-0005-0000-0000-0000F9770000}"/>
    <cellStyle name="Input 5 3 2 3 4" xfId="30719" xr:uid="{00000000-0005-0000-0000-0000FA770000}"/>
    <cellStyle name="Input 5 3 2 3 4 2" xfId="30720" xr:uid="{00000000-0005-0000-0000-0000FB770000}"/>
    <cellStyle name="Input 5 3 2 3 4 3" xfId="30721" xr:uid="{00000000-0005-0000-0000-0000FC770000}"/>
    <cellStyle name="Input 5 3 2 3 4 4" xfId="30722" xr:uid="{00000000-0005-0000-0000-0000FD770000}"/>
    <cellStyle name="Input 5 3 2 3 4 5" xfId="30723" xr:uid="{00000000-0005-0000-0000-0000FE770000}"/>
    <cellStyle name="Input 5 3 2 3 4 6" xfId="30724" xr:uid="{00000000-0005-0000-0000-0000FF770000}"/>
    <cellStyle name="Input 5 3 2 3 5" xfId="30725" xr:uid="{00000000-0005-0000-0000-000000780000}"/>
    <cellStyle name="Input 5 3 2 3 6" xfId="30726" xr:uid="{00000000-0005-0000-0000-000001780000}"/>
    <cellStyle name="Input 5 3 2 3 7" xfId="30727" xr:uid="{00000000-0005-0000-0000-000002780000}"/>
    <cellStyle name="Input 5 3 2 3 8" xfId="30728" xr:uid="{00000000-0005-0000-0000-000003780000}"/>
    <cellStyle name="Input 5 3 2 4" xfId="30729" xr:uid="{00000000-0005-0000-0000-000004780000}"/>
    <cellStyle name="Input 5 3 2 4 2" xfId="30730" xr:uid="{00000000-0005-0000-0000-000005780000}"/>
    <cellStyle name="Input 5 3 2 4 2 2" xfId="30731" xr:uid="{00000000-0005-0000-0000-000006780000}"/>
    <cellStyle name="Input 5 3 2 4 2 2 2" xfId="30732" xr:uid="{00000000-0005-0000-0000-000007780000}"/>
    <cellStyle name="Input 5 3 2 4 2 2 3" xfId="30733" xr:uid="{00000000-0005-0000-0000-000008780000}"/>
    <cellStyle name="Input 5 3 2 4 2 2 4" xfId="30734" xr:uid="{00000000-0005-0000-0000-000009780000}"/>
    <cellStyle name="Input 5 3 2 4 2 2 5" xfId="30735" xr:uid="{00000000-0005-0000-0000-00000A780000}"/>
    <cellStyle name="Input 5 3 2 4 2 2 6" xfId="30736" xr:uid="{00000000-0005-0000-0000-00000B780000}"/>
    <cellStyle name="Input 5 3 2 4 2 3" xfId="30737" xr:uid="{00000000-0005-0000-0000-00000C780000}"/>
    <cellStyle name="Input 5 3 2 4 2 4" xfId="30738" xr:uid="{00000000-0005-0000-0000-00000D780000}"/>
    <cellStyle name="Input 5 3 2 4 2 5" xfId="30739" xr:uid="{00000000-0005-0000-0000-00000E780000}"/>
    <cellStyle name="Input 5 3 2 4 2 6" xfId="30740" xr:uid="{00000000-0005-0000-0000-00000F780000}"/>
    <cellStyle name="Input 5 3 2 4 3" xfId="30741" xr:uid="{00000000-0005-0000-0000-000010780000}"/>
    <cellStyle name="Input 5 3 2 4 3 2" xfId="30742" xr:uid="{00000000-0005-0000-0000-000011780000}"/>
    <cellStyle name="Input 5 3 2 4 3 2 2" xfId="30743" xr:uid="{00000000-0005-0000-0000-000012780000}"/>
    <cellStyle name="Input 5 3 2 4 3 2 3" xfId="30744" xr:uid="{00000000-0005-0000-0000-000013780000}"/>
    <cellStyle name="Input 5 3 2 4 3 2 4" xfId="30745" xr:uid="{00000000-0005-0000-0000-000014780000}"/>
    <cellStyle name="Input 5 3 2 4 3 2 5" xfId="30746" xr:uid="{00000000-0005-0000-0000-000015780000}"/>
    <cellStyle name="Input 5 3 2 4 3 2 6" xfId="30747" xr:uid="{00000000-0005-0000-0000-000016780000}"/>
    <cellStyle name="Input 5 3 2 4 3 3" xfId="30748" xr:uid="{00000000-0005-0000-0000-000017780000}"/>
    <cellStyle name="Input 5 3 2 4 3 4" xfId="30749" xr:uid="{00000000-0005-0000-0000-000018780000}"/>
    <cellStyle name="Input 5 3 2 4 3 5" xfId="30750" xr:uid="{00000000-0005-0000-0000-000019780000}"/>
    <cellStyle name="Input 5 3 2 4 3 6" xfId="30751" xr:uid="{00000000-0005-0000-0000-00001A780000}"/>
    <cellStyle name="Input 5 3 2 4 4" xfId="30752" xr:uid="{00000000-0005-0000-0000-00001B780000}"/>
    <cellStyle name="Input 5 3 2 4 4 2" xfId="30753" xr:uid="{00000000-0005-0000-0000-00001C780000}"/>
    <cellStyle name="Input 5 3 2 4 4 3" xfId="30754" xr:uid="{00000000-0005-0000-0000-00001D780000}"/>
    <cellStyle name="Input 5 3 2 4 4 4" xfId="30755" xr:uid="{00000000-0005-0000-0000-00001E780000}"/>
    <cellStyle name="Input 5 3 2 4 4 5" xfId="30756" xr:uid="{00000000-0005-0000-0000-00001F780000}"/>
    <cellStyle name="Input 5 3 2 4 4 6" xfId="30757" xr:uid="{00000000-0005-0000-0000-000020780000}"/>
    <cellStyle name="Input 5 3 2 4 5" xfId="30758" xr:uid="{00000000-0005-0000-0000-000021780000}"/>
    <cellStyle name="Input 5 3 2 4 6" xfId="30759" xr:uid="{00000000-0005-0000-0000-000022780000}"/>
    <cellStyle name="Input 5 3 2 4 7" xfId="30760" xr:uid="{00000000-0005-0000-0000-000023780000}"/>
    <cellStyle name="Input 5 3 2 4 8" xfId="30761" xr:uid="{00000000-0005-0000-0000-000024780000}"/>
    <cellStyle name="Input 5 3 2 5" xfId="30762" xr:uid="{00000000-0005-0000-0000-000025780000}"/>
    <cellStyle name="Input 5 3 2 5 2" xfId="30763" xr:uid="{00000000-0005-0000-0000-000026780000}"/>
    <cellStyle name="Input 5 3 2 5 2 2" xfId="30764" xr:uid="{00000000-0005-0000-0000-000027780000}"/>
    <cellStyle name="Input 5 3 2 5 2 2 2" xfId="30765" xr:uid="{00000000-0005-0000-0000-000028780000}"/>
    <cellStyle name="Input 5 3 2 5 2 2 3" xfId="30766" xr:uid="{00000000-0005-0000-0000-000029780000}"/>
    <cellStyle name="Input 5 3 2 5 2 2 4" xfId="30767" xr:uid="{00000000-0005-0000-0000-00002A780000}"/>
    <cellStyle name="Input 5 3 2 5 2 2 5" xfId="30768" xr:uid="{00000000-0005-0000-0000-00002B780000}"/>
    <cellStyle name="Input 5 3 2 5 2 2 6" xfId="30769" xr:uid="{00000000-0005-0000-0000-00002C780000}"/>
    <cellStyle name="Input 5 3 2 5 2 3" xfId="30770" xr:uid="{00000000-0005-0000-0000-00002D780000}"/>
    <cellStyle name="Input 5 3 2 5 2 4" xfId="30771" xr:uid="{00000000-0005-0000-0000-00002E780000}"/>
    <cellStyle name="Input 5 3 2 5 2 5" xfId="30772" xr:uid="{00000000-0005-0000-0000-00002F780000}"/>
    <cellStyle name="Input 5 3 2 5 2 6" xfId="30773" xr:uid="{00000000-0005-0000-0000-000030780000}"/>
    <cellStyle name="Input 5 3 2 5 3" xfId="30774" xr:uid="{00000000-0005-0000-0000-000031780000}"/>
    <cellStyle name="Input 5 3 2 5 3 2" xfId="30775" xr:uid="{00000000-0005-0000-0000-000032780000}"/>
    <cellStyle name="Input 5 3 2 5 3 2 2" xfId="30776" xr:uid="{00000000-0005-0000-0000-000033780000}"/>
    <cellStyle name="Input 5 3 2 5 3 2 3" xfId="30777" xr:uid="{00000000-0005-0000-0000-000034780000}"/>
    <cellStyle name="Input 5 3 2 5 3 2 4" xfId="30778" xr:uid="{00000000-0005-0000-0000-000035780000}"/>
    <cellStyle name="Input 5 3 2 5 3 2 5" xfId="30779" xr:uid="{00000000-0005-0000-0000-000036780000}"/>
    <cellStyle name="Input 5 3 2 5 3 2 6" xfId="30780" xr:uid="{00000000-0005-0000-0000-000037780000}"/>
    <cellStyle name="Input 5 3 2 5 3 3" xfId="30781" xr:uid="{00000000-0005-0000-0000-000038780000}"/>
    <cellStyle name="Input 5 3 2 5 3 4" xfId="30782" xr:uid="{00000000-0005-0000-0000-000039780000}"/>
    <cellStyle name="Input 5 3 2 5 3 5" xfId="30783" xr:uid="{00000000-0005-0000-0000-00003A780000}"/>
    <cellStyle name="Input 5 3 2 5 3 6" xfId="30784" xr:uid="{00000000-0005-0000-0000-00003B780000}"/>
    <cellStyle name="Input 5 3 2 5 4" xfId="30785" xr:uid="{00000000-0005-0000-0000-00003C780000}"/>
    <cellStyle name="Input 5 3 2 5 4 2" xfId="30786" xr:uid="{00000000-0005-0000-0000-00003D780000}"/>
    <cellStyle name="Input 5 3 2 5 4 3" xfId="30787" xr:uid="{00000000-0005-0000-0000-00003E780000}"/>
    <cellStyle name="Input 5 3 2 5 4 4" xfId="30788" xr:uid="{00000000-0005-0000-0000-00003F780000}"/>
    <cellStyle name="Input 5 3 2 5 4 5" xfId="30789" xr:uid="{00000000-0005-0000-0000-000040780000}"/>
    <cellStyle name="Input 5 3 2 5 4 6" xfId="30790" xr:uid="{00000000-0005-0000-0000-000041780000}"/>
    <cellStyle name="Input 5 3 2 5 5" xfId="30791" xr:uid="{00000000-0005-0000-0000-000042780000}"/>
    <cellStyle name="Input 5 3 2 5 6" xfId="30792" xr:uid="{00000000-0005-0000-0000-000043780000}"/>
    <cellStyle name="Input 5 3 2 5 7" xfId="30793" xr:uid="{00000000-0005-0000-0000-000044780000}"/>
    <cellStyle name="Input 5 3 2 5 8" xfId="30794" xr:uid="{00000000-0005-0000-0000-000045780000}"/>
    <cellStyle name="Input 5 3 2 6" xfId="30795" xr:uid="{00000000-0005-0000-0000-000046780000}"/>
    <cellStyle name="Input 5 3 2 6 2" xfId="30796" xr:uid="{00000000-0005-0000-0000-000047780000}"/>
    <cellStyle name="Input 5 3 2 6 2 2" xfId="30797" xr:uid="{00000000-0005-0000-0000-000048780000}"/>
    <cellStyle name="Input 5 3 2 6 2 2 2" xfId="30798" xr:uid="{00000000-0005-0000-0000-000049780000}"/>
    <cellStyle name="Input 5 3 2 6 2 2 3" xfId="30799" xr:uid="{00000000-0005-0000-0000-00004A780000}"/>
    <cellStyle name="Input 5 3 2 6 2 2 4" xfId="30800" xr:uid="{00000000-0005-0000-0000-00004B780000}"/>
    <cellStyle name="Input 5 3 2 6 2 2 5" xfId="30801" xr:uid="{00000000-0005-0000-0000-00004C780000}"/>
    <cellStyle name="Input 5 3 2 6 2 2 6" xfId="30802" xr:uid="{00000000-0005-0000-0000-00004D780000}"/>
    <cellStyle name="Input 5 3 2 6 2 3" xfId="30803" xr:uid="{00000000-0005-0000-0000-00004E780000}"/>
    <cellStyle name="Input 5 3 2 6 2 4" xfId="30804" xr:uid="{00000000-0005-0000-0000-00004F780000}"/>
    <cellStyle name="Input 5 3 2 6 2 5" xfId="30805" xr:uid="{00000000-0005-0000-0000-000050780000}"/>
    <cellStyle name="Input 5 3 2 6 2 6" xfId="30806" xr:uid="{00000000-0005-0000-0000-000051780000}"/>
    <cellStyle name="Input 5 3 2 6 3" xfId="30807" xr:uid="{00000000-0005-0000-0000-000052780000}"/>
    <cellStyle name="Input 5 3 2 6 3 2" xfId="30808" xr:uid="{00000000-0005-0000-0000-000053780000}"/>
    <cellStyle name="Input 5 3 2 6 3 2 2" xfId="30809" xr:uid="{00000000-0005-0000-0000-000054780000}"/>
    <cellStyle name="Input 5 3 2 6 3 2 3" xfId="30810" xr:uid="{00000000-0005-0000-0000-000055780000}"/>
    <cellStyle name="Input 5 3 2 6 3 2 4" xfId="30811" xr:uid="{00000000-0005-0000-0000-000056780000}"/>
    <cellStyle name="Input 5 3 2 6 3 2 5" xfId="30812" xr:uid="{00000000-0005-0000-0000-000057780000}"/>
    <cellStyle name="Input 5 3 2 6 3 2 6" xfId="30813" xr:uid="{00000000-0005-0000-0000-000058780000}"/>
    <cellStyle name="Input 5 3 2 6 3 3" xfId="30814" xr:uid="{00000000-0005-0000-0000-000059780000}"/>
    <cellStyle name="Input 5 3 2 6 3 4" xfId="30815" xr:uid="{00000000-0005-0000-0000-00005A780000}"/>
    <cellStyle name="Input 5 3 2 6 3 5" xfId="30816" xr:uid="{00000000-0005-0000-0000-00005B780000}"/>
    <cellStyle name="Input 5 3 2 6 3 6" xfId="30817" xr:uid="{00000000-0005-0000-0000-00005C780000}"/>
    <cellStyle name="Input 5 3 2 6 4" xfId="30818" xr:uid="{00000000-0005-0000-0000-00005D780000}"/>
    <cellStyle name="Input 5 3 2 6 4 2" xfId="30819" xr:uid="{00000000-0005-0000-0000-00005E780000}"/>
    <cellStyle name="Input 5 3 2 6 4 3" xfId="30820" xr:uid="{00000000-0005-0000-0000-00005F780000}"/>
    <cellStyle name="Input 5 3 2 6 4 4" xfId="30821" xr:uid="{00000000-0005-0000-0000-000060780000}"/>
    <cellStyle name="Input 5 3 2 6 4 5" xfId="30822" xr:uid="{00000000-0005-0000-0000-000061780000}"/>
    <cellStyle name="Input 5 3 2 6 4 6" xfId="30823" xr:uid="{00000000-0005-0000-0000-000062780000}"/>
    <cellStyle name="Input 5 3 2 6 5" xfId="30824" xr:uid="{00000000-0005-0000-0000-000063780000}"/>
    <cellStyle name="Input 5 3 2 6 6" xfId="30825" xr:uid="{00000000-0005-0000-0000-000064780000}"/>
    <cellStyle name="Input 5 3 2 6 7" xfId="30826" xr:uid="{00000000-0005-0000-0000-000065780000}"/>
    <cellStyle name="Input 5 3 2 6 8" xfId="30827" xr:uid="{00000000-0005-0000-0000-000066780000}"/>
    <cellStyle name="Input 5 3 2 7" xfId="30828" xr:uid="{00000000-0005-0000-0000-000067780000}"/>
    <cellStyle name="Input 5 3 2 7 2" xfId="30829" xr:uid="{00000000-0005-0000-0000-000068780000}"/>
    <cellStyle name="Input 5 3 2 7 2 2" xfId="30830" xr:uid="{00000000-0005-0000-0000-000069780000}"/>
    <cellStyle name="Input 5 3 2 7 2 2 2" xfId="30831" xr:uid="{00000000-0005-0000-0000-00006A780000}"/>
    <cellStyle name="Input 5 3 2 7 2 2 3" xfId="30832" xr:uid="{00000000-0005-0000-0000-00006B780000}"/>
    <cellStyle name="Input 5 3 2 7 2 2 4" xfId="30833" xr:uid="{00000000-0005-0000-0000-00006C780000}"/>
    <cellStyle name="Input 5 3 2 7 2 2 5" xfId="30834" xr:uid="{00000000-0005-0000-0000-00006D780000}"/>
    <cellStyle name="Input 5 3 2 7 2 2 6" xfId="30835" xr:uid="{00000000-0005-0000-0000-00006E780000}"/>
    <cellStyle name="Input 5 3 2 7 2 3" xfId="30836" xr:uid="{00000000-0005-0000-0000-00006F780000}"/>
    <cellStyle name="Input 5 3 2 7 2 4" xfId="30837" xr:uid="{00000000-0005-0000-0000-000070780000}"/>
    <cellStyle name="Input 5 3 2 7 2 5" xfId="30838" xr:uid="{00000000-0005-0000-0000-000071780000}"/>
    <cellStyle name="Input 5 3 2 7 2 6" xfId="30839" xr:uid="{00000000-0005-0000-0000-000072780000}"/>
    <cellStyle name="Input 5 3 2 7 3" xfId="30840" xr:uid="{00000000-0005-0000-0000-000073780000}"/>
    <cellStyle name="Input 5 3 2 7 3 2" xfId="30841" xr:uid="{00000000-0005-0000-0000-000074780000}"/>
    <cellStyle name="Input 5 3 2 7 3 2 2" xfId="30842" xr:uid="{00000000-0005-0000-0000-000075780000}"/>
    <cellStyle name="Input 5 3 2 7 3 2 3" xfId="30843" xr:uid="{00000000-0005-0000-0000-000076780000}"/>
    <cellStyle name="Input 5 3 2 7 3 2 4" xfId="30844" xr:uid="{00000000-0005-0000-0000-000077780000}"/>
    <cellStyle name="Input 5 3 2 7 3 2 5" xfId="30845" xr:uid="{00000000-0005-0000-0000-000078780000}"/>
    <cellStyle name="Input 5 3 2 7 3 2 6" xfId="30846" xr:uid="{00000000-0005-0000-0000-000079780000}"/>
    <cellStyle name="Input 5 3 2 7 3 3" xfId="30847" xr:uid="{00000000-0005-0000-0000-00007A780000}"/>
    <cellStyle name="Input 5 3 2 7 3 4" xfId="30848" xr:uid="{00000000-0005-0000-0000-00007B780000}"/>
    <cellStyle name="Input 5 3 2 7 3 5" xfId="30849" xr:uid="{00000000-0005-0000-0000-00007C780000}"/>
    <cellStyle name="Input 5 3 2 7 3 6" xfId="30850" xr:uid="{00000000-0005-0000-0000-00007D780000}"/>
    <cellStyle name="Input 5 3 2 7 4" xfId="30851" xr:uid="{00000000-0005-0000-0000-00007E780000}"/>
    <cellStyle name="Input 5 3 2 7 4 2" xfId="30852" xr:uid="{00000000-0005-0000-0000-00007F780000}"/>
    <cellStyle name="Input 5 3 2 7 4 3" xfId="30853" xr:uid="{00000000-0005-0000-0000-000080780000}"/>
    <cellStyle name="Input 5 3 2 7 4 4" xfId="30854" xr:uid="{00000000-0005-0000-0000-000081780000}"/>
    <cellStyle name="Input 5 3 2 7 4 5" xfId="30855" xr:uid="{00000000-0005-0000-0000-000082780000}"/>
    <cellStyle name="Input 5 3 2 7 4 6" xfId="30856" xr:uid="{00000000-0005-0000-0000-000083780000}"/>
    <cellStyle name="Input 5 3 2 7 5" xfId="30857" xr:uid="{00000000-0005-0000-0000-000084780000}"/>
    <cellStyle name="Input 5 3 2 7 6" xfId="30858" xr:uid="{00000000-0005-0000-0000-000085780000}"/>
    <cellStyle name="Input 5 3 2 7 7" xfId="30859" xr:uid="{00000000-0005-0000-0000-000086780000}"/>
    <cellStyle name="Input 5 3 2 7 8" xfId="30860" xr:uid="{00000000-0005-0000-0000-000087780000}"/>
    <cellStyle name="Input 5 3 2 8" xfId="30861" xr:uid="{00000000-0005-0000-0000-000088780000}"/>
    <cellStyle name="Input 5 3 2 8 2" xfId="30862" xr:uid="{00000000-0005-0000-0000-000089780000}"/>
    <cellStyle name="Input 5 3 2 8 2 2" xfId="30863" xr:uid="{00000000-0005-0000-0000-00008A780000}"/>
    <cellStyle name="Input 5 3 2 8 2 3" xfId="30864" xr:uid="{00000000-0005-0000-0000-00008B780000}"/>
    <cellStyle name="Input 5 3 2 8 2 4" xfId="30865" xr:uid="{00000000-0005-0000-0000-00008C780000}"/>
    <cellStyle name="Input 5 3 2 8 2 5" xfId="30866" xr:uid="{00000000-0005-0000-0000-00008D780000}"/>
    <cellStyle name="Input 5 3 2 8 2 6" xfId="30867" xr:uid="{00000000-0005-0000-0000-00008E780000}"/>
    <cellStyle name="Input 5 3 2 8 3" xfId="30868" xr:uid="{00000000-0005-0000-0000-00008F780000}"/>
    <cellStyle name="Input 5 3 2 8 4" xfId="30869" xr:uid="{00000000-0005-0000-0000-000090780000}"/>
    <cellStyle name="Input 5 3 2 8 5" xfId="30870" xr:uid="{00000000-0005-0000-0000-000091780000}"/>
    <cellStyle name="Input 5 3 2 8 6" xfId="30871" xr:uid="{00000000-0005-0000-0000-000092780000}"/>
    <cellStyle name="Input 5 3 2 9" xfId="30872" xr:uid="{00000000-0005-0000-0000-000093780000}"/>
    <cellStyle name="Input 5 3 2 9 2" xfId="30873" xr:uid="{00000000-0005-0000-0000-000094780000}"/>
    <cellStyle name="Input 5 3 2 9 2 2" xfId="30874" xr:uid="{00000000-0005-0000-0000-000095780000}"/>
    <cellStyle name="Input 5 3 2 9 2 3" xfId="30875" xr:uid="{00000000-0005-0000-0000-000096780000}"/>
    <cellStyle name="Input 5 3 2 9 2 4" xfId="30876" xr:uid="{00000000-0005-0000-0000-000097780000}"/>
    <cellStyle name="Input 5 3 2 9 2 5" xfId="30877" xr:uid="{00000000-0005-0000-0000-000098780000}"/>
    <cellStyle name="Input 5 3 2 9 2 6" xfId="30878" xr:uid="{00000000-0005-0000-0000-000099780000}"/>
    <cellStyle name="Input 5 3 2 9 3" xfId="30879" xr:uid="{00000000-0005-0000-0000-00009A780000}"/>
    <cellStyle name="Input 5 3 2 9 4" xfId="30880" xr:uid="{00000000-0005-0000-0000-00009B780000}"/>
    <cellStyle name="Input 5 3 2 9 5" xfId="30881" xr:uid="{00000000-0005-0000-0000-00009C780000}"/>
    <cellStyle name="Input 5 3 2 9 6" xfId="30882" xr:uid="{00000000-0005-0000-0000-00009D780000}"/>
    <cellStyle name="Input 5 3 3" xfId="30883" xr:uid="{00000000-0005-0000-0000-00009E780000}"/>
    <cellStyle name="Input 5 3 3 10" xfId="30884" xr:uid="{00000000-0005-0000-0000-00009F780000}"/>
    <cellStyle name="Input 5 3 3 11" xfId="30885" xr:uid="{00000000-0005-0000-0000-0000A0780000}"/>
    <cellStyle name="Input 5 3 3 12" xfId="30886" xr:uid="{00000000-0005-0000-0000-0000A1780000}"/>
    <cellStyle name="Input 5 3 3 13" xfId="30887" xr:uid="{00000000-0005-0000-0000-0000A2780000}"/>
    <cellStyle name="Input 5 3 3 2" xfId="30888" xr:uid="{00000000-0005-0000-0000-0000A3780000}"/>
    <cellStyle name="Input 5 3 3 2 2" xfId="30889" xr:uid="{00000000-0005-0000-0000-0000A4780000}"/>
    <cellStyle name="Input 5 3 3 2 2 2" xfId="30890" xr:uid="{00000000-0005-0000-0000-0000A5780000}"/>
    <cellStyle name="Input 5 3 3 2 2 2 2" xfId="30891" xr:uid="{00000000-0005-0000-0000-0000A6780000}"/>
    <cellStyle name="Input 5 3 3 2 2 2 3" xfId="30892" xr:uid="{00000000-0005-0000-0000-0000A7780000}"/>
    <cellStyle name="Input 5 3 3 2 2 2 4" xfId="30893" xr:uid="{00000000-0005-0000-0000-0000A8780000}"/>
    <cellStyle name="Input 5 3 3 2 2 2 5" xfId="30894" xr:uid="{00000000-0005-0000-0000-0000A9780000}"/>
    <cellStyle name="Input 5 3 3 2 2 2 6" xfId="30895" xr:uid="{00000000-0005-0000-0000-0000AA780000}"/>
    <cellStyle name="Input 5 3 3 2 2 3" xfId="30896" xr:uid="{00000000-0005-0000-0000-0000AB780000}"/>
    <cellStyle name="Input 5 3 3 2 2 4" xfId="30897" xr:uid="{00000000-0005-0000-0000-0000AC780000}"/>
    <cellStyle name="Input 5 3 3 2 2 5" xfId="30898" xr:uid="{00000000-0005-0000-0000-0000AD780000}"/>
    <cellStyle name="Input 5 3 3 2 2 6" xfId="30899" xr:uid="{00000000-0005-0000-0000-0000AE780000}"/>
    <cellStyle name="Input 5 3 3 2 3" xfId="30900" xr:uid="{00000000-0005-0000-0000-0000AF780000}"/>
    <cellStyle name="Input 5 3 3 2 3 2" xfId="30901" xr:uid="{00000000-0005-0000-0000-0000B0780000}"/>
    <cellStyle name="Input 5 3 3 2 3 2 2" xfId="30902" xr:uid="{00000000-0005-0000-0000-0000B1780000}"/>
    <cellStyle name="Input 5 3 3 2 3 2 3" xfId="30903" xr:uid="{00000000-0005-0000-0000-0000B2780000}"/>
    <cellStyle name="Input 5 3 3 2 3 2 4" xfId="30904" xr:uid="{00000000-0005-0000-0000-0000B3780000}"/>
    <cellStyle name="Input 5 3 3 2 3 2 5" xfId="30905" xr:uid="{00000000-0005-0000-0000-0000B4780000}"/>
    <cellStyle name="Input 5 3 3 2 3 2 6" xfId="30906" xr:uid="{00000000-0005-0000-0000-0000B5780000}"/>
    <cellStyle name="Input 5 3 3 2 3 3" xfId="30907" xr:uid="{00000000-0005-0000-0000-0000B6780000}"/>
    <cellStyle name="Input 5 3 3 2 3 4" xfId="30908" xr:uid="{00000000-0005-0000-0000-0000B7780000}"/>
    <cellStyle name="Input 5 3 3 2 3 5" xfId="30909" xr:uid="{00000000-0005-0000-0000-0000B8780000}"/>
    <cellStyle name="Input 5 3 3 2 3 6" xfId="30910" xr:uid="{00000000-0005-0000-0000-0000B9780000}"/>
    <cellStyle name="Input 5 3 3 2 4" xfId="30911" xr:uid="{00000000-0005-0000-0000-0000BA780000}"/>
    <cellStyle name="Input 5 3 3 2 4 2" xfId="30912" xr:uid="{00000000-0005-0000-0000-0000BB780000}"/>
    <cellStyle name="Input 5 3 3 2 4 3" xfId="30913" xr:uid="{00000000-0005-0000-0000-0000BC780000}"/>
    <cellStyle name="Input 5 3 3 2 4 4" xfId="30914" xr:uid="{00000000-0005-0000-0000-0000BD780000}"/>
    <cellStyle name="Input 5 3 3 2 4 5" xfId="30915" xr:uid="{00000000-0005-0000-0000-0000BE780000}"/>
    <cellStyle name="Input 5 3 3 2 4 6" xfId="30916" xr:uid="{00000000-0005-0000-0000-0000BF780000}"/>
    <cellStyle name="Input 5 3 3 2 5" xfId="30917" xr:uid="{00000000-0005-0000-0000-0000C0780000}"/>
    <cellStyle name="Input 5 3 3 2 6" xfId="30918" xr:uid="{00000000-0005-0000-0000-0000C1780000}"/>
    <cellStyle name="Input 5 3 3 2 7" xfId="30919" xr:uid="{00000000-0005-0000-0000-0000C2780000}"/>
    <cellStyle name="Input 5 3 3 2 8" xfId="30920" xr:uid="{00000000-0005-0000-0000-0000C3780000}"/>
    <cellStyle name="Input 5 3 3 3" xfId="30921" xr:uid="{00000000-0005-0000-0000-0000C4780000}"/>
    <cellStyle name="Input 5 3 3 3 2" xfId="30922" xr:uid="{00000000-0005-0000-0000-0000C5780000}"/>
    <cellStyle name="Input 5 3 3 3 2 2" xfId="30923" xr:uid="{00000000-0005-0000-0000-0000C6780000}"/>
    <cellStyle name="Input 5 3 3 3 2 2 2" xfId="30924" xr:uid="{00000000-0005-0000-0000-0000C7780000}"/>
    <cellStyle name="Input 5 3 3 3 2 2 3" xfId="30925" xr:uid="{00000000-0005-0000-0000-0000C8780000}"/>
    <cellStyle name="Input 5 3 3 3 2 2 4" xfId="30926" xr:uid="{00000000-0005-0000-0000-0000C9780000}"/>
    <cellStyle name="Input 5 3 3 3 2 2 5" xfId="30927" xr:uid="{00000000-0005-0000-0000-0000CA780000}"/>
    <cellStyle name="Input 5 3 3 3 2 2 6" xfId="30928" xr:uid="{00000000-0005-0000-0000-0000CB780000}"/>
    <cellStyle name="Input 5 3 3 3 2 3" xfId="30929" xr:uid="{00000000-0005-0000-0000-0000CC780000}"/>
    <cellStyle name="Input 5 3 3 3 2 4" xfId="30930" xr:uid="{00000000-0005-0000-0000-0000CD780000}"/>
    <cellStyle name="Input 5 3 3 3 2 5" xfId="30931" xr:uid="{00000000-0005-0000-0000-0000CE780000}"/>
    <cellStyle name="Input 5 3 3 3 2 6" xfId="30932" xr:uid="{00000000-0005-0000-0000-0000CF780000}"/>
    <cellStyle name="Input 5 3 3 3 3" xfId="30933" xr:uid="{00000000-0005-0000-0000-0000D0780000}"/>
    <cellStyle name="Input 5 3 3 3 3 2" xfId="30934" xr:uid="{00000000-0005-0000-0000-0000D1780000}"/>
    <cellStyle name="Input 5 3 3 3 3 2 2" xfId="30935" xr:uid="{00000000-0005-0000-0000-0000D2780000}"/>
    <cellStyle name="Input 5 3 3 3 3 2 3" xfId="30936" xr:uid="{00000000-0005-0000-0000-0000D3780000}"/>
    <cellStyle name="Input 5 3 3 3 3 2 4" xfId="30937" xr:uid="{00000000-0005-0000-0000-0000D4780000}"/>
    <cellStyle name="Input 5 3 3 3 3 2 5" xfId="30938" xr:uid="{00000000-0005-0000-0000-0000D5780000}"/>
    <cellStyle name="Input 5 3 3 3 3 2 6" xfId="30939" xr:uid="{00000000-0005-0000-0000-0000D6780000}"/>
    <cellStyle name="Input 5 3 3 3 3 3" xfId="30940" xr:uid="{00000000-0005-0000-0000-0000D7780000}"/>
    <cellStyle name="Input 5 3 3 3 3 4" xfId="30941" xr:uid="{00000000-0005-0000-0000-0000D8780000}"/>
    <cellStyle name="Input 5 3 3 3 3 5" xfId="30942" xr:uid="{00000000-0005-0000-0000-0000D9780000}"/>
    <cellStyle name="Input 5 3 3 3 3 6" xfId="30943" xr:uid="{00000000-0005-0000-0000-0000DA780000}"/>
    <cellStyle name="Input 5 3 3 3 4" xfId="30944" xr:uid="{00000000-0005-0000-0000-0000DB780000}"/>
    <cellStyle name="Input 5 3 3 3 4 2" xfId="30945" xr:uid="{00000000-0005-0000-0000-0000DC780000}"/>
    <cellStyle name="Input 5 3 3 3 4 3" xfId="30946" xr:uid="{00000000-0005-0000-0000-0000DD780000}"/>
    <cellStyle name="Input 5 3 3 3 4 4" xfId="30947" xr:uid="{00000000-0005-0000-0000-0000DE780000}"/>
    <cellStyle name="Input 5 3 3 3 4 5" xfId="30948" xr:uid="{00000000-0005-0000-0000-0000DF780000}"/>
    <cellStyle name="Input 5 3 3 3 4 6" xfId="30949" xr:uid="{00000000-0005-0000-0000-0000E0780000}"/>
    <cellStyle name="Input 5 3 3 3 5" xfId="30950" xr:uid="{00000000-0005-0000-0000-0000E1780000}"/>
    <cellStyle name="Input 5 3 3 3 6" xfId="30951" xr:uid="{00000000-0005-0000-0000-0000E2780000}"/>
    <cellStyle name="Input 5 3 3 3 7" xfId="30952" xr:uid="{00000000-0005-0000-0000-0000E3780000}"/>
    <cellStyle name="Input 5 3 3 3 8" xfId="30953" xr:uid="{00000000-0005-0000-0000-0000E4780000}"/>
    <cellStyle name="Input 5 3 3 4" xfId="30954" xr:uid="{00000000-0005-0000-0000-0000E5780000}"/>
    <cellStyle name="Input 5 3 3 4 2" xfId="30955" xr:uid="{00000000-0005-0000-0000-0000E6780000}"/>
    <cellStyle name="Input 5 3 3 4 2 2" xfId="30956" xr:uid="{00000000-0005-0000-0000-0000E7780000}"/>
    <cellStyle name="Input 5 3 3 4 2 2 2" xfId="30957" xr:uid="{00000000-0005-0000-0000-0000E8780000}"/>
    <cellStyle name="Input 5 3 3 4 2 2 3" xfId="30958" xr:uid="{00000000-0005-0000-0000-0000E9780000}"/>
    <cellStyle name="Input 5 3 3 4 2 2 4" xfId="30959" xr:uid="{00000000-0005-0000-0000-0000EA780000}"/>
    <cellStyle name="Input 5 3 3 4 2 2 5" xfId="30960" xr:uid="{00000000-0005-0000-0000-0000EB780000}"/>
    <cellStyle name="Input 5 3 3 4 2 2 6" xfId="30961" xr:uid="{00000000-0005-0000-0000-0000EC780000}"/>
    <cellStyle name="Input 5 3 3 4 2 3" xfId="30962" xr:uid="{00000000-0005-0000-0000-0000ED780000}"/>
    <cellStyle name="Input 5 3 3 4 2 4" xfId="30963" xr:uid="{00000000-0005-0000-0000-0000EE780000}"/>
    <cellStyle name="Input 5 3 3 4 2 5" xfId="30964" xr:uid="{00000000-0005-0000-0000-0000EF780000}"/>
    <cellStyle name="Input 5 3 3 4 2 6" xfId="30965" xr:uid="{00000000-0005-0000-0000-0000F0780000}"/>
    <cellStyle name="Input 5 3 3 4 3" xfId="30966" xr:uid="{00000000-0005-0000-0000-0000F1780000}"/>
    <cellStyle name="Input 5 3 3 4 3 2" xfId="30967" xr:uid="{00000000-0005-0000-0000-0000F2780000}"/>
    <cellStyle name="Input 5 3 3 4 3 2 2" xfId="30968" xr:uid="{00000000-0005-0000-0000-0000F3780000}"/>
    <cellStyle name="Input 5 3 3 4 3 2 3" xfId="30969" xr:uid="{00000000-0005-0000-0000-0000F4780000}"/>
    <cellStyle name="Input 5 3 3 4 3 2 4" xfId="30970" xr:uid="{00000000-0005-0000-0000-0000F5780000}"/>
    <cellStyle name="Input 5 3 3 4 3 2 5" xfId="30971" xr:uid="{00000000-0005-0000-0000-0000F6780000}"/>
    <cellStyle name="Input 5 3 3 4 3 2 6" xfId="30972" xr:uid="{00000000-0005-0000-0000-0000F7780000}"/>
    <cellStyle name="Input 5 3 3 4 3 3" xfId="30973" xr:uid="{00000000-0005-0000-0000-0000F8780000}"/>
    <cellStyle name="Input 5 3 3 4 3 4" xfId="30974" xr:uid="{00000000-0005-0000-0000-0000F9780000}"/>
    <cellStyle name="Input 5 3 3 4 3 5" xfId="30975" xr:uid="{00000000-0005-0000-0000-0000FA780000}"/>
    <cellStyle name="Input 5 3 3 4 3 6" xfId="30976" xr:uid="{00000000-0005-0000-0000-0000FB780000}"/>
    <cellStyle name="Input 5 3 3 4 4" xfId="30977" xr:uid="{00000000-0005-0000-0000-0000FC780000}"/>
    <cellStyle name="Input 5 3 3 4 4 2" xfId="30978" xr:uid="{00000000-0005-0000-0000-0000FD780000}"/>
    <cellStyle name="Input 5 3 3 4 4 3" xfId="30979" xr:uid="{00000000-0005-0000-0000-0000FE780000}"/>
    <cellStyle name="Input 5 3 3 4 4 4" xfId="30980" xr:uid="{00000000-0005-0000-0000-0000FF780000}"/>
    <cellStyle name="Input 5 3 3 4 4 5" xfId="30981" xr:uid="{00000000-0005-0000-0000-000000790000}"/>
    <cellStyle name="Input 5 3 3 4 4 6" xfId="30982" xr:uid="{00000000-0005-0000-0000-000001790000}"/>
    <cellStyle name="Input 5 3 3 4 5" xfId="30983" xr:uid="{00000000-0005-0000-0000-000002790000}"/>
    <cellStyle name="Input 5 3 3 4 6" xfId="30984" xr:uid="{00000000-0005-0000-0000-000003790000}"/>
    <cellStyle name="Input 5 3 3 4 7" xfId="30985" xr:uid="{00000000-0005-0000-0000-000004790000}"/>
    <cellStyle name="Input 5 3 3 4 8" xfId="30986" xr:uid="{00000000-0005-0000-0000-000005790000}"/>
    <cellStyle name="Input 5 3 3 5" xfId="30987" xr:uid="{00000000-0005-0000-0000-000006790000}"/>
    <cellStyle name="Input 5 3 3 5 2" xfId="30988" xr:uid="{00000000-0005-0000-0000-000007790000}"/>
    <cellStyle name="Input 5 3 3 5 2 2" xfId="30989" xr:uid="{00000000-0005-0000-0000-000008790000}"/>
    <cellStyle name="Input 5 3 3 5 2 2 2" xfId="30990" xr:uid="{00000000-0005-0000-0000-000009790000}"/>
    <cellStyle name="Input 5 3 3 5 2 2 3" xfId="30991" xr:uid="{00000000-0005-0000-0000-00000A790000}"/>
    <cellStyle name="Input 5 3 3 5 2 2 4" xfId="30992" xr:uid="{00000000-0005-0000-0000-00000B790000}"/>
    <cellStyle name="Input 5 3 3 5 2 2 5" xfId="30993" xr:uid="{00000000-0005-0000-0000-00000C790000}"/>
    <cellStyle name="Input 5 3 3 5 2 2 6" xfId="30994" xr:uid="{00000000-0005-0000-0000-00000D790000}"/>
    <cellStyle name="Input 5 3 3 5 2 3" xfId="30995" xr:uid="{00000000-0005-0000-0000-00000E790000}"/>
    <cellStyle name="Input 5 3 3 5 2 4" xfId="30996" xr:uid="{00000000-0005-0000-0000-00000F790000}"/>
    <cellStyle name="Input 5 3 3 5 2 5" xfId="30997" xr:uid="{00000000-0005-0000-0000-000010790000}"/>
    <cellStyle name="Input 5 3 3 5 2 6" xfId="30998" xr:uid="{00000000-0005-0000-0000-000011790000}"/>
    <cellStyle name="Input 5 3 3 5 3" xfId="30999" xr:uid="{00000000-0005-0000-0000-000012790000}"/>
    <cellStyle name="Input 5 3 3 5 3 2" xfId="31000" xr:uid="{00000000-0005-0000-0000-000013790000}"/>
    <cellStyle name="Input 5 3 3 5 3 2 2" xfId="31001" xr:uid="{00000000-0005-0000-0000-000014790000}"/>
    <cellStyle name="Input 5 3 3 5 3 2 3" xfId="31002" xr:uid="{00000000-0005-0000-0000-000015790000}"/>
    <cellStyle name="Input 5 3 3 5 3 2 4" xfId="31003" xr:uid="{00000000-0005-0000-0000-000016790000}"/>
    <cellStyle name="Input 5 3 3 5 3 2 5" xfId="31004" xr:uid="{00000000-0005-0000-0000-000017790000}"/>
    <cellStyle name="Input 5 3 3 5 3 2 6" xfId="31005" xr:uid="{00000000-0005-0000-0000-000018790000}"/>
    <cellStyle name="Input 5 3 3 5 3 3" xfId="31006" xr:uid="{00000000-0005-0000-0000-000019790000}"/>
    <cellStyle name="Input 5 3 3 5 3 4" xfId="31007" xr:uid="{00000000-0005-0000-0000-00001A790000}"/>
    <cellStyle name="Input 5 3 3 5 3 5" xfId="31008" xr:uid="{00000000-0005-0000-0000-00001B790000}"/>
    <cellStyle name="Input 5 3 3 5 3 6" xfId="31009" xr:uid="{00000000-0005-0000-0000-00001C790000}"/>
    <cellStyle name="Input 5 3 3 5 4" xfId="31010" xr:uid="{00000000-0005-0000-0000-00001D790000}"/>
    <cellStyle name="Input 5 3 3 5 4 2" xfId="31011" xr:uid="{00000000-0005-0000-0000-00001E790000}"/>
    <cellStyle name="Input 5 3 3 5 4 3" xfId="31012" xr:uid="{00000000-0005-0000-0000-00001F790000}"/>
    <cellStyle name="Input 5 3 3 5 4 4" xfId="31013" xr:uid="{00000000-0005-0000-0000-000020790000}"/>
    <cellStyle name="Input 5 3 3 5 4 5" xfId="31014" xr:uid="{00000000-0005-0000-0000-000021790000}"/>
    <cellStyle name="Input 5 3 3 5 4 6" xfId="31015" xr:uid="{00000000-0005-0000-0000-000022790000}"/>
    <cellStyle name="Input 5 3 3 5 5" xfId="31016" xr:uid="{00000000-0005-0000-0000-000023790000}"/>
    <cellStyle name="Input 5 3 3 5 6" xfId="31017" xr:uid="{00000000-0005-0000-0000-000024790000}"/>
    <cellStyle name="Input 5 3 3 5 7" xfId="31018" xr:uid="{00000000-0005-0000-0000-000025790000}"/>
    <cellStyle name="Input 5 3 3 5 8" xfId="31019" xr:uid="{00000000-0005-0000-0000-000026790000}"/>
    <cellStyle name="Input 5 3 3 6" xfId="31020" xr:uid="{00000000-0005-0000-0000-000027790000}"/>
    <cellStyle name="Input 5 3 3 6 2" xfId="31021" xr:uid="{00000000-0005-0000-0000-000028790000}"/>
    <cellStyle name="Input 5 3 3 6 2 2" xfId="31022" xr:uid="{00000000-0005-0000-0000-000029790000}"/>
    <cellStyle name="Input 5 3 3 6 2 2 2" xfId="31023" xr:uid="{00000000-0005-0000-0000-00002A790000}"/>
    <cellStyle name="Input 5 3 3 6 2 2 3" xfId="31024" xr:uid="{00000000-0005-0000-0000-00002B790000}"/>
    <cellStyle name="Input 5 3 3 6 2 2 4" xfId="31025" xr:uid="{00000000-0005-0000-0000-00002C790000}"/>
    <cellStyle name="Input 5 3 3 6 2 2 5" xfId="31026" xr:uid="{00000000-0005-0000-0000-00002D790000}"/>
    <cellStyle name="Input 5 3 3 6 2 2 6" xfId="31027" xr:uid="{00000000-0005-0000-0000-00002E790000}"/>
    <cellStyle name="Input 5 3 3 6 2 3" xfId="31028" xr:uid="{00000000-0005-0000-0000-00002F790000}"/>
    <cellStyle name="Input 5 3 3 6 2 4" xfId="31029" xr:uid="{00000000-0005-0000-0000-000030790000}"/>
    <cellStyle name="Input 5 3 3 6 2 5" xfId="31030" xr:uid="{00000000-0005-0000-0000-000031790000}"/>
    <cellStyle name="Input 5 3 3 6 2 6" xfId="31031" xr:uid="{00000000-0005-0000-0000-000032790000}"/>
    <cellStyle name="Input 5 3 3 6 3" xfId="31032" xr:uid="{00000000-0005-0000-0000-000033790000}"/>
    <cellStyle name="Input 5 3 3 6 3 2" xfId="31033" xr:uid="{00000000-0005-0000-0000-000034790000}"/>
    <cellStyle name="Input 5 3 3 6 3 2 2" xfId="31034" xr:uid="{00000000-0005-0000-0000-000035790000}"/>
    <cellStyle name="Input 5 3 3 6 3 2 3" xfId="31035" xr:uid="{00000000-0005-0000-0000-000036790000}"/>
    <cellStyle name="Input 5 3 3 6 3 2 4" xfId="31036" xr:uid="{00000000-0005-0000-0000-000037790000}"/>
    <cellStyle name="Input 5 3 3 6 3 2 5" xfId="31037" xr:uid="{00000000-0005-0000-0000-000038790000}"/>
    <cellStyle name="Input 5 3 3 6 3 2 6" xfId="31038" xr:uid="{00000000-0005-0000-0000-000039790000}"/>
    <cellStyle name="Input 5 3 3 6 3 3" xfId="31039" xr:uid="{00000000-0005-0000-0000-00003A790000}"/>
    <cellStyle name="Input 5 3 3 6 3 4" xfId="31040" xr:uid="{00000000-0005-0000-0000-00003B790000}"/>
    <cellStyle name="Input 5 3 3 6 3 5" xfId="31041" xr:uid="{00000000-0005-0000-0000-00003C790000}"/>
    <cellStyle name="Input 5 3 3 6 3 6" xfId="31042" xr:uid="{00000000-0005-0000-0000-00003D790000}"/>
    <cellStyle name="Input 5 3 3 6 4" xfId="31043" xr:uid="{00000000-0005-0000-0000-00003E790000}"/>
    <cellStyle name="Input 5 3 3 6 4 2" xfId="31044" xr:uid="{00000000-0005-0000-0000-00003F790000}"/>
    <cellStyle name="Input 5 3 3 6 4 3" xfId="31045" xr:uid="{00000000-0005-0000-0000-000040790000}"/>
    <cellStyle name="Input 5 3 3 6 4 4" xfId="31046" xr:uid="{00000000-0005-0000-0000-000041790000}"/>
    <cellStyle name="Input 5 3 3 6 4 5" xfId="31047" xr:uid="{00000000-0005-0000-0000-000042790000}"/>
    <cellStyle name="Input 5 3 3 6 4 6" xfId="31048" xr:uid="{00000000-0005-0000-0000-000043790000}"/>
    <cellStyle name="Input 5 3 3 6 5" xfId="31049" xr:uid="{00000000-0005-0000-0000-000044790000}"/>
    <cellStyle name="Input 5 3 3 6 6" xfId="31050" xr:uid="{00000000-0005-0000-0000-000045790000}"/>
    <cellStyle name="Input 5 3 3 6 7" xfId="31051" xr:uid="{00000000-0005-0000-0000-000046790000}"/>
    <cellStyle name="Input 5 3 3 6 8" xfId="31052" xr:uid="{00000000-0005-0000-0000-000047790000}"/>
    <cellStyle name="Input 5 3 3 7" xfId="31053" xr:uid="{00000000-0005-0000-0000-000048790000}"/>
    <cellStyle name="Input 5 3 3 7 2" xfId="31054" xr:uid="{00000000-0005-0000-0000-000049790000}"/>
    <cellStyle name="Input 5 3 3 7 2 2" xfId="31055" xr:uid="{00000000-0005-0000-0000-00004A790000}"/>
    <cellStyle name="Input 5 3 3 7 2 3" xfId="31056" xr:uid="{00000000-0005-0000-0000-00004B790000}"/>
    <cellStyle name="Input 5 3 3 7 2 4" xfId="31057" xr:uid="{00000000-0005-0000-0000-00004C790000}"/>
    <cellStyle name="Input 5 3 3 7 2 5" xfId="31058" xr:uid="{00000000-0005-0000-0000-00004D790000}"/>
    <cellStyle name="Input 5 3 3 7 2 6" xfId="31059" xr:uid="{00000000-0005-0000-0000-00004E790000}"/>
    <cellStyle name="Input 5 3 3 7 3" xfId="31060" xr:uid="{00000000-0005-0000-0000-00004F790000}"/>
    <cellStyle name="Input 5 3 3 7 4" xfId="31061" xr:uid="{00000000-0005-0000-0000-000050790000}"/>
    <cellStyle name="Input 5 3 3 7 5" xfId="31062" xr:uid="{00000000-0005-0000-0000-000051790000}"/>
    <cellStyle name="Input 5 3 3 7 6" xfId="31063" xr:uid="{00000000-0005-0000-0000-000052790000}"/>
    <cellStyle name="Input 5 3 3 8" xfId="31064" xr:uid="{00000000-0005-0000-0000-000053790000}"/>
    <cellStyle name="Input 5 3 3 8 2" xfId="31065" xr:uid="{00000000-0005-0000-0000-000054790000}"/>
    <cellStyle name="Input 5 3 3 8 2 2" xfId="31066" xr:uid="{00000000-0005-0000-0000-000055790000}"/>
    <cellStyle name="Input 5 3 3 8 2 3" xfId="31067" xr:uid="{00000000-0005-0000-0000-000056790000}"/>
    <cellStyle name="Input 5 3 3 8 2 4" xfId="31068" xr:uid="{00000000-0005-0000-0000-000057790000}"/>
    <cellStyle name="Input 5 3 3 8 2 5" xfId="31069" xr:uid="{00000000-0005-0000-0000-000058790000}"/>
    <cellStyle name="Input 5 3 3 8 2 6" xfId="31070" xr:uid="{00000000-0005-0000-0000-000059790000}"/>
    <cellStyle name="Input 5 3 3 8 3" xfId="31071" xr:uid="{00000000-0005-0000-0000-00005A790000}"/>
    <cellStyle name="Input 5 3 3 8 4" xfId="31072" xr:uid="{00000000-0005-0000-0000-00005B790000}"/>
    <cellStyle name="Input 5 3 3 8 5" xfId="31073" xr:uid="{00000000-0005-0000-0000-00005C790000}"/>
    <cellStyle name="Input 5 3 3 8 6" xfId="31074" xr:uid="{00000000-0005-0000-0000-00005D790000}"/>
    <cellStyle name="Input 5 3 3 9" xfId="31075" xr:uid="{00000000-0005-0000-0000-00005E790000}"/>
    <cellStyle name="Input 5 3 3 9 2" xfId="31076" xr:uid="{00000000-0005-0000-0000-00005F790000}"/>
    <cellStyle name="Input 5 3 3 9 3" xfId="31077" xr:uid="{00000000-0005-0000-0000-000060790000}"/>
    <cellStyle name="Input 5 3 3 9 4" xfId="31078" xr:uid="{00000000-0005-0000-0000-000061790000}"/>
    <cellStyle name="Input 5 3 3 9 5" xfId="31079" xr:uid="{00000000-0005-0000-0000-000062790000}"/>
    <cellStyle name="Input 5 3 3 9 6" xfId="31080" xr:uid="{00000000-0005-0000-0000-000063790000}"/>
    <cellStyle name="Input 5 3 4" xfId="31081" xr:uid="{00000000-0005-0000-0000-000064790000}"/>
    <cellStyle name="Input 5 3 4 2" xfId="31082" xr:uid="{00000000-0005-0000-0000-000065790000}"/>
    <cellStyle name="Input 5 3 4 2 2" xfId="31083" xr:uid="{00000000-0005-0000-0000-000066790000}"/>
    <cellStyle name="Input 5 3 4 2 2 2" xfId="31084" xr:uid="{00000000-0005-0000-0000-000067790000}"/>
    <cellStyle name="Input 5 3 4 2 2 3" xfId="31085" xr:uid="{00000000-0005-0000-0000-000068790000}"/>
    <cellStyle name="Input 5 3 4 2 2 4" xfId="31086" xr:uid="{00000000-0005-0000-0000-000069790000}"/>
    <cellStyle name="Input 5 3 4 2 2 5" xfId="31087" xr:uid="{00000000-0005-0000-0000-00006A790000}"/>
    <cellStyle name="Input 5 3 4 2 2 6" xfId="31088" xr:uid="{00000000-0005-0000-0000-00006B790000}"/>
    <cellStyle name="Input 5 3 4 2 3" xfId="31089" xr:uid="{00000000-0005-0000-0000-00006C790000}"/>
    <cellStyle name="Input 5 3 4 2 4" xfId="31090" xr:uid="{00000000-0005-0000-0000-00006D790000}"/>
    <cellStyle name="Input 5 3 4 2 5" xfId="31091" xr:uid="{00000000-0005-0000-0000-00006E790000}"/>
    <cellStyle name="Input 5 3 4 2 6" xfId="31092" xr:uid="{00000000-0005-0000-0000-00006F790000}"/>
    <cellStyle name="Input 5 3 4 3" xfId="31093" xr:uid="{00000000-0005-0000-0000-000070790000}"/>
    <cellStyle name="Input 5 3 4 3 2" xfId="31094" xr:uid="{00000000-0005-0000-0000-000071790000}"/>
    <cellStyle name="Input 5 3 4 3 2 2" xfId="31095" xr:uid="{00000000-0005-0000-0000-000072790000}"/>
    <cellStyle name="Input 5 3 4 3 2 3" xfId="31096" xr:uid="{00000000-0005-0000-0000-000073790000}"/>
    <cellStyle name="Input 5 3 4 3 2 4" xfId="31097" xr:uid="{00000000-0005-0000-0000-000074790000}"/>
    <cellStyle name="Input 5 3 4 3 2 5" xfId="31098" xr:uid="{00000000-0005-0000-0000-000075790000}"/>
    <cellStyle name="Input 5 3 4 3 2 6" xfId="31099" xr:uid="{00000000-0005-0000-0000-000076790000}"/>
    <cellStyle name="Input 5 3 4 3 3" xfId="31100" xr:uid="{00000000-0005-0000-0000-000077790000}"/>
    <cellStyle name="Input 5 3 4 3 4" xfId="31101" xr:uid="{00000000-0005-0000-0000-000078790000}"/>
    <cellStyle name="Input 5 3 4 3 5" xfId="31102" xr:uid="{00000000-0005-0000-0000-000079790000}"/>
    <cellStyle name="Input 5 3 4 3 6" xfId="31103" xr:uid="{00000000-0005-0000-0000-00007A790000}"/>
    <cellStyle name="Input 5 3 4 4" xfId="31104" xr:uid="{00000000-0005-0000-0000-00007B790000}"/>
    <cellStyle name="Input 5 3 4 4 2" xfId="31105" xr:uid="{00000000-0005-0000-0000-00007C790000}"/>
    <cellStyle name="Input 5 3 4 4 3" xfId="31106" xr:uid="{00000000-0005-0000-0000-00007D790000}"/>
    <cellStyle name="Input 5 3 4 4 4" xfId="31107" xr:uid="{00000000-0005-0000-0000-00007E790000}"/>
    <cellStyle name="Input 5 3 4 4 5" xfId="31108" xr:uid="{00000000-0005-0000-0000-00007F790000}"/>
    <cellStyle name="Input 5 3 4 4 6" xfId="31109" xr:uid="{00000000-0005-0000-0000-000080790000}"/>
    <cellStyle name="Input 5 3 4 5" xfId="31110" xr:uid="{00000000-0005-0000-0000-000081790000}"/>
    <cellStyle name="Input 5 3 4 6" xfId="31111" xr:uid="{00000000-0005-0000-0000-000082790000}"/>
    <cellStyle name="Input 5 3 4 7" xfId="31112" xr:uid="{00000000-0005-0000-0000-000083790000}"/>
    <cellStyle name="Input 5 3 4 8" xfId="31113" xr:uid="{00000000-0005-0000-0000-000084790000}"/>
    <cellStyle name="Input 5 3 5" xfId="31114" xr:uid="{00000000-0005-0000-0000-000085790000}"/>
    <cellStyle name="Input 5 3 5 2" xfId="31115" xr:uid="{00000000-0005-0000-0000-000086790000}"/>
    <cellStyle name="Input 5 3 5 2 2" xfId="31116" xr:uid="{00000000-0005-0000-0000-000087790000}"/>
    <cellStyle name="Input 5 3 5 2 2 2" xfId="31117" xr:uid="{00000000-0005-0000-0000-000088790000}"/>
    <cellStyle name="Input 5 3 5 2 2 3" xfId="31118" xr:uid="{00000000-0005-0000-0000-000089790000}"/>
    <cellStyle name="Input 5 3 5 2 2 4" xfId="31119" xr:uid="{00000000-0005-0000-0000-00008A790000}"/>
    <cellStyle name="Input 5 3 5 2 2 5" xfId="31120" xr:uid="{00000000-0005-0000-0000-00008B790000}"/>
    <cellStyle name="Input 5 3 5 2 2 6" xfId="31121" xr:uid="{00000000-0005-0000-0000-00008C790000}"/>
    <cellStyle name="Input 5 3 5 2 3" xfId="31122" xr:uid="{00000000-0005-0000-0000-00008D790000}"/>
    <cellStyle name="Input 5 3 5 2 4" xfId="31123" xr:uid="{00000000-0005-0000-0000-00008E790000}"/>
    <cellStyle name="Input 5 3 5 2 5" xfId="31124" xr:uid="{00000000-0005-0000-0000-00008F790000}"/>
    <cellStyle name="Input 5 3 5 2 6" xfId="31125" xr:uid="{00000000-0005-0000-0000-000090790000}"/>
    <cellStyle name="Input 5 3 5 3" xfId="31126" xr:uid="{00000000-0005-0000-0000-000091790000}"/>
    <cellStyle name="Input 5 3 5 3 2" xfId="31127" xr:uid="{00000000-0005-0000-0000-000092790000}"/>
    <cellStyle name="Input 5 3 5 3 2 2" xfId="31128" xr:uid="{00000000-0005-0000-0000-000093790000}"/>
    <cellStyle name="Input 5 3 5 3 2 3" xfId="31129" xr:uid="{00000000-0005-0000-0000-000094790000}"/>
    <cellStyle name="Input 5 3 5 3 2 4" xfId="31130" xr:uid="{00000000-0005-0000-0000-000095790000}"/>
    <cellStyle name="Input 5 3 5 3 2 5" xfId="31131" xr:uid="{00000000-0005-0000-0000-000096790000}"/>
    <cellStyle name="Input 5 3 5 3 2 6" xfId="31132" xr:uid="{00000000-0005-0000-0000-000097790000}"/>
    <cellStyle name="Input 5 3 5 3 3" xfId="31133" xr:uid="{00000000-0005-0000-0000-000098790000}"/>
    <cellStyle name="Input 5 3 5 3 4" xfId="31134" xr:uid="{00000000-0005-0000-0000-000099790000}"/>
    <cellStyle name="Input 5 3 5 3 5" xfId="31135" xr:uid="{00000000-0005-0000-0000-00009A790000}"/>
    <cellStyle name="Input 5 3 5 3 6" xfId="31136" xr:uid="{00000000-0005-0000-0000-00009B790000}"/>
    <cellStyle name="Input 5 3 5 4" xfId="31137" xr:uid="{00000000-0005-0000-0000-00009C790000}"/>
    <cellStyle name="Input 5 3 5 4 2" xfId="31138" xr:uid="{00000000-0005-0000-0000-00009D790000}"/>
    <cellStyle name="Input 5 3 5 4 3" xfId="31139" xr:uid="{00000000-0005-0000-0000-00009E790000}"/>
    <cellStyle name="Input 5 3 5 4 4" xfId="31140" xr:uid="{00000000-0005-0000-0000-00009F790000}"/>
    <cellStyle name="Input 5 3 5 4 5" xfId="31141" xr:uid="{00000000-0005-0000-0000-0000A0790000}"/>
    <cellStyle name="Input 5 3 5 4 6" xfId="31142" xr:uid="{00000000-0005-0000-0000-0000A1790000}"/>
    <cellStyle name="Input 5 3 5 5" xfId="31143" xr:uid="{00000000-0005-0000-0000-0000A2790000}"/>
    <cellStyle name="Input 5 3 5 6" xfId="31144" xr:uid="{00000000-0005-0000-0000-0000A3790000}"/>
    <cellStyle name="Input 5 3 5 7" xfId="31145" xr:uid="{00000000-0005-0000-0000-0000A4790000}"/>
    <cellStyle name="Input 5 3 5 8" xfId="31146" xr:uid="{00000000-0005-0000-0000-0000A5790000}"/>
    <cellStyle name="Input 5 3 6" xfId="31147" xr:uid="{00000000-0005-0000-0000-0000A6790000}"/>
    <cellStyle name="Input 5 3 6 2" xfId="31148" xr:uid="{00000000-0005-0000-0000-0000A7790000}"/>
    <cellStyle name="Input 5 3 6 2 2" xfId="31149" xr:uid="{00000000-0005-0000-0000-0000A8790000}"/>
    <cellStyle name="Input 5 3 6 2 2 2" xfId="31150" xr:uid="{00000000-0005-0000-0000-0000A9790000}"/>
    <cellStyle name="Input 5 3 6 2 2 3" xfId="31151" xr:uid="{00000000-0005-0000-0000-0000AA790000}"/>
    <cellStyle name="Input 5 3 6 2 2 4" xfId="31152" xr:uid="{00000000-0005-0000-0000-0000AB790000}"/>
    <cellStyle name="Input 5 3 6 2 2 5" xfId="31153" xr:uid="{00000000-0005-0000-0000-0000AC790000}"/>
    <cellStyle name="Input 5 3 6 2 2 6" xfId="31154" xr:uid="{00000000-0005-0000-0000-0000AD790000}"/>
    <cellStyle name="Input 5 3 6 2 3" xfId="31155" xr:uid="{00000000-0005-0000-0000-0000AE790000}"/>
    <cellStyle name="Input 5 3 6 2 4" xfId="31156" xr:uid="{00000000-0005-0000-0000-0000AF790000}"/>
    <cellStyle name="Input 5 3 6 2 5" xfId="31157" xr:uid="{00000000-0005-0000-0000-0000B0790000}"/>
    <cellStyle name="Input 5 3 6 2 6" xfId="31158" xr:uid="{00000000-0005-0000-0000-0000B1790000}"/>
    <cellStyle name="Input 5 3 6 3" xfId="31159" xr:uid="{00000000-0005-0000-0000-0000B2790000}"/>
    <cellStyle name="Input 5 3 6 3 2" xfId="31160" xr:uid="{00000000-0005-0000-0000-0000B3790000}"/>
    <cellStyle name="Input 5 3 6 3 2 2" xfId="31161" xr:uid="{00000000-0005-0000-0000-0000B4790000}"/>
    <cellStyle name="Input 5 3 6 3 2 3" xfId="31162" xr:uid="{00000000-0005-0000-0000-0000B5790000}"/>
    <cellStyle name="Input 5 3 6 3 2 4" xfId="31163" xr:uid="{00000000-0005-0000-0000-0000B6790000}"/>
    <cellStyle name="Input 5 3 6 3 2 5" xfId="31164" xr:uid="{00000000-0005-0000-0000-0000B7790000}"/>
    <cellStyle name="Input 5 3 6 3 2 6" xfId="31165" xr:uid="{00000000-0005-0000-0000-0000B8790000}"/>
    <cellStyle name="Input 5 3 6 3 3" xfId="31166" xr:uid="{00000000-0005-0000-0000-0000B9790000}"/>
    <cellStyle name="Input 5 3 6 3 4" xfId="31167" xr:uid="{00000000-0005-0000-0000-0000BA790000}"/>
    <cellStyle name="Input 5 3 6 3 5" xfId="31168" xr:uid="{00000000-0005-0000-0000-0000BB790000}"/>
    <cellStyle name="Input 5 3 6 3 6" xfId="31169" xr:uid="{00000000-0005-0000-0000-0000BC790000}"/>
    <cellStyle name="Input 5 3 6 4" xfId="31170" xr:uid="{00000000-0005-0000-0000-0000BD790000}"/>
    <cellStyle name="Input 5 3 6 4 2" xfId="31171" xr:uid="{00000000-0005-0000-0000-0000BE790000}"/>
    <cellStyle name="Input 5 3 6 4 3" xfId="31172" xr:uid="{00000000-0005-0000-0000-0000BF790000}"/>
    <cellStyle name="Input 5 3 6 4 4" xfId="31173" xr:uid="{00000000-0005-0000-0000-0000C0790000}"/>
    <cellStyle name="Input 5 3 6 4 5" xfId="31174" xr:uid="{00000000-0005-0000-0000-0000C1790000}"/>
    <cellStyle name="Input 5 3 6 4 6" xfId="31175" xr:uid="{00000000-0005-0000-0000-0000C2790000}"/>
    <cellStyle name="Input 5 3 6 5" xfId="31176" xr:uid="{00000000-0005-0000-0000-0000C3790000}"/>
    <cellStyle name="Input 5 3 6 6" xfId="31177" xr:uid="{00000000-0005-0000-0000-0000C4790000}"/>
    <cellStyle name="Input 5 3 6 7" xfId="31178" xr:uid="{00000000-0005-0000-0000-0000C5790000}"/>
    <cellStyle name="Input 5 3 6 8" xfId="31179" xr:uid="{00000000-0005-0000-0000-0000C6790000}"/>
    <cellStyle name="Input 5 3 7" xfId="31180" xr:uid="{00000000-0005-0000-0000-0000C7790000}"/>
    <cellStyle name="Input 5 3 7 2" xfId="31181" xr:uid="{00000000-0005-0000-0000-0000C8790000}"/>
    <cellStyle name="Input 5 3 7 2 2" xfId="31182" xr:uid="{00000000-0005-0000-0000-0000C9790000}"/>
    <cellStyle name="Input 5 3 7 2 3" xfId="31183" xr:uid="{00000000-0005-0000-0000-0000CA790000}"/>
    <cellStyle name="Input 5 3 7 2 4" xfId="31184" xr:uid="{00000000-0005-0000-0000-0000CB790000}"/>
    <cellStyle name="Input 5 3 7 2 5" xfId="31185" xr:uid="{00000000-0005-0000-0000-0000CC790000}"/>
    <cellStyle name="Input 5 3 7 2 6" xfId="31186" xr:uid="{00000000-0005-0000-0000-0000CD790000}"/>
    <cellStyle name="Input 5 3 7 3" xfId="31187" xr:uid="{00000000-0005-0000-0000-0000CE790000}"/>
    <cellStyle name="Input 5 3 7 4" xfId="31188" xr:uid="{00000000-0005-0000-0000-0000CF790000}"/>
    <cellStyle name="Input 5 3 7 5" xfId="31189" xr:uid="{00000000-0005-0000-0000-0000D0790000}"/>
    <cellStyle name="Input 5 3 7 6" xfId="31190" xr:uid="{00000000-0005-0000-0000-0000D1790000}"/>
    <cellStyle name="Input 5 3 8" xfId="31191" xr:uid="{00000000-0005-0000-0000-0000D2790000}"/>
    <cellStyle name="Input 5 3 8 2" xfId="31192" xr:uid="{00000000-0005-0000-0000-0000D3790000}"/>
    <cellStyle name="Input 5 3 8 2 2" xfId="31193" xr:uid="{00000000-0005-0000-0000-0000D4790000}"/>
    <cellStyle name="Input 5 3 8 2 3" xfId="31194" xr:uid="{00000000-0005-0000-0000-0000D5790000}"/>
    <cellStyle name="Input 5 3 8 2 4" xfId="31195" xr:uid="{00000000-0005-0000-0000-0000D6790000}"/>
    <cellStyle name="Input 5 3 8 2 5" xfId="31196" xr:uid="{00000000-0005-0000-0000-0000D7790000}"/>
    <cellStyle name="Input 5 3 8 2 6" xfId="31197" xr:uid="{00000000-0005-0000-0000-0000D8790000}"/>
    <cellStyle name="Input 5 3 8 3" xfId="31198" xr:uid="{00000000-0005-0000-0000-0000D9790000}"/>
    <cellStyle name="Input 5 3 8 4" xfId="31199" xr:uid="{00000000-0005-0000-0000-0000DA790000}"/>
    <cellStyle name="Input 5 3 8 5" xfId="31200" xr:uid="{00000000-0005-0000-0000-0000DB790000}"/>
    <cellStyle name="Input 5 3 8 6" xfId="31201" xr:uid="{00000000-0005-0000-0000-0000DC790000}"/>
    <cellStyle name="Input 5 3 9" xfId="31202" xr:uid="{00000000-0005-0000-0000-0000DD790000}"/>
    <cellStyle name="Input 5 3 9 2" xfId="31203" xr:uid="{00000000-0005-0000-0000-0000DE790000}"/>
    <cellStyle name="Input 5 3 9 3" xfId="31204" xr:uid="{00000000-0005-0000-0000-0000DF790000}"/>
    <cellStyle name="Input 5 3 9 4" xfId="31205" xr:uid="{00000000-0005-0000-0000-0000E0790000}"/>
    <cellStyle name="Input 5 3 9 5" xfId="31206" xr:uid="{00000000-0005-0000-0000-0000E1790000}"/>
    <cellStyle name="Input 5 3 9 6" xfId="31207" xr:uid="{00000000-0005-0000-0000-0000E2790000}"/>
    <cellStyle name="Input 6" xfId="31208" xr:uid="{00000000-0005-0000-0000-0000E3790000}"/>
    <cellStyle name="Input 6 2" xfId="31209" xr:uid="{00000000-0005-0000-0000-0000E4790000}"/>
    <cellStyle name="Input 6 2 10" xfId="31210" xr:uid="{00000000-0005-0000-0000-0000E5790000}"/>
    <cellStyle name="Input 6 2 11" xfId="31211" xr:uid="{00000000-0005-0000-0000-0000E6790000}"/>
    <cellStyle name="Input 6 2 12" xfId="31212" xr:uid="{00000000-0005-0000-0000-0000E7790000}"/>
    <cellStyle name="Input 6 2 13" xfId="31213" xr:uid="{00000000-0005-0000-0000-0000E8790000}"/>
    <cellStyle name="Input 6 2 2" xfId="31214" xr:uid="{00000000-0005-0000-0000-0000E9790000}"/>
    <cellStyle name="Input 6 2 2 10" xfId="31215" xr:uid="{00000000-0005-0000-0000-0000EA790000}"/>
    <cellStyle name="Input 6 2 2 10 2" xfId="31216" xr:uid="{00000000-0005-0000-0000-0000EB790000}"/>
    <cellStyle name="Input 6 2 2 10 3" xfId="31217" xr:uid="{00000000-0005-0000-0000-0000EC790000}"/>
    <cellStyle name="Input 6 2 2 10 4" xfId="31218" xr:uid="{00000000-0005-0000-0000-0000ED790000}"/>
    <cellStyle name="Input 6 2 2 10 5" xfId="31219" xr:uid="{00000000-0005-0000-0000-0000EE790000}"/>
    <cellStyle name="Input 6 2 2 10 6" xfId="31220" xr:uid="{00000000-0005-0000-0000-0000EF790000}"/>
    <cellStyle name="Input 6 2 2 11" xfId="31221" xr:uid="{00000000-0005-0000-0000-0000F0790000}"/>
    <cellStyle name="Input 6 2 2 12" xfId="31222" xr:uid="{00000000-0005-0000-0000-0000F1790000}"/>
    <cellStyle name="Input 6 2 2 13" xfId="31223" xr:uid="{00000000-0005-0000-0000-0000F2790000}"/>
    <cellStyle name="Input 6 2 2 14" xfId="31224" xr:uid="{00000000-0005-0000-0000-0000F3790000}"/>
    <cellStyle name="Input 6 2 2 2" xfId="31225" xr:uid="{00000000-0005-0000-0000-0000F4790000}"/>
    <cellStyle name="Input 6 2 2 2 10" xfId="31226" xr:uid="{00000000-0005-0000-0000-0000F5790000}"/>
    <cellStyle name="Input 6 2 2 2 11" xfId="31227" xr:uid="{00000000-0005-0000-0000-0000F6790000}"/>
    <cellStyle name="Input 6 2 2 2 12" xfId="31228" xr:uid="{00000000-0005-0000-0000-0000F7790000}"/>
    <cellStyle name="Input 6 2 2 2 13" xfId="31229" xr:uid="{00000000-0005-0000-0000-0000F8790000}"/>
    <cellStyle name="Input 6 2 2 2 2" xfId="31230" xr:uid="{00000000-0005-0000-0000-0000F9790000}"/>
    <cellStyle name="Input 6 2 2 2 2 2" xfId="31231" xr:uid="{00000000-0005-0000-0000-0000FA790000}"/>
    <cellStyle name="Input 6 2 2 2 2 2 2" xfId="31232" xr:uid="{00000000-0005-0000-0000-0000FB790000}"/>
    <cellStyle name="Input 6 2 2 2 2 2 2 2" xfId="31233" xr:uid="{00000000-0005-0000-0000-0000FC790000}"/>
    <cellStyle name="Input 6 2 2 2 2 2 2 3" xfId="31234" xr:uid="{00000000-0005-0000-0000-0000FD790000}"/>
    <cellStyle name="Input 6 2 2 2 2 2 2 4" xfId="31235" xr:uid="{00000000-0005-0000-0000-0000FE790000}"/>
    <cellStyle name="Input 6 2 2 2 2 2 2 5" xfId="31236" xr:uid="{00000000-0005-0000-0000-0000FF790000}"/>
    <cellStyle name="Input 6 2 2 2 2 2 2 6" xfId="31237" xr:uid="{00000000-0005-0000-0000-0000007A0000}"/>
    <cellStyle name="Input 6 2 2 2 2 2 3" xfId="31238" xr:uid="{00000000-0005-0000-0000-0000017A0000}"/>
    <cellStyle name="Input 6 2 2 2 2 2 4" xfId="31239" xr:uid="{00000000-0005-0000-0000-0000027A0000}"/>
    <cellStyle name="Input 6 2 2 2 2 2 5" xfId="31240" xr:uid="{00000000-0005-0000-0000-0000037A0000}"/>
    <cellStyle name="Input 6 2 2 2 2 2 6" xfId="31241" xr:uid="{00000000-0005-0000-0000-0000047A0000}"/>
    <cellStyle name="Input 6 2 2 2 2 3" xfId="31242" xr:uid="{00000000-0005-0000-0000-0000057A0000}"/>
    <cellStyle name="Input 6 2 2 2 2 3 2" xfId="31243" xr:uid="{00000000-0005-0000-0000-0000067A0000}"/>
    <cellStyle name="Input 6 2 2 2 2 3 2 2" xfId="31244" xr:uid="{00000000-0005-0000-0000-0000077A0000}"/>
    <cellStyle name="Input 6 2 2 2 2 3 2 3" xfId="31245" xr:uid="{00000000-0005-0000-0000-0000087A0000}"/>
    <cellStyle name="Input 6 2 2 2 2 3 2 4" xfId="31246" xr:uid="{00000000-0005-0000-0000-0000097A0000}"/>
    <cellStyle name="Input 6 2 2 2 2 3 2 5" xfId="31247" xr:uid="{00000000-0005-0000-0000-00000A7A0000}"/>
    <cellStyle name="Input 6 2 2 2 2 3 2 6" xfId="31248" xr:uid="{00000000-0005-0000-0000-00000B7A0000}"/>
    <cellStyle name="Input 6 2 2 2 2 3 3" xfId="31249" xr:uid="{00000000-0005-0000-0000-00000C7A0000}"/>
    <cellStyle name="Input 6 2 2 2 2 3 4" xfId="31250" xr:uid="{00000000-0005-0000-0000-00000D7A0000}"/>
    <cellStyle name="Input 6 2 2 2 2 3 5" xfId="31251" xr:uid="{00000000-0005-0000-0000-00000E7A0000}"/>
    <cellStyle name="Input 6 2 2 2 2 3 6" xfId="31252" xr:uid="{00000000-0005-0000-0000-00000F7A0000}"/>
    <cellStyle name="Input 6 2 2 2 2 4" xfId="31253" xr:uid="{00000000-0005-0000-0000-0000107A0000}"/>
    <cellStyle name="Input 6 2 2 2 2 4 2" xfId="31254" xr:uid="{00000000-0005-0000-0000-0000117A0000}"/>
    <cellStyle name="Input 6 2 2 2 2 4 3" xfId="31255" xr:uid="{00000000-0005-0000-0000-0000127A0000}"/>
    <cellStyle name="Input 6 2 2 2 2 4 4" xfId="31256" xr:uid="{00000000-0005-0000-0000-0000137A0000}"/>
    <cellStyle name="Input 6 2 2 2 2 4 5" xfId="31257" xr:uid="{00000000-0005-0000-0000-0000147A0000}"/>
    <cellStyle name="Input 6 2 2 2 2 4 6" xfId="31258" xr:uid="{00000000-0005-0000-0000-0000157A0000}"/>
    <cellStyle name="Input 6 2 2 2 2 5" xfId="31259" xr:uid="{00000000-0005-0000-0000-0000167A0000}"/>
    <cellStyle name="Input 6 2 2 2 2 6" xfId="31260" xr:uid="{00000000-0005-0000-0000-0000177A0000}"/>
    <cellStyle name="Input 6 2 2 2 2 7" xfId="31261" xr:uid="{00000000-0005-0000-0000-0000187A0000}"/>
    <cellStyle name="Input 6 2 2 2 2 8" xfId="31262" xr:uid="{00000000-0005-0000-0000-0000197A0000}"/>
    <cellStyle name="Input 6 2 2 2 3" xfId="31263" xr:uid="{00000000-0005-0000-0000-00001A7A0000}"/>
    <cellStyle name="Input 6 2 2 2 3 2" xfId="31264" xr:uid="{00000000-0005-0000-0000-00001B7A0000}"/>
    <cellStyle name="Input 6 2 2 2 3 2 2" xfId="31265" xr:uid="{00000000-0005-0000-0000-00001C7A0000}"/>
    <cellStyle name="Input 6 2 2 2 3 2 2 2" xfId="31266" xr:uid="{00000000-0005-0000-0000-00001D7A0000}"/>
    <cellStyle name="Input 6 2 2 2 3 2 2 3" xfId="31267" xr:uid="{00000000-0005-0000-0000-00001E7A0000}"/>
    <cellStyle name="Input 6 2 2 2 3 2 2 4" xfId="31268" xr:uid="{00000000-0005-0000-0000-00001F7A0000}"/>
    <cellStyle name="Input 6 2 2 2 3 2 2 5" xfId="31269" xr:uid="{00000000-0005-0000-0000-0000207A0000}"/>
    <cellStyle name="Input 6 2 2 2 3 2 2 6" xfId="31270" xr:uid="{00000000-0005-0000-0000-0000217A0000}"/>
    <cellStyle name="Input 6 2 2 2 3 2 3" xfId="31271" xr:uid="{00000000-0005-0000-0000-0000227A0000}"/>
    <cellStyle name="Input 6 2 2 2 3 2 4" xfId="31272" xr:uid="{00000000-0005-0000-0000-0000237A0000}"/>
    <cellStyle name="Input 6 2 2 2 3 2 5" xfId="31273" xr:uid="{00000000-0005-0000-0000-0000247A0000}"/>
    <cellStyle name="Input 6 2 2 2 3 2 6" xfId="31274" xr:uid="{00000000-0005-0000-0000-0000257A0000}"/>
    <cellStyle name="Input 6 2 2 2 3 3" xfId="31275" xr:uid="{00000000-0005-0000-0000-0000267A0000}"/>
    <cellStyle name="Input 6 2 2 2 3 3 2" xfId="31276" xr:uid="{00000000-0005-0000-0000-0000277A0000}"/>
    <cellStyle name="Input 6 2 2 2 3 3 2 2" xfId="31277" xr:uid="{00000000-0005-0000-0000-0000287A0000}"/>
    <cellStyle name="Input 6 2 2 2 3 3 2 3" xfId="31278" xr:uid="{00000000-0005-0000-0000-0000297A0000}"/>
    <cellStyle name="Input 6 2 2 2 3 3 2 4" xfId="31279" xr:uid="{00000000-0005-0000-0000-00002A7A0000}"/>
    <cellStyle name="Input 6 2 2 2 3 3 2 5" xfId="31280" xr:uid="{00000000-0005-0000-0000-00002B7A0000}"/>
    <cellStyle name="Input 6 2 2 2 3 3 2 6" xfId="31281" xr:uid="{00000000-0005-0000-0000-00002C7A0000}"/>
    <cellStyle name="Input 6 2 2 2 3 3 3" xfId="31282" xr:uid="{00000000-0005-0000-0000-00002D7A0000}"/>
    <cellStyle name="Input 6 2 2 2 3 3 4" xfId="31283" xr:uid="{00000000-0005-0000-0000-00002E7A0000}"/>
    <cellStyle name="Input 6 2 2 2 3 3 5" xfId="31284" xr:uid="{00000000-0005-0000-0000-00002F7A0000}"/>
    <cellStyle name="Input 6 2 2 2 3 3 6" xfId="31285" xr:uid="{00000000-0005-0000-0000-0000307A0000}"/>
    <cellStyle name="Input 6 2 2 2 3 4" xfId="31286" xr:uid="{00000000-0005-0000-0000-0000317A0000}"/>
    <cellStyle name="Input 6 2 2 2 3 4 2" xfId="31287" xr:uid="{00000000-0005-0000-0000-0000327A0000}"/>
    <cellStyle name="Input 6 2 2 2 3 4 3" xfId="31288" xr:uid="{00000000-0005-0000-0000-0000337A0000}"/>
    <cellStyle name="Input 6 2 2 2 3 4 4" xfId="31289" xr:uid="{00000000-0005-0000-0000-0000347A0000}"/>
    <cellStyle name="Input 6 2 2 2 3 4 5" xfId="31290" xr:uid="{00000000-0005-0000-0000-0000357A0000}"/>
    <cellStyle name="Input 6 2 2 2 3 4 6" xfId="31291" xr:uid="{00000000-0005-0000-0000-0000367A0000}"/>
    <cellStyle name="Input 6 2 2 2 3 5" xfId="31292" xr:uid="{00000000-0005-0000-0000-0000377A0000}"/>
    <cellStyle name="Input 6 2 2 2 3 6" xfId="31293" xr:uid="{00000000-0005-0000-0000-0000387A0000}"/>
    <cellStyle name="Input 6 2 2 2 3 7" xfId="31294" xr:uid="{00000000-0005-0000-0000-0000397A0000}"/>
    <cellStyle name="Input 6 2 2 2 3 8" xfId="31295" xr:uid="{00000000-0005-0000-0000-00003A7A0000}"/>
    <cellStyle name="Input 6 2 2 2 4" xfId="31296" xr:uid="{00000000-0005-0000-0000-00003B7A0000}"/>
    <cellStyle name="Input 6 2 2 2 4 2" xfId="31297" xr:uid="{00000000-0005-0000-0000-00003C7A0000}"/>
    <cellStyle name="Input 6 2 2 2 4 2 2" xfId="31298" xr:uid="{00000000-0005-0000-0000-00003D7A0000}"/>
    <cellStyle name="Input 6 2 2 2 4 2 2 2" xfId="31299" xr:uid="{00000000-0005-0000-0000-00003E7A0000}"/>
    <cellStyle name="Input 6 2 2 2 4 2 2 3" xfId="31300" xr:uid="{00000000-0005-0000-0000-00003F7A0000}"/>
    <cellStyle name="Input 6 2 2 2 4 2 2 4" xfId="31301" xr:uid="{00000000-0005-0000-0000-0000407A0000}"/>
    <cellStyle name="Input 6 2 2 2 4 2 2 5" xfId="31302" xr:uid="{00000000-0005-0000-0000-0000417A0000}"/>
    <cellStyle name="Input 6 2 2 2 4 2 2 6" xfId="31303" xr:uid="{00000000-0005-0000-0000-0000427A0000}"/>
    <cellStyle name="Input 6 2 2 2 4 2 3" xfId="31304" xr:uid="{00000000-0005-0000-0000-0000437A0000}"/>
    <cellStyle name="Input 6 2 2 2 4 2 4" xfId="31305" xr:uid="{00000000-0005-0000-0000-0000447A0000}"/>
    <cellStyle name="Input 6 2 2 2 4 2 5" xfId="31306" xr:uid="{00000000-0005-0000-0000-0000457A0000}"/>
    <cellStyle name="Input 6 2 2 2 4 2 6" xfId="31307" xr:uid="{00000000-0005-0000-0000-0000467A0000}"/>
    <cellStyle name="Input 6 2 2 2 4 3" xfId="31308" xr:uid="{00000000-0005-0000-0000-0000477A0000}"/>
    <cellStyle name="Input 6 2 2 2 4 3 2" xfId="31309" xr:uid="{00000000-0005-0000-0000-0000487A0000}"/>
    <cellStyle name="Input 6 2 2 2 4 3 2 2" xfId="31310" xr:uid="{00000000-0005-0000-0000-0000497A0000}"/>
    <cellStyle name="Input 6 2 2 2 4 3 2 3" xfId="31311" xr:uid="{00000000-0005-0000-0000-00004A7A0000}"/>
    <cellStyle name="Input 6 2 2 2 4 3 2 4" xfId="31312" xr:uid="{00000000-0005-0000-0000-00004B7A0000}"/>
    <cellStyle name="Input 6 2 2 2 4 3 2 5" xfId="31313" xr:uid="{00000000-0005-0000-0000-00004C7A0000}"/>
    <cellStyle name="Input 6 2 2 2 4 3 2 6" xfId="31314" xr:uid="{00000000-0005-0000-0000-00004D7A0000}"/>
    <cellStyle name="Input 6 2 2 2 4 3 3" xfId="31315" xr:uid="{00000000-0005-0000-0000-00004E7A0000}"/>
    <cellStyle name="Input 6 2 2 2 4 3 4" xfId="31316" xr:uid="{00000000-0005-0000-0000-00004F7A0000}"/>
    <cellStyle name="Input 6 2 2 2 4 3 5" xfId="31317" xr:uid="{00000000-0005-0000-0000-0000507A0000}"/>
    <cellStyle name="Input 6 2 2 2 4 3 6" xfId="31318" xr:uid="{00000000-0005-0000-0000-0000517A0000}"/>
    <cellStyle name="Input 6 2 2 2 4 4" xfId="31319" xr:uid="{00000000-0005-0000-0000-0000527A0000}"/>
    <cellStyle name="Input 6 2 2 2 4 4 2" xfId="31320" xr:uid="{00000000-0005-0000-0000-0000537A0000}"/>
    <cellStyle name="Input 6 2 2 2 4 4 3" xfId="31321" xr:uid="{00000000-0005-0000-0000-0000547A0000}"/>
    <cellStyle name="Input 6 2 2 2 4 4 4" xfId="31322" xr:uid="{00000000-0005-0000-0000-0000557A0000}"/>
    <cellStyle name="Input 6 2 2 2 4 4 5" xfId="31323" xr:uid="{00000000-0005-0000-0000-0000567A0000}"/>
    <cellStyle name="Input 6 2 2 2 4 4 6" xfId="31324" xr:uid="{00000000-0005-0000-0000-0000577A0000}"/>
    <cellStyle name="Input 6 2 2 2 4 5" xfId="31325" xr:uid="{00000000-0005-0000-0000-0000587A0000}"/>
    <cellStyle name="Input 6 2 2 2 4 6" xfId="31326" xr:uid="{00000000-0005-0000-0000-0000597A0000}"/>
    <cellStyle name="Input 6 2 2 2 4 7" xfId="31327" xr:uid="{00000000-0005-0000-0000-00005A7A0000}"/>
    <cellStyle name="Input 6 2 2 2 4 8" xfId="31328" xr:uid="{00000000-0005-0000-0000-00005B7A0000}"/>
    <cellStyle name="Input 6 2 2 2 5" xfId="31329" xr:uid="{00000000-0005-0000-0000-00005C7A0000}"/>
    <cellStyle name="Input 6 2 2 2 5 2" xfId="31330" xr:uid="{00000000-0005-0000-0000-00005D7A0000}"/>
    <cellStyle name="Input 6 2 2 2 5 2 2" xfId="31331" xr:uid="{00000000-0005-0000-0000-00005E7A0000}"/>
    <cellStyle name="Input 6 2 2 2 5 2 2 2" xfId="31332" xr:uid="{00000000-0005-0000-0000-00005F7A0000}"/>
    <cellStyle name="Input 6 2 2 2 5 2 2 3" xfId="31333" xr:uid="{00000000-0005-0000-0000-0000607A0000}"/>
    <cellStyle name="Input 6 2 2 2 5 2 2 4" xfId="31334" xr:uid="{00000000-0005-0000-0000-0000617A0000}"/>
    <cellStyle name="Input 6 2 2 2 5 2 2 5" xfId="31335" xr:uid="{00000000-0005-0000-0000-0000627A0000}"/>
    <cellStyle name="Input 6 2 2 2 5 2 2 6" xfId="31336" xr:uid="{00000000-0005-0000-0000-0000637A0000}"/>
    <cellStyle name="Input 6 2 2 2 5 2 3" xfId="31337" xr:uid="{00000000-0005-0000-0000-0000647A0000}"/>
    <cellStyle name="Input 6 2 2 2 5 2 4" xfId="31338" xr:uid="{00000000-0005-0000-0000-0000657A0000}"/>
    <cellStyle name="Input 6 2 2 2 5 2 5" xfId="31339" xr:uid="{00000000-0005-0000-0000-0000667A0000}"/>
    <cellStyle name="Input 6 2 2 2 5 2 6" xfId="31340" xr:uid="{00000000-0005-0000-0000-0000677A0000}"/>
    <cellStyle name="Input 6 2 2 2 5 3" xfId="31341" xr:uid="{00000000-0005-0000-0000-0000687A0000}"/>
    <cellStyle name="Input 6 2 2 2 5 3 2" xfId="31342" xr:uid="{00000000-0005-0000-0000-0000697A0000}"/>
    <cellStyle name="Input 6 2 2 2 5 3 2 2" xfId="31343" xr:uid="{00000000-0005-0000-0000-00006A7A0000}"/>
    <cellStyle name="Input 6 2 2 2 5 3 2 3" xfId="31344" xr:uid="{00000000-0005-0000-0000-00006B7A0000}"/>
    <cellStyle name="Input 6 2 2 2 5 3 2 4" xfId="31345" xr:uid="{00000000-0005-0000-0000-00006C7A0000}"/>
    <cellStyle name="Input 6 2 2 2 5 3 2 5" xfId="31346" xr:uid="{00000000-0005-0000-0000-00006D7A0000}"/>
    <cellStyle name="Input 6 2 2 2 5 3 2 6" xfId="31347" xr:uid="{00000000-0005-0000-0000-00006E7A0000}"/>
    <cellStyle name="Input 6 2 2 2 5 3 3" xfId="31348" xr:uid="{00000000-0005-0000-0000-00006F7A0000}"/>
    <cellStyle name="Input 6 2 2 2 5 3 4" xfId="31349" xr:uid="{00000000-0005-0000-0000-0000707A0000}"/>
    <cellStyle name="Input 6 2 2 2 5 3 5" xfId="31350" xr:uid="{00000000-0005-0000-0000-0000717A0000}"/>
    <cellStyle name="Input 6 2 2 2 5 3 6" xfId="31351" xr:uid="{00000000-0005-0000-0000-0000727A0000}"/>
    <cellStyle name="Input 6 2 2 2 5 4" xfId="31352" xr:uid="{00000000-0005-0000-0000-0000737A0000}"/>
    <cellStyle name="Input 6 2 2 2 5 4 2" xfId="31353" xr:uid="{00000000-0005-0000-0000-0000747A0000}"/>
    <cellStyle name="Input 6 2 2 2 5 4 3" xfId="31354" xr:uid="{00000000-0005-0000-0000-0000757A0000}"/>
    <cellStyle name="Input 6 2 2 2 5 4 4" xfId="31355" xr:uid="{00000000-0005-0000-0000-0000767A0000}"/>
    <cellStyle name="Input 6 2 2 2 5 4 5" xfId="31356" xr:uid="{00000000-0005-0000-0000-0000777A0000}"/>
    <cellStyle name="Input 6 2 2 2 5 4 6" xfId="31357" xr:uid="{00000000-0005-0000-0000-0000787A0000}"/>
    <cellStyle name="Input 6 2 2 2 5 5" xfId="31358" xr:uid="{00000000-0005-0000-0000-0000797A0000}"/>
    <cellStyle name="Input 6 2 2 2 5 6" xfId="31359" xr:uid="{00000000-0005-0000-0000-00007A7A0000}"/>
    <cellStyle name="Input 6 2 2 2 5 7" xfId="31360" xr:uid="{00000000-0005-0000-0000-00007B7A0000}"/>
    <cellStyle name="Input 6 2 2 2 5 8" xfId="31361" xr:uid="{00000000-0005-0000-0000-00007C7A0000}"/>
    <cellStyle name="Input 6 2 2 2 6" xfId="31362" xr:uid="{00000000-0005-0000-0000-00007D7A0000}"/>
    <cellStyle name="Input 6 2 2 2 6 2" xfId="31363" xr:uid="{00000000-0005-0000-0000-00007E7A0000}"/>
    <cellStyle name="Input 6 2 2 2 6 2 2" xfId="31364" xr:uid="{00000000-0005-0000-0000-00007F7A0000}"/>
    <cellStyle name="Input 6 2 2 2 6 2 2 2" xfId="31365" xr:uid="{00000000-0005-0000-0000-0000807A0000}"/>
    <cellStyle name="Input 6 2 2 2 6 2 2 3" xfId="31366" xr:uid="{00000000-0005-0000-0000-0000817A0000}"/>
    <cellStyle name="Input 6 2 2 2 6 2 2 4" xfId="31367" xr:uid="{00000000-0005-0000-0000-0000827A0000}"/>
    <cellStyle name="Input 6 2 2 2 6 2 2 5" xfId="31368" xr:uid="{00000000-0005-0000-0000-0000837A0000}"/>
    <cellStyle name="Input 6 2 2 2 6 2 2 6" xfId="31369" xr:uid="{00000000-0005-0000-0000-0000847A0000}"/>
    <cellStyle name="Input 6 2 2 2 6 2 3" xfId="31370" xr:uid="{00000000-0005-0000-0000-0000857A0000}"/>
    <cellStyle name="Input 6 2 2 2 6 2 4" xfId="31371" xr:uid="{00000000-0005-0000-0000-0000867A0000}"/>
    <cellStyle name="Input 6 2 2 2 6 2 5" xfId="31372" xr:uid="{00000000-0005-0000-0000-0000877A0000}"/>
    <cellStyle name="Input 6 2 2 2 6 2 6" xfId="31373" xr:uid="{00000000-0005-0000-0000-0000887A0000}"/>
    <cellStyle name="Input 6 2 2 2 6 3" xfId="31374" xr:uid="{00000000-0005-0000-0000-0000897A0000}"/>
    <cellStyle name="Input 6 2 2 2 6 3 2" xfId="31375" xr:uid="{00000000-0005-0000-0000-00008A7A0000}"/>
    <cellStyle name="Input 6 2 2 2 6 3 2 2" xfId="31376" xr:uid="{00000000-0005-0000-0000-00008B7A0000}"/>
    <cellStyle name="Input 6 2 2 2 6 3 2 3" xfId="31377" xr:uid="{00000000-0005-0000-0000-00008C7A0000}"/>
    <cellStyle name="Input 6 2 2 2 6 3 2 4" xfId="31378" xr:uid="{00000000-0005-0000-0000-00008D7A0000}"/>
    <cellStyle name="Input 6 2 2 2 6 3 2 5" xfId="31379" xr:uid="{00000000-0005-0000-0000-00008E7A0000}"/>
    <cellStyle name="Input 6 2 2 2 6 3 2 6" xfId="31380" xr:uid="{00000000-0005-0000-0000-00008F7A0000}"/>
    <cellStyle name="Input 6 2 2 2 6 3 3" xfId="31381" xr:uid="{00000000-0005-0000-0000-0000907A0000}"/>
    <cellStyle name="Input 6 2 2 2 6 3 4" xfId="31382" xr:uid="{00000000-0005-0000-0000-0000917A0000}"/>
    <cellStyle name="Input 6 2 2 2 6 3 5" xfId="31383" xr:uid="{00000000-0005-0000-0000-0000927A0000}"/>
    <cellStyle name="Input 6 2 2 2 6 3 6" xfId="31384" xr:uid="{00000000-0005-0000-0000-0000937A0000}"/>
    <cellStyle name="Input 6 2 2 2 6 4" xfId="31385" xr:uid="{00000000-0005-0000-0000-0000947A0000}"/>
    <cellStyle name="Input 6 2 2 2 6 4 2" xfId="31386" xr:uid="{00000000-0005-0000-0000-0000957A0000}"/>
    <cellStyle name="Input 6 2 2 2 6 4 3" xfId="31387" xr:uid="{00000000-0005-0000-0000-0000967A0000}"/>
    <cellStyle name="Input 6 2 2 2 6 4 4" xfId="31388" xr:uid="{00000000-0005-0000-0000-0000977A0000}"/>
    <cellStyle name="Input 6 2 2 2 6 4 5" xfId="31389" xr:uid="{00000000-0005-0000-0000-0000987A0000}"/>
    <cellStyle name="Input 6 2 2 2 6 4 6" xfId="31390" xr:uid="{00000000-0005-0000-0000-0000997A0000}"/>
    <cellStyle name="Input 6 2 2 2 6 5" xfId="31391" xr:uid="{00000000-0005-0000-0000-00009A7A0000}"/>
    <cellStyle name="Input 6 2 2 2 6 6" xfId="31392" xr:uid="{00000000-0005-0000-0000-00009B7A0000}"/>
    <cellStyle name="Input 6 2 2 2 6 7" xfId="31393" xr:uid="{00000000-0005-0000-0000-00009C7A0000}"/>
    <cellStyle name="Input 6 2 2 2 6 8" xfId="31394" xr:uid="{00000000-0005-0000-0000-00009D7A0000}"/>
    <cellStyle name="Input 6 2 2 2 7" xfId="31395" xr:uid="{00000000-0005-0000-0000-00009E7A0000}"/>
    <cellStyle name="Input 6 2 2 2 7 2" xfId="31396" xr:uid="{00000000-0005-0000-0000-00009F7A0000}"/>
    <cellStyle name="Input 6 2 2 2 7 2 2" xfId="31397" xr:uid="{00000000-0005-0000-0000-0000A07A0000}"/>
    <cellStyle name="Input 6 2 2 2 7 2 3" xfId="31398" xr:uid="{00000000-0005-0000-0000-0000A17A0000}"/>
    <cellStyle name="Input 6 2 2 2 7 2 4" xfId="31399" xr:uid="{00000000-0005-0000-0000-0000A27A0000}"/>
    <cellStyle name="Input 6 2 2 2 7 2 5" xfId="31400" xr:uid="{00000000-0005-0000-0000-0000A37A0000}"/>
    <cellStyle name="Input 6 2 2 2 7 2 6" xfId="31401" xr:uid="{00000000-0005-0000-0000-0000A47A0000}"/>
    <cellStyle name="Input 6 2 2 2 7 3" xfId="31402" xr:uid="{00000000-0005-0000-0000-0000A57A0000}"/>
    <cellStyle name="Input 6 2 2 2 7 4" xfId="31403" xr:uid="{00000000-0005-0000-0000-0000A67A0000}"/>
    <cellStyle name="Input 6 2 2 2 7 5" xfId="31404" xr:uid="{00000000-0005-0000-0000-0000A77A0000}"/>
    <cellStyle name="Input 6 2 2 2 7 6" xfId="31405" xr:uid="{00000000-0005-0000-0000-0000A87A0000}"/>
    <cellStyle name="Input 6 2 2 2 8" xfId="31406" xr:uid="{00000000-0005-0000-0000-0000A97A0000}"/>
    <cellStyle name="Input 6 2 2 2 8 2" xfId="31407" xr:uid="{00000000-0005-0000-0000-0000AA7A0000}"/>
    <cellStyle name="Input 6 2 2 2 8 2 2" xfId="31408" xr:uid="{00000000-0005-0000-0000-0000AB7A0000}"/>
    <cellStyle name="Input 6 2 2 2 8 2 3" xfId="31409" xr:uid="{00000000-0005-0000-0000-0000AC7A0000}"/>
    <cellStyle name="Input 6 2 2 2 8 2 4" xfId="31410" xr:uid="{00000000-0005-0000-0000-0000AD7A0000}"/>
    <cellStyle name="Input 6 2 2 2 8 2 5" xfId="31411" xr:uid="{00000000-0005-0000-0000-0000AE7A0000}"/>
    <cellStyle name="Input 6 2 2 2 8 2 6" xfId="31412" xr:uid="{00000000-0005-0000-0000-0000AF7A0000}"/>
    <cellStyle name="Input 6 2 2 2 8 3" xfId="31413" xr:uid="{00000000-0005-0000-0000-0000B07A0000}"/>
    <cellStyle name="Input 6 2 2 2 8 4" xfId="31414" xr:uid="{00000000-0005-0000-0000-0000B17A0000}"/>
    <cellStyle name="Input 6 2 2 2 8 5" xfId="31415" xr:uid="{00000000-0005-0000-0000-0000B27A0000}"/>
    <cellStyle name="Input 6 2 2 2 8 6" xfId="31416" xr:uid="{00000000-0005-0000-0000-0000B37A0000}"/>
    <cellStyle name="Input 6 2 2 2 9" xfId="31417" xr:uid="{00000000-0005-0000-0000-0000B47A0000}"/>
    <cellStyle name="Input 6 2 2 2 9 2" xfId="31418" xr:uid="{00000000-0005-0000-0000-0000B57A0000}"/>
    <cellStyle name="Input 6 2 2 2 9 3" xfId="31419" xr:uid="{00000000-0005-0000-0000-0000B67A0000}"/>
    <cellStyle name="Input 6 2 2 2 9 4" xfId="31420" xr:uid="{00000000-0005-0000-0000-0000B77A0000}"/>
    <cellStyle name="Input 6 2 2 2 9 5" xfId="31421" xr:uid="{00000000-0005-0000-0000-0000B87A0000}"/>
    <cellStyle name="Input 6 2 2 2 9 6" xfId="31422" xr:uid="{00000000-0005-0000-0000-0000B97A0000}"/>
    <cellStyle name="Input 6 2 2 3" xfId="31423" xr:uid="{00000000-0005-0000-0000-0000BA7A0000}"/>
    <cellStyle name="Input 6 2 2 3 2" xfId="31424" xr:uid="{00000000-0005-0000-0000-0000BB7A0000}"/>
    <cellStyle name="Input 6 2 2 3 2 2" xfId="31425" xr:uid="{00000000-0005-0000-0000-0000BC7A0000}"/>
    <cellStyle name="Input 6 2 2 3 2 2 2" xfId="31426" xr:uid="{00000000-0005-0000-0000-0000BD7A0000}"/>
    <cellStyle name="Input 6 2 2 3 2 2 3" xfId="31427" xr:uid="{00000000-0005-0000-0000-0000BE7A0000}"/>
    <cellStyle name="Input 6 2 2 3 2 2 4" xfId="31428" xr:uid="{00000000-0005-0000-0000-0000BF7A0000}"/>
    <cellStyle name="Input 6 2 2 3 2 2 5" xfId="31429" xr:uid="{00000000-0005-0000-0000-0000C07A0000}"/>
    <cellStyle name="Input 6 2 2 3 2 2 6" xfId="31430" xr:uid="{00000000-0005-0000-0000-0000C17A0000}"/>
    <cellStyle name="Input 6 2 2 3 2 3" xfId="31431" xr:uid="{00000000-0005-0000-0000-0000C27A0000}"/>
    <cellStyle name="Input 6 2 2 3 2 4" xfId="31432" xr:uid="{00000000-0005-0000-0000-0000C37A0000}"/>
    <cellStyle name="Input 6 2 2 3 2 5" xfId="31433" xr:uid="{00000000-0005-0000-0000-0000C47A0000}"/>
    <cellStyle name="Input 6 2 2 3 2 6" xfId="31434" xr:uid="{00000000-0005-0000-0000-0000C57A0000}"/>
    <cellStyle name="Input 6 2 2 3 3" xfId="31435" xr:uid="{00000000-0005-0000-0000-0000C67A0000}"/>
    <cellStyle name="Input 6 2 2 3 3 2" xfId="31436" xr:uid="{00000000-0005-0000-0000-0000C77A0000}"/>
    <cellStyle name="Input 6 2 2 3 3 2 2" xfId="31437" xr:uid="{00000000-0005-0000-0000-0000C87A0000}"/>
    <cellStyle name="Input 6 2 2 3 3 2 3" xfId="31438" xr:uid="{00000000-0005-0000-0000-0000C97A0000}"/>
    <cellStyle name="Input 6 2 2 3 3 2 4" xfId="31439" xr:uid="{00000000-0005-0000-0000-0000CA7A0000}"/>
    <cellStyle name="Input 6 2 2 3 3 2 5" xfId="31440" xr:uid="{00000000-0005-0000-0000-0000CB7A0000}"/>
    <cellStyle name="Input 6 2 2 3 3 2 6" xfId="31441" xr:uid="{00000000-0005-0000-0000-0000CC7A0000}"/>
    <cellStyle name="Input 6 2 2 3 3 3" xfId="31442" xr:uid="{00000000-0005-0000-0000-0000CD7A0000}"/>
    <cellStyle name="Input 6 2 2 3 3 4" xfId="31443" xr:uid="{00000000-0005-0000-0000-0000CE7A0000}"/>
    <cellStyle name="Input 6 2 2 3 3 5" xfId="31444" xr:uid="{00000000-0005-0000-0000-0000CF7A0000}"/>
    <cellStyle name="Input 6 2 2 3 3 6" xfId="31445" xr:uid="{00000000-0005-0000-0000-0000D07A0000}"/>
    <cellStyle name="Input 6 2 2 3 4" xfId="31446" xr:uid="{00000000-0005-0000-0000-0000D17A0000}"/>
    <cellStyle name="Input 6 2 2 3 4 2" xfId="31447" xr:uid="{00000000-0005-0000-0000-0000D27A0000}"/>
    <cellStyle name="Input 6 2 2 3 4 3" xfId="31448" xr:uid="{00000000-0005-0000-0000-0000D37A0000}"/>
    <cellStyle name="Input 6 2 2 3 4 4" xfId="31449" xr:uid="{00000000-0005-0000-0000-0000D47A0000}"/>
    <cellStyle name="Input 6 2 2 3 4 5" xfId="31450" xr:uid="{00000000-0005-0000-0000-0000D57A0000}"/>
    <cellStyle name="Input 6 2 2 3 4 6" xfId="31451" xr:uid="{00000000-0005-0000-0000-0000D67A0000}"/>
    <cellStyle name="Input 6 2 2 3 5" xfId="31452" xr:uid="{00000000-0005-0000-0000-0000D77A0000}"/>
    <cellStyle name="Input 6 2 2 3 6" xfId="31453" xr:uid="{00000000-0005-0000-0000-0000D87A0000}"/>
    <cellStyle name="Input 6 2 2 3 7" xfId="31454" xr:uid="{00000000-0005-0000-0000-0000D97A0000}"/>
    <cellStyle name="Input 6 2 2 3 8" xfId="31455" xr:uid="{00000000-0005-0000-0000-0000DA7A0000}"/>
    <cellStyle name="Input 6 2 2 4" xfId="31456" xr:uid="{00000000-0005-0000-0000-0000DB7A0000}"/>
    <cellStyle name="Input 6 2 2 4 2" xfId="31457" xr:uid="{00000000-0005-0000-0000-0000DC7A0000}"/>
    <cellStyle name="Input 6 2 2 4 2 2" xfId="31458" xr:uid="{00000000-0005-0000-0000-0000DD7A0000}"/>
    <cellStyle name="Input 6 2 2 4 2 2 2" xfId="31459" xr:uid="{00000000-0005-0000-0000-0000DE7A0000}"/>
    <cellStyle name="Input 6 2 2 4 2 2 3" xfId="31460" xr:uid="{00000000-0005-0000-0000-0000DF7A0000}"/>
    <cellStyle name="Input 6 2 2 4 2 2 4" xfId="31461" xr:uid="{00000000-0005-0000-0000-0000E07A0000}"/>
    <cellStyle name="Input 6 2 2 4 2 2 5" xfId="31462" xr:uid="{00000000-0005-0000-0000-0000E17A0000}"/>
    <cellStyle name="Input 6 2 2 4 2 2 6" xfId="31463" xr:uid="{00000000-0005-0000-0000-0000E27A0000}"/>
    <cellStyle name="Input 6 2 2 4 2 3" xfId="31464" xr:uid="{00000000-0005-0000-0000-0000E37A0000}"/>
    <cellStyle name="Input 6 2 2 4 2 4" xfId="31465" xr:uid="{00000000-0005-0000-0000-0000E47A0000}"/>
    <cellStyle name="Input 6 2 2 4 2 5" xfId="31466" xr:uid="{00000000-0005-0000-0000-0000E57A0000}"/>
    <cellStyle name="Input 6 2 2 4 2 6" xfId="31467" xr:uid="{00000000-0005-0000-0000-0000E67A0000}"/>
    <cellStyle name="Input 6 2 2 4 3" xfId="31468" xr:uid="{00000000-0005-0000-0000-0000E77A0000}"/>
    <cellStyle name="Input 6 2 2 4 3 2" xfId="31469" xr:uid="{00000000-0005-0000-0000-0000E87A0000}"/>
    <cellStyle name="Input 6 2 2 4 3 2 2" xfId="31470" xr:uid="{00000000-0005-0000-0000-0000E97A0000}"/>
    <cellStyle name="Input 6 2 2 4 3 2 3" xfId="31471" xr:uid="{00000000-0005-0000-0000-0000EA7A0000}"/>
    <cellStyle name="Input 6 2 2 4 3 2 4" xfId="31472" xr:uid="{00000000-0005-0000-0000-0000EB7A0000}"/>
    <cellStyle name="Input 6 2 2 4 3 2 5" xfId="31473" xr:uid="{00000000-0005-0000-0000-0000EC7A0000}"/>
    <cellStyle name="Input 6 2 2 4 3 2 6" xfId="31474" xr:uid="{00000000-0005-0000-0000-0000ED7A0000}"/>
    <cellStyle name="Input 6 2 2 4 3 3" xfId="31475" xr:uid="{00000000-0005-0000-0000-0000EE7A0000}"/>
    <cellStyle name="Input 6 2 2 4 3 4" xfId="31476" xr:uid="{00000000-0005-0000-0000-0000EF7A0000}"/>
    <cellStyle name="Input 6 2 2 4 3 5" xfId="31477" xr:uid="{00000000-0005-0000-0000-0000F07A0000}"/>
    <cellStyle name="Input 6 2 2 4 3 6" xfId="31478" xr:uid="{00000000-0005-0000-0000-0000F17A0000}"/>
    <cellStyle name="Input 6 2 2 4 4" xfId="31479" xr:uid="{00000000-0005-0000-0000-0000F27A0000}"/>
    <cellStyle name="Input 6 2 2 4 4 2" xfId="31480" xr:uid="{00000000-0005-0000-0000-0000F37A0000}"/>
    <cellStyle name="Input 6 2 2 4 4 3" xfId="31481" xr:uid="{00000000-0005-0000-0000-0000F47A0000}"/>
    <cellStyle name="Input 6 2 2 4 4 4" xfId="31482" xr:uid="{00000000-0005-0000-0000-0000F57A0000}"/>
    <cellStyle name="Input 6 2 2 4 4 5" xfId="31483" xr:uid="{00000000-0005-0000-0000-0000F67A0000}"/>
    <cellStyle name="Input 6 2 2 4 4 6" xfId="31484" xr:uid="{00000000-0005-0000-0000-0000F77A0000}"/>
    <cellStyle name="Input 6 2 2 4 5" xfId="31485" xr:uid="{00000000-0005-0000-0000-0000F87A0000}"/>
    <cellStyle name="Input 6 2 2 4 6" xfId="31486" xr:uid="{00000000-0005-0000-0000-0000F97A0000}"/>
    <cellStyle name="Input 6 2 2 4 7" xfId="31487" xr:uid="{00000000-0005-0000-0000-0000FA7A0000}"/>
    <cellStyle name="Input 6 2 2 4 8" xfId="31488" xr:uid="{00000000-0005-0000-0000-0000FB7A0000}"/>
    <cellStyle name="Input 6 2 2 5" xfId="31489" xr:uid="{00000000-0005-0000-0000-0000FC7A0000}"/>
    <cellStyle name="Input 6 2 2 5 2" xfId="31490" xr:uid="{00000000-0005-0000-0000-0000FD7A0000}"/>
    <cellStyle name="Input 6 2 2 5 2 2" xfId="31491" xr:uid="{00000000-0005-0000-0000-0000FE7A0000}"/>
    <cellStyle name="Input 6 2 2 5 2 2 2" xfId="31492" xr:uid="{00000000-0005-0000-0000-0000FF7A0000}"/>
    <cellStyle name="Input 6 2 2 5 2 2 3" xfId="31493" xr:uid="{00000000-0005-0000-0000-0000007B0000}"/>
    <cellStyle name="Input 6 2 2 5 2 2 4" xfId="31494" xr:uid="{00000000-0005-0000-0000-0000017B0000}"/>
    <cellStyle name="Input 6 2 2 5 2 2 5" xfId="31495" xr:uid="{00000000-0005-0000-0000-0000027B0000}"/>
    <cellStyle name="Input 6 2 2 5 2 2 6" xfId="31496" xr:uid="{00000000-0005-0000-0000-0000037B0000}"/>
    <cellStyle name="Input 6 2 2 5 2 3" xfId="31497" xr:uid="{00000000-0005-0000-0000-0000047B0000}"/>
    <cellStyle name="Input 6 2 2 5 2 4" xfId="31498" xr:uid="{00000000-0005-0000-0000-0000057B0000}"/>
    <cellStyle name="Input 6 2 2 5 2 5" xfId="31499" xr:uid="{00000000-0005-0000-0000-0000067B0000}"/>
    <cellStyle name="Input 6 2 2 5 2 6" xfId="31500" xr:uid="{00000000-0005-0000-0000-0000077B0000}"/>
    <cellStyle name="Input 6 2 2 5 3" xfId="31501" xr:uid="{00000000-0005-0000-0000-0000087B0000}"/>
    <cellStyle name="Input 6 2 2 5 3 2" xfId="31502" xr:uid="{00000000-0005-0000-0000-0000097B0000}"/>
    <cellStyle name="Input 6 2 2 5 3 2 2" xfId="31503" xr:uid="{00000000-0005-0000-0000-00000A7B0000}"/>
    <cellStyle name="Input 6 2 2 5 3 2 3" xfId="31504" xr:uid="{00000000-0005-0000-0000-00000B7B0000}"/>
    <cellStyle name="Input 6 2 2 5 3 2 4" xfId="31505" xr:uid="{00000000-0005-0000-0000-00000C7B0000}"/>
    <cellStyle name="Input 6 2 2 5 3 2 5" xfId="31506" xr:uid="{00000000-0005-0000-0000-00000D7B0000}"/>
    <cellStyle name="Input 6 2 2 5 3 2 6" xfId="31507" xr:uid="{00000000-0005-0000-0000-00000E7B0000}"/>
    <cellStyle name="Input 6 2 2 5 3 3" xfId="31508" xr:uid="{00000000-0005-0000-0000-00000F7B0000}"/>
    <cellStyle name="Input 6 2 2 5 3 4" xfId="31509" xr:uid="{00000000-0005-0000-0000-0000107B0000}"/>
    <cellStyle name="Input 6 2 2 5 3 5" xfId="31510" xr:uid="{00000000-0005-0000-0000-0000117B0000}"/>
    <cellStyle name="Input 6 2 2 5 3 6" xfId="31511" xr:uid="{00000000-0005-0000-0000-0000127B0000}"/>
    <cellStyle name="Input 6 2 2 5 4" xfId="31512" xr:uid="{00000000-0005-0000-0000-0000137B0000}"/>
    <cellStyle name="Input 6 2 2 5 4 2" xfId="31513" xr:uid="{00000000-0005-0000-0000-0000147B0000}"/>
    <cellStyle name="Input 6 2 2 5 4 3" xfId="31514" xr:uid="{00000000-0005-0000-0000-0000157B0000}"/>
    <cellStyle name="Input 6 2 2 5 4 4" xfId="31515" xr:uid="{00000000-0005-0000-0000-0000167B0000}"/>
    <cellStyle name="Input 6 2 2 5 4 5" xfId="31516" xr:uid="{00000000-0005-0000-0000-0000177B0000}"/>
    <cellStyle name="Input 6 2 2 5 4 6" xfId="31517" xr:uid="{00000000-0005-0000-0000-0000187B0000}"/>
    <cellStyle name="Input 6 2 2 5 5" xfId="31518" xr:uid="{00000000-0005-0000-0000-0000197B0000}"/>
    <cellStyle name="Input 6 2 2 5 6" xfId="31519" xr:uid="{00000000-0005-0000-0000-00001A7B0000}"/>
    <cellStyle name="Input 6 2 2 5 7" xfId="31520" xr:uid="{00000000-0005-0000-0000-00001B7B0000}"/>
    <cellStyle name="Input 6 2 2 5 8" xfId="31521" xr:uid="{00000000-0005-0000-0000-00001C7B0000}"/>
    <cellStyle name="Input 6 2 2 6" xfId="31522" xr:uid="{00000000-0005-0000-0000-00001D7B0000}"/>
    <cellStyle name="Input 6 2 2 6 2" xfId="31523" xr:uid="{00000000-0005-0000-0000-00001E7B0000}"/>
    <cellStyle name="Input 6 2 2 6 2 2" xfId="31524" xr:uid="{00000000-0005-0000-0000-00001F7B0000}"/>
    <cellStyle name="Input 6 2 2 6 2 2 2" xfId="31525" xr:uid="{00000000-0005-0000-0000-0000207B0000}"/>
    <cellStyle name="Input 6 2 2 6 2 2 3" xfId="31526" xr:uid="{00000000-0005-0000-0000-0000217B0000}"/>
    <cellStyle name="Input 6 2 2 6 2 2 4" xfId="31527" xr:uid="{00000000-0005-0000-0000-0000227B0000}"/>
    <cellStyle name="Input 6 2 2 6 2 2 5" xfId="31528" xr:uid="{00000000-0005-0000-0000-0000237B0000}"/>
    <cellStyle name="Input 6 2 2 6 2 2 6" xfId="31529" xr:uid="{00000000-0005-0000-0000-0000247B0000}"/>
    <cellStyle name="Input 6 2 2 6 2 3" xfId="31530" xr:uid="{00000000-0005-0000-0000-0000257B0000}"/>
    <cellStyle name="Input 6 2 2 6 2 4" xfId="31531" xr:uid="{00000000-0005-0000-0000-0000267B0000}"/>
    <cellStyle name="Input 6 2 2 6 2 5" xfId="31532" xr:uid="{00000000-0005-0000-0000-0000277B0000}"/>
    <cellStyle name="Input 6 2 2 6 2 6" xfId="31533" xr:uid="{00000000-0005-0000-0000-0000287B0000}"/>
    <cellStyle name="Input 6 2 2 6 3" xfId="31534" xr:uid="{00000000-0005-0000-0000-0000297B0000}"/>
    <cellStyle name="Input 6 2 2 6 3 2" xfId="31535" xr:uid="{00000000-0005-0000-0000-00002A7B0000}"/>
    <cellStyle name="Input 6 2 2 6 3 2 2" xfId="31536" xr:uid="{00000000-0005-0000-0000-00002B7B0000}"/>
    <cellStyle name="Input 6 2 2 6 3 2 3" xfId="31537" xr:uid="{00000000-0005-0000-0000-00002C7B0000}"/>
    <cellStyle name="Input 6 2 2 6 3 2 4" xfId="31538" xr:uid="{00000000-0005-0000-0000-00002D7B0000}"/>
    <cellStyle name="Input 6 2 2 6 3 2 5" xfId="31539" xr:uid="{00000000-0005-0000-0000-00002E7B0000}"/>
    <cellStyle name="Input 6 2 2 6 3 2 6" xfId="31540" xr:uid="{00000000-0005-0000-0000-00002F7B0000}"/>
    <cellStyle name="Input 6 2 2 6 3 3" xfId="31541" xr:uid="{00000000-0005-0000-0000-0000307B0000}"/>
    <cellStyle name="Input 6 2 2 6 3 4" xfId="31542" xr:uid="{00000000-0005-0000-0000-0000317B0000}"/>
    <cellStyle name="Input 6 2 2 6 3 5" xfId="31543" xr:uid="{00000000-0005-0000-0000-0000327B0000}"/>
    <cellStyle name="Input 6 2 2 6 3 6" xfId="31544" xr:uid="{00000000-0005-0000-0000-0000337B0000}"/>
    <cellStyle name="Input 6 2 2 6 4" xfId="31545" xr:uid="{00000000-0005-0000-0000-0000347B0000}"/>
    <cellStyle name="Input 6 2 2 6 4 2" xfId="31546" xr:uid="{00000000-0005-0000-0000-0000357B0000}"/>
    <cellStyle name="Input 6 2 2 6 4 3" xfId="31547" xr:uid="{00000000-0005-0000-0000-0000367B0000}"/>
    <cellStyle name="Input 6 2 2 6 4 4" xfId="31548" xr:uid="{00000000-0005-0000-0000-0000377B0000}"/>
    <cellStyle name="Input 6 2 2 6 4 5" xfId="31549" xr:uid="{00000000-0005-0000-0000-0000387B0000}"/>
    <cellStyle name="Input 6 2 2 6 4 6" xfId="31550" xr:uid="{00000000-0005-0000-0000-0000397B0000}"/>
    <cellStyle name="Input 6 2 2 6 5" xfId="31551" xr:uid="{00000000-0005-0000-0000-00003A7B0000}"/>
    <cellStyle name="Input 6 2 2 6 6" xfId="31552" xr:uid="{00000000-0005-0000-0000-00003B7B0000}"/>
    <cellStyle name="Input 6 2 2 6 7" xfId="31553" xr:uid="{00000000-0005-0000-0000-00003C7B0000}"/>
    <cellStyle name="Input 6 2 2 6 8" xfId="31554" xr:uid="{00000000-0005-0000-0000-00003D7B0000}"/>
    <cellStyle name="Input 6 2 2 7" xfId="31555" xr:uid="{00000000-0005-0000-0000-00003E7B0000}"/>
    <cellStyle name="Input 6 2 2 7 2" xfId="31556" xr:uid="{00000000-0005-0000-0000-00003F7B0000}"/>
    <cellStyle name="Input 6 2 2 7 2 2" xfId="31557" xr:uid="{00000000-0005-0000-0000-0000407B0000}"/>
    <cellStyle name="Input 6 2 2 7 2 2 2" xfId="31558" xr:uid="{00000000-0005-0000-0000-0000417B0000}"/>
    <cellStyle name="Input 6 2 2 7 2 2 3" xfId="31559" xr:uid="{00000000-0005-0000-0000-0000427B0000}"/>
    <cellStyle name="Input 6 2 2 7 2 2 4" xfId="31560" xr:uid="{00000000-0005-0000-0000-0000437B0000}"/>
    <cellStyle name="Input 6 2 2 7 2 2 5" xfId="31561" xr:uid="{00000000-0005-0000-0000-0000447B0000}"/>
    <cellStyle name="Input 6 2 2 7 2 2 6" xfId="31562" xr:uid="{00000000-0005-0000-0000-0000457B0000}"/>
    <cellStyle name="Input 6 2 2 7 2 3" xfId="31563" xr:uid="{00000000-0005-0000-0000-0000467B0000}"/>
    <cellStyle name="Input 6 2 2 7 2 4" xfId="31564" xr:uid="{00000000-0005-0000-0000-0000477B0000}"/>
    <cellStyle name="Input 6 2 2 7 2 5" xfId="31565" xr:uid="{00000000-0005-0000-0000-0000487B0000}"/>
    <cellStyle name="Input 6 2 2 7 2 6" xfId="31566" xr:uid="{00000000-0005-0000-0000-0000497B0000}"/>
    <cellStyle name="Input 6 2 2 7 3" xfId="31567" xr:uid="{00000000-0005-0000-0000-00004A7B0000}"/>
    <cellStyle name="Input 6 2 2 7 3 2" xfId="31568" xr:uid="{00000000-0005-0000-0000-00004B7B0000}"/>
    <cellStyle name="Input 6 2 2 7 3 2 2" xfId="31569" xr:uid="{00000000-0005-0000-0000-00004C7B0000}"/>
    <cellStyle name="Input 6 2 2 7 3 2 3" xfId="31570" xr:uid="{00000000-0005-0000-0000-00004D7B0000}"/>
    <cellStyle name="Input 6 2 2 7 3 2 4" xfId="31571" xr:uid="{00000000-0005-0000-0000-00004E7B0000}"/>
    <cellStyle name="Input 6 2 2 7 3 2 5" xfId="31572" xr:uid="{00000000-0005-0000-0000-00004F7B0000}"/>
    <cellStyle name="Input 6 2 2 7 3 2 6" xfId="31573" xr:uid="{00000000-0005-0000-0000-0000507B0000}"/>
    <cellStyle name="Input 6 2 2 7 3 3" xfId="31574" xr:uid="{00000000-0005-0000-0000-0000517B0000}"/>
    <cellStyle name="Input 6 2 2 7 3 4" xfId="31575" xr:uid="{00000000-0005-0000-0000-0000527B0000}"/>
    <cellStyle name="Input 6 2 2 7 3 5" xfId="31576" xr:uid="{00000000-0005-0000-0000-0000537B0000}"/>
    <cellStyle name="Input 6 2 2 7 3 6" xfId="31577" xr:uid="{00000000-0005-0000-0000-0000547B0000}"/>
    <cellStyle name="Input 6 2 2 7 4" xfId="31578" xr:uid="{00000000-0005-0000-0000-0000557B0000}"/>
    <cellStyle name="Input 6 2 2 7 4 2" xfId="31579" xr:uid="{00000000-0005-0000-0000-0000567B0000}"/>
    <cellStyle name="Input 6 2 2 7 4 3" xfId="31580" xr:uid="{00000000-0005-0000-0000-0000577B0000}"/>
    <cellStyle name="Input 6 2 2 7 4 4" xfId="31581" xr:uid="{00000000-0005-0000-0000-0000587B0000}"/>
    <cellStyle name="Input 6 2 2 7 4 5" xfId="31582" xr:uid="{00000000-0005-0000-0000-0000597B0000}"/>
    <cellStyle name="Input 6 2 2 7 4 6" xfId="31583" xr:uid="{00000000-0005-0000-0000-00005A7B0000}"/>
    <cellStyle name="Input 6 2 2 7 5" xfId="31584" xr:uid="{00000000-0005-0000-0000-00005B7B0000}"/>
    <cellStyle name="Input 6 2 2 7 6" xfId="31585" xr:uid="{00000000-0005-0000-0000-00005C7B0000}"/>
    <cellStyle name="Input 6 2 2 7 7" xfId="31586" xr:uid="{00000000-0005-0000-0000-00005D7B0000}"/>
    <cellStyle name="Input 6 2 2 7 8" xfId="31587" xr:uid="{00000000-0005-0000-0000-00005E7B0000}"/>
    <cellStyle name="Input 6 2 2 8" xfId="31588" xr:uid="{00000000-0005-0000-0000-00005F7B0000}"/>
    <cellStyle name="Input 6 2 2 8 2" xfId="31589" xr:uid="{00000000-0005-0000-0000-0000607B0000}"/>
    <cellStyle name="Input 6 2 2 8 2 2" xfId="31590" xr:uid="{00000000-0005-0000-0000-0000617B0000}"/>
    <cellStyle name="Input 6 2 2 8 2 3" xfId="31591" xr:uid="{00000000-0005-0000-0000-0000627B0000}"/>
    <cellStyle name="Input 6 2 2 8 2 4" xfId="31592" xr:uid="{00000000-0005-0000-0000-0000637B0000}"/>
    <cellStyle name="Input 6 2 2 8 2 5" xfId="31593" xr:uid="{00000000-0005-0000-0000-0000647B0000}"/>
    <cellStyle name="Input 6 2 2 8 2 6" xfId="31594" xr:uid="{00000000-0005-0000-0000-0000657B0000}"/>
    <cellStyle name="Input 6 2 2 8 3" xfId="31595" xr:uid="{00000000-0005-0000-0000-0000667B0000}"/>
    <cellStyle name="Input 6 2 2 8 4" xfId="31596" xr:uid="{00000000-0005-0000-0000-0000677B0000}"/>
    <cellStyle name="Input 6 2 2 8 5" xfId="31597" xr:uid="{00000000-0005-0000-0000-0000687B0000}"/>
    <cellStyle name="Input 6 2 2 8 6" xfId="31598" xr:uid="{00000000-0005-0000-0000-0000697B0000}"/>
    <cellStyle name="Input 6 2 2 9" xfId="31599" xr:uid="{00000000-0005-0000-0000-00006A7B0000}"/>
    <cellStyle name="Input 6 2 2 9 2" xfId="31600" xr:uid="{00000000-0005-0000-0000-00006B7B0000}"/>
    <cellStyle name="Input 6 2 2 9 2 2" xfId="31601" xr:uid="{00000000-0005-0000-0000-00006C7B0000}"/>
    <cellStyle name="Input 6 2 2 9 2 3" xfId="31602" xr:uid="{00000000-0005-0000-0000-00006D7B0000}"/>
    <cellStyle name="Input 6 2 2 9 2 4" xfId="31603" xr:uid="{00000000-0005-0000-0000-00006E7B0000}"/>
    <cellStyle name="Input 6 2 2 9 2 5" xfId="31604" xr:uid="{00000000-0005-0000-0000-00006F7B0000}"/>
    <cellStyle name="Input 6 2 2 9 2 6" xfId="31605" xr:uid="{00000000-0005-0000-0000-0000707B0000}"/>
    <cellStyle name="Input 6 2 2 9 3" xfId="31606" xr:uid="{00000000-0005-0000-0000-0000717B0000}"/>
    <cellStyle name="Input 6 2 2 9 4" xfId="31607" xr:uid="{00000000-0005-0000-0000-0000727B0000}"/>
    <cellStyle name="Input 6 2 2 9 5" xfId="31608" xr:uid="{00000000-0005-0000-0000-0000737B0000}"/>
    <cellStyle name="Input 6 2 2 9 6" xfId="31609" xr:uid="{00000000-0005-0000-0000-0000747B0000}"/>
    <cellStyle name="Input 6 2 3" xfId="31610" xr:uid="{00000000-0005-0000-0000-0000757B0000}"/>
    <cellStyle name="Input 6 2 3 10" xfId="31611" xr:uid="{00000000-0005-0000-0000-0000767B0000}"/>
    <cellStyle name="Input 6 2 3 11" xfId="31612" xr:uid="{00000000-0005-0000-0000-0000777B0000}"/>
    <cellStyle name="Input 6 2 3 12" xfId="31613" xr:uid="{00000000-0005-0000-0000-0000787B0000}"/>
    <cellStyle name="Input 6 2 3 13" xfId="31614" xr:uid="{00000000-0005-0000-0000-0000797B0000}"/>
    <cellStyle name="Input 6 2 3 2" xfId="31615" xr:uid="{00000000-0005-0000-0000-00007A7B0000}"/>
    <cellStyle name="Input 6 2 3 2 2" xfId="31616" xr:uid="{00000000-0005-0000-0000-00007B7B0000}"/>
    <cellStyle name="Input 6 2 3 2 2 2" xfId="31617" xr:uid="{00000000-0005-0000-0000-00007C7B0000}"/>
    <cellStyle name="Input 6 2 3 2 2 2 2" xfId="31618" xr:uid="{00000000-0005-0000-0000-00007D7B0000}"/>
    <cellStyle name="Input 6 2 3 2 2 2 3" xfId="31619" xr:uid="{00000000-0005-0000-0000-00007E7B0000}"/>
    <cellStyle name="Input 6 2 3 2 2 2 4" xfId="31620" xr:uid="{00000000-0005-0000-0000-00007F7B0000}"/>
    <cellStyle name="Input 6 2 3 2 2 2 5" xfId="31621" xr:uid="{00000000-0005-0000-0000-0000807B0000}"/>
    <cellStyle name="Input 6 2 3 2 2 2 6" xfId="31622" xr:uid="{00000000-0005-0000-0000-0000817B0000}"/>
    <cellStyle name="Input 6 2 3 2 2 3" xfId="31623" xr:uid="{00000000-0005-0000-0000-0000827B0000}"/>
    <cellStyle name="Input 6 2 3 2 2 4" xfId="31624" xr:uid="{00000000-0005-0000-0000-0000837B0000}"/>
    <cellStyle name="Input 6 2 3 2 2 5" xfId="31625" xr:uid="{00000000-0005-0000-0000-0000847B0000}"/>
    <cellStyle name="Input 6 2 3 2 2 6" xfId="31626" xr:uid="{00000000-0005-0000-0000-0000857B0000}"/>
    <cellStyle name="Input 6 2 3 2 3" xfId="31627" xr:uid="{00000000-0005-0000-0000-0000867B0000}"/>
    <cellStyle name="Input 6 2 3 2 3 2" xfId="31628" xr:uid="{00000000-0005-0000-0000-0000877B0000}"/>
    <cellStyle name="Input 6 2 3 2 3 2 2" xfId="31629" xr:uid="{00000000-0005-0000-0000-0000887B0000}"/>
    <cellStyle name="Input 6 2 3 2 3 2 3" xfId="31630" xr:uid="{00000000-0005-0000-0000-0000897B0000}"/>
    <cellStyle name="Input 6 2 3 2 3 2 4" xfId="31631" xr:uid="{00000000-0005-0000-0000-00008A7B0000}"/>
    <cellStyle name="Input 6 2 3 2 3 2 5" xfId="31632" xr:uid="{00000000-0005-0000-0000-00008B7B0000}"/>
    <cellStyle name="Input 6 2 3 2 3 2 6" xfId="31633" xr:uid="{00000000-0005-0000-0000-00008C7B0000}"/>
    <cellStyle name="Input 6 2 3 2 3 3" xfId="31634" xr:uid="{00000000-0005-0000-0000-00008D7B0000}"/>
    <cellStyle name="Input 6 2 3 2 3 4" xfId="31635" xr:uid="{00000000-0005-0000-0000-00008E7B0000}"/>
    <cellStyle name="Input 6 2 3 2 3 5" xfId="31636" xr:uid="{00000000-0005-0000-0000-00008F7B0000}"/>
    <cellStyle name="Input 6 2 3 2 3 6" xfId="31637" xr:uid="{00000000-0005-0000-0000-0000907B0000}"/>
    <cellStyle name="Input 6 2 3 2 4" xfId="31638" xr:uid="{00000000-0005-0000-0000-0000917B0000}"/>
    <cellStyle name="Input 6 2 3 2 4 2" xfId="31639" xr:uid="{00000000-0005-0000-0000-0000927B0000}"/>
    <cellStyle name="Input 6 2 3 2 4 3" xfId="31640" xr:uid="{00000000-0005-0000-0000-0000937B0000}"/>
    <cellStyle name="Input 6 2 3 2 4 4" xfId="31641" xr:uid="{00000000-0005-0000-0000-0000947B0000}"/>
    <cellStyle name="Input 6 2 3 2 4 5" xfId="31642" xr:uid="{00000000-0005-0000-0000-0000957B0000}"/>
    <cellStyle name="Input 6 2 3 2 4 6" xfId="31643" xr:uid="{00000000-0005-0000-0000-0000967B0000}"/>
    <cellStyle name="Input 6 2 3 2 5" xfId="31644" xr:uid="{00000000-0005-0000-0000-0000977B0000}"/>
    <cellStyle name="Input 6 2 3 2 6" xfId="31645" xr:uid="{00000000-0005-0000-0000-0000987B0000}"/>
    <cellStyle name="Input 6 2 3 2 7" xfId="31646" xr:uid="{00000000-0005-0000-0000-0000997B0000}"/>
    <cellStyle name="Input 6 2 3 2 8" xfId="31647" xr:uid="{00000000-0005-0000-0000-00009A7B0000}"/>
    <cellStyle name="Input 6 2 3 3" xfId="31648" xr:uid="{00000000-0005-0000-0000-00009B7B0000}"/>
    <cellStyle name="Input 6 2 3 3 2" xfId="31649" xr:uid="{00000000-0005-0000-0000-00009C7B0000}"/>
    <cellStyle name="Input 6 2 3 3 2 2" xfId="31650" xr:uid="{00000000-0005-0000-0000-00009D7B0000}"/>
    <cellStyle name="Input 6 2 3 3 2 2 2" xfId="31651" xr:uid="{00000000-0005-0000-0000-00009E7B0000}"/>
    <cellStyle name="Input 6 2 3 3 2 2 3" xfId="31652" xr:uid="{00000000-0005-0000-0000-00009F7B0000}"/>
    <cellStyle name="Input 6 2 3 3 2 2 4" xfId="31653" xr:uid="{00000000-0005-0000-0000-0000A07B0000}"/>
    <cellStyle name="Input 6 2 3 3 2 2 5" xfId="31654" xr:uid="{00000000-0005-0000-0000-0000A17B0000}"/>
    <cellStyle name="Input 6 2 3 3 2 2 6" xfId="31655" xr:uid="{00000000-0005-0000-0000-0000A27B0000}"/>
    <cellStyle name="Input 6 2 3 3 2 3" xfId="31656" xr:uid="{00000000-0005-0000-0000-0000A37B0000}"/>
    <cellStyle name="Input 6 2 3 3 2 4" xfId="31657" xr:uid="{00000000-0005-0000-0000-0000A47B0000}"/>
    <cellStyle name="Input 6 2 3 3 2 5" xfId="31658" xr:uid="{00000000-0005-0000-0000-0000A57B0000}"/>
    <cellStyle name="Input 6 2 3 3 2 6" xfId="31659" xr:uid="{00000000-0005-0000-0000-0000A67B0000}"/>
    <cellStyle name="Input 6 2 3 3 3" xfId="31660" xr:uid="{00000000-0005-0000-0000-0000A77B0000}"/>
    <cellStyle name="Input 6 2 3 3 3 2" xfId="31661" xr:uid="{00000000-0005-0000-0000-0000A87B0000}"/>
    <cellStyle name="Input 6 2 3 3 3 2 2" xfId="31662" xr:uid="{00000000-0005-0000-0000-0000A97B0000}"/>
    <cellStyle name="Input 6 2 3 3 3 2 3" xfId="31663" xr:uid="{00000000-0005-0000-0000-0000AA7B0000}"/>
    <cellStyle name="Input 6 2 3 3 3 2 4" xfId="31664" xr:uid="{00000000-0005-0000-0000-0000AB7B0000}"/>
    <cellStyle name="Input 6 2 3 3 3 2 5" xfId="31665" xr:uid="{00000000-0005-0000-0000-0000AC7B0000}"/>
    <cellStyle name="Input 6 2 3 3 3 2 6" xfId="31666" xr:uid="{00000000-0005-0000-0000-0000AD7B0000}"/>
    <cellStyle name="Input 6 2 3 3 3 3" xfId="31667" xr:uid="{00000000-0005-0000-0000-0000AE7B0000}"/>
    <cellStyle name="Input 6 2 3 3 3 4" xfId="31668" xr:uid="{00000000-0005-0000-0000-0000AF7B0000}"/>
    <cellStyle name="Input 6 2 3 3 3 5" xfId="31669" xr:uid="{00000000-0005-0000-0000-0000B07B0000}"/>
    <cellStyle name="Input 6 2 3 3 3 6" xfId="31670" xr:uid="{00000000-0005-0000-0000-0000B17B0000}"/>
    <cellStyle name="Input 6 2 3 3 4" xfId="31671" xr:uid="{00000000-0005-0000-0000-0000B27B0000}"/>
    <cellStyle name="Input 6 2 3 3 4 2" xfId="31672" xr:uid="{00000000-0005-0000-0000-0000B37B0000}"/>
    <cellStyle name="Input 6 2 3 3 4 3" xfId="31673" xr:uid="{00000000-0005-0000-0000-0000B47B0000}"/>
    <cellStyle name="Input 6 2 3 3 4 4" xfId="31674" xr:uid="{00000000-0005-0000-0000-0000B57B0000}"/>
    <cellStyle name="Input 6 2 3 3 4 5" xfId="31675" xr:uid="{00000000-0005-0000-0000-0000B67B0000}"/>
    <cellStyle name="Input 6 2 3 3 4 6" xfId="31676" xr:uid="{00000000-0005-0000-0000-0000B77B0000}"/>
    <cellStyle name="Input 6 2 3 3 5" xfId="31677" xr:uid="{00000000-0005-0000-0000-0000B87B0000}"/>
    <cellStyle name="Input 6 2 3 3 6" xfId="31678" xr:uid="{00000000-0005-0000-0000-0000B97B0000}"/>
    <cellStyle name="Input 6 2 3 3 7" xfId="31679" xr:uid="{00000000-0005-0000-0000-0000BA7B0000}"/>
    <cellStyle name="Input 6 2 3 3 8" xfId="31680" xr:uid="{00000000-0005-0000-0000-0000BB7B0000}"/>
    <cellStyle name="Input 6 2 3 4" xfId="31681" xr:uid="{00000000-0005-0000-0000-0000BC7B0000}"/>
    <cellStyle name="Input 6 2 3 4 2" xfId="31682" xr:uid="{00000000-0005-0000-0000-0000BD7B0000}"/>
    <cellStyle name="Input 6 2 3 4 2 2" xfId="31683" xr:uid="{00000000-0005-0000-0000-0000BE7B0000}"/>
    <cellStyle name="Input 6 2 3 4 2 2 2" xfId="31684" xr:uid="{00000000-0005-0000-0000-0000BF7B0000}"/>
    <cellStyle name="Input 6 2 3 4 2 2 3" xfId="31685" xr:uid="{00000000-0005-0000-0000-0000C07B0000}"/>
    <cellStyle name="Input 6 2 3 4 2 2 4" xfId="31686" xr:uid="{00000000-0005-0000-0000-0000C17B0000}"/>
    <cellStyle name="Input 6 2 3 4 2 2 5" xfId="31687" xr:uid="{00000000-0005-0000-0000-0000C27B0000}"/>
    <cellStyle name="Input 6 2 3 4 2 2 6" xfId="31688" xr:uid="{00000000-0005-0000-0000-0000C37B0000}"/>
    <cellStyle name="Input 6 2 3 4 2 3" xfId="31689" xr:uid="{00000000-0005-0000-0000-0000C47B0000}"/>
    <cellStyle name="Input 6 2 3 4 2 4" xfId="31690" xr:uid="{00000000-0005-0000-0000-0000C57B0000}"/>
    <cellStyle name="Input 6 2 3 4 2 5" xfId="31691" xr:uid="{00000000-0005-0000-0000-0000C67B0000}"/>
    <cellStyle name="Input 6 2 3 4 2 6" xfId="31692" xr:uid="{00000000-0005-0000-0000-0000C77B0000}"/>
    <cellStyle name="Input 6 2 3 4 3" xfId="31693" xr:uid="{00000000-0005-0000-0000-0000C87B0000}"/>
    <cellStyle name="Input 6 2 3 4 3 2" xfId="31694" xr:uid="{00000000-0005-0000-0000-0000C97B0000}"/>
    <cellStyle name="Input 6 2 3 4 3 2 2" xfId="31695" xr:uid="{00000000-0005-0000-0000-0000CA7B0000}"/>
    <cellStyle name="Input 6 2 3 4 3 2 3" xfId="31696" xr:uid="{00000000-0005-0000-0000-0000CB7B0000}"/>
    <cellStyle name="Input 6 2 3 4 3 2 4" xfId="31697" xr:uid="{00000000-0005-0000-0000-0000CC7B0000}"/>
    <cellStyle name="Input 6 2 3 4 3 2 5" xfId="31698" xr:uid="{00000000-0005-0000-0000-0000CD7B0000}"/>
    <cellStyle name="Input 6 2 3 4 3 2 6" xfId="31699" xr:uid="{00000000-0005-0000-0000-0000CE7B0000}"/>
    <cellStyle name="Input 6 2 3 4 3 3" xfId="31700" xr:uid="{00000000-0005-0000-0000-0000CF7B0000}"/>
    <cellStyle name="Input 6 2 3 4 3 4" xfId="31701" xr:uid="{00000000-0005-0000-0000-0000D07B0000}"/>
    <cellStyle name="Input 6 2 3 4 3 5" xfId="31702" xr:uid="{00000000-0005-0000-0000-0000D17B0000}"/>
    <cellStyle name="Input 6 2 3 4 3 6" xfId="31703" xr:uid="{00000000-0005-0000-0000-0000D27B0000}"/>
    <cellStyle name="Input 6 2 3 4 4" xfId="31704" xr:uid="{00000000-0005-0000-0000-0000D37B0000}"/>
    <cellStyle name="Input 6 2 3 4 4 2" xfId="31705" xr:uid="{00000000-0005-0000-0000-0000D47B0000}"/>
    <cellStyle name="Input 6 2 3 4 4 3" xfId="31706" xr:uid="{00000000-0005-0000-0000-0000D57B0000}"/>
    <cellStyle name="Input 6 2 3 4 4 4" xfId="31707" xr:uid="{00000000-0005-0000-0000-0000D67B0000}"/>
    <cellStyle name="Input 6 2 3 4 4 5" xfId="31708" xr:uid="{00000000-0005-0000-0000-0000D77B0000}"/>
    <cellStyle name="Input 6 2 3 4 4 6" xfId="31709" xr:uid="{00000000-0005-0000-0000-0000D87B0000}"/>
    <cellStyle name="Input 6 2 3 4 5" xfId="31710" xr:uid="{00000000-0005-0000-0000-0000D97B0000}"/>
    <cellStyle name="Input 6 2 3 4 6" xfId="31711" xr:uid="{00000000-0005-0000-0000-0000DA7B0000}"/>
    <cellStyle name="Input 6 2 3 4 7" xfId="31712" xr:uid="{00000000-0005-0000-0000-0000DB7B0000}"/>
    <cellStyle name="Input 6 2 3 4 8" xfId="31713" xr:uid="{00000000-0005-0000-0000-0000DC7B0000}"/>
    <cellStyle name="Input 6 2 3 5" xfId="31714" xr:uid="{00000000-0005-0000-0000-0000DD7B0000}"/>
    <cellStyle name="Input 6 2 3 5 2" xfId="31715" xr:uid="{00000000-0005-0000-0000-0000DE7B0000}"/>
    <cellStyle name="Input 6 2 3 5 2 2" xfId="31716" xr:uid="{00000000-0005-0000-0000-0000DF7B0000}"/>
    <cellStyle name="Input 6 2 3 5 2 2 2" xfId="31717" xr:uid="{00000000-0005-0000-0000-0000E07B0000}"/>
    <cellStyle name="Input 6 2 3 5 2 2 3" xfId="31718" xr:uid="{00000000-0005-0000-0000-0000E17B0000}"/>
    <cellStyle name="Input 6 2 3 5 2 2 4" xfId="31719" xr:uid="{00000000-0005-0000-0000-0000E27B0000}"/>
    <cellStyle name="Input 6 2 3 5 2 2 5" xfId="31720" xr:uid="{00000000-0005-0000-0000-0000E37B0000}"/>
    <cellStyle name="Input 6 2 3 5 2 2 6" xfId="31721" xr:uid="{00000000-0005-0000-0000-0000E47B0000}"/>
    <cellStyle name="Input 6 2 3 5 2 3" xfId="31722" xr:uid="{00000000-0005-0000-0000-0000E57B0000}"/>
    <cellStyle name="Input 6 2 3 5 2 4" xfId="31723" xr:uid="{00000000-0005-0000-0000-0000E67B0000}"/>
    <cellStyle name="Input 6 2 3 5 2 5" xfId="31724" xr:uid="{00000000-0005-0000-0000-0000E77B0000}"/>
    <cellStyle name="Input 6 2 3 5 2 6" xfId="31725" xr:uid="{00000000-0005-0000-0000-0000E87B0000}"/>
    <cellStyle name="Input 6 2 3 5 3" xfId="31726" xr:uid="{00000000-0005-0000-0000-0000E97B0000}"/>
    <cellStyle name="Input 6 2 3 5 3 2" xfId="31727" xr:uid="{00000000-0005-0000-0000-0000EA7B0000}"/>
    <cellStyle name="Input 6 2 3 5 3 2 2" xfId="31728" xr:uid="{00000000-0005-0000-0000-0000EB7B0000}"/>
    <cellStyle name="Input 6 2 3 5 3 2 3" xfId="31729" xr:uid="{00000000-0005-0000-0000-0000EC7B0000}"/>
    <cellStyle name="Input 6 2 3 5 3 2 4" xfId="31730" xr:uid="{00000000-0005-0000-0000-0000ED7B0000}"/>
    <cellStyle name="Input 6 2 3 5 3 2 5" xfId="31731" xr:uid="{00000000-0005-0000-0000-0000EE7B0000}"/>
    <cellStyle name="Input 6 2 3 5 3 2 6" xfId="31732" xr:uid="{00000000-0005-0000-0000-0000EF7B0000}"/>
    <cellStyle name="Input 6 2 3 5 3 3" xfId="31733" xr:uid="{00000000-0005-0000-0000-0000F07B0000}"/>
    <cellStyle name="Input 6 2 3 5 3 4" xfId="31734" xr:uid="{00000000-0005-0000-0000-0000F17B0000}"/>
    <cellStyle name="Input 6 2 3 5 3 5" xfId="31735" xr:uid="{00000000-0005-0000-0000-0000F27B0000}"/>
    <cellStyle name="Input 6 2 3 5 3 6" xfId="31736" xr:uid="{00000000-0005-0000-0000-0000F37B0000}"/>
    <cellStyle name="Input 6 2 3 5 4" xfId="31737" xr:uid="{00000000-0005-0000-0000-0000F47B0000}"/>
    <cellStyle name="Input 6 2 3 5 4 2" xfId="31738" xr:uid="{00000000-0005-0000-0000-0000F57B0000}"/>
    <cellStyle name="Input 6 2 3 5 4 3" xfId="31739" xr:uid="{00000000-0005-0000-0000-0000F67B0000}"/>
    <cellStyle name="Input 6 2 3 5 4 4" xfId="31740" xr:uid="{00000000-0005-0000-0000-0000F77B0000}"/>
    <cellStyle name="Input 6 2 3 5 4 5" xfId="31741" xr:uid="{00000000-0005-0000-0000-0000F87B0000}"/>
    <cellStyle name="Input 6 2 3 5 4 6" xfId="31742" xr:uid="{00000000-0005-0000-0000-0000F97B0000}"/>
    <cellStyle name="Input 6 2 3 5 5" xfId="31743" xr:uid="{00000000-0005-0000-0000-0000FA7B0000}"/>
    <cellStyle name="Input 6 2 3 5 6" xfId="31744" xr:uid="{00000000-0005-0000-0000-0000FB7B0000}"/>
    <cellStyle name="Input 6 2 3 5 7" xfId="31745" xr:uid="{00000000-0005-0000-0000-0000FC7B0000}"/>
    <cellStyle name="Input 6 2 3 5 8" xfId="31746" xr:uid="{00000000-0005-0000-0000-0000FD7B0000}"/>
    <cellStyle name="Input 6 2 3 6" xfId="31747" xr:uid="{00000000-0005-0000-0000-0000FE7B0000}"/>
    <cellStyle name="Input 6 2 3 6 2" xfId="31748" xr:uid="{00000000-0005-0000-0000-0000FF7B0000}"/>
    <cellStyle name="Input 6 2 3 6 2 2" xfId="31749" xr:uid="{00000000-0005-0000-0000-0000007C0000}"/>
    <cellStyle name="Input 6 2 3 6 2 2 2" xfId="31750" xr:uid="{00000000-0005-0000-0000-0000017C0000}"/>
    <cellStyle name="Input 6 2 3 6 2 2 3" xfId="31751" xr:uid="{00000000-0005-0000-0000-0000027C0000}"/>
    <cellStyle name="Input 6 2 3 6 2 2 4" xfId="31752" xr:uid="{00000000-0005-0000-0000-0000037C0000}"/>
    <cellStyle name="Input 6 2 3 6 2 2 5" xfId="31753" xr:uid="{00000000-0005-0000-0000-0000047C0000}"/>
    <cellStyle name="Input 6 2 3 6 2 2 6" xfId="31754" xr:uid="{00000000-0005-0000-0000-0000057C0000}"/>
    <cellStyle name="Input 6 2 3 6 2 3" xfId="31755" xr:uid="{00000000-0005-0000-0000-0000067C0000}"/>
    <cellStyle name="Input 6 2 3 6 2 4" xfId="31756" xr:uid="{00000000-0005-0000-0000-0000077C0000}"/>
    <cellStyle name="Input 6 2 3 6 2 5" xfId="31757" xr:uid="{00000000-0005-0000-0000-0000087C0000}"/>
    <cellStyle name="Input 6 2 3 6 2 6" xfId="31758" xr:uid="{00000000-0005-0000-0000-0000097C0000}"/>
    <cellStyle name="Input 6 2 3 6 3" xfId="31759" xr:uid="{00000000-0005-0000-0000-00000A7C0000}"/>
    <cellStyle name="Input 6 2 3 6 3 2" xfId="31760" xr:uid="{00000000-0005-0000-0000-00000B7C0000}"/>
    <cellStyle name="Input 6 2 3 6 3 2 2" xfId="31761" xr:uid="{00000000-0005-0000-0000-00000C7C0000}"/>
    <cellStyle name="Input 6 2 3 6 3 2 3" xfId="31762" xr:uid="{00000000-0005-0000-0000-00000D7C0000}"/>
    <cellStyle name="Input 6 2 3 6 3 2 4" xfId="31763" xr:uid="{00000000-0005-0000-0000-00000E7C0000}"/>
    <cellStyle name="Input 6 2 3 6 3 2 5" xfId="31764" xr:uid="{00000000-0005-0000-0000-00000F7C0000}"/>
    <cellStyle name="Input 6 2 3 6 3 2 6" xfId="31765" xr:uid="{00000000-0005-0000-0000-0000107C0000}"/>
    <cellStyle name="Input 6 2 3 6 3 3" xfId="31766" xr:uid="{00000000-0005-0000-0000-0000117C0000}"/>
    <cellStyle name="Input 6 2 3 6 3 4" xfId="31767" xr:uid="{00000000-0005-0000-0000-0000127C0000}"/>
    <cellStyle name="Input 6 2 3 6 3 5" xfId="31768" xr:uid="{00000000-0005-0000-0000-0000137C0000}"/>
    <cellStyle name="Input 6 2 3 6 3 6" xfId="31769" xr:uid="{00000000-0005-0000-0000-0000147C0000}"/>
    <cellStyle name="Input 6 2 3 6 4" xfId="31770" xr:uid="{00000000-0005-0000-0000-0000157C0000}"/>
    <cellStyle name="Input 6 2 3 6 4 2" xfId="31771" xr:uid="{00000000-0005-0000-0000-0000167C0000}"/>
    <cellStyle name="Input 6 2 3 6 4 3" xfId="31772" xr:uid="{00000000-0005-0000-0000-0000177C0000}"/>
    <cellStyle name="Input 6 2 3 6 4 4" xfId="31773" xr:uid="{00000000-0005-0000-0000-0000187C0000}"/>
    <cellStyle name="Input 6 2 3 6 4 5" xfId="31774" xr:uid="{00000000-0005-0000-0000-0000197C0000}"/>
    <cellStyle name="Input 6 2 3 6 4 6" xfId="31775" xr:uid="{00000000-0005-0000-0000-00001A7C0000}"/>
    <cellStyle name="Input 6 2 3 6 5" xfId="31776" xr:uid="{00000000-0005-0000-0000-00001B7C0000}"/>
    <cellStyle name="Input 6 2 3 6 6" xfId="31777" xr:uid="{00000000-0005-0000-0000-00001C7C0000}"/>
    <cellStyle name="Input 6 2 3 6 7" xfId="31778" xr:uid="{00000000-0005-0000-0000-00001D7C0000}"/>
    <cellStyle name="Input 6 2 3 6 8" xfId="31779" xr:uid="{00000000-0005-0000-0000-00001E7C0000}"/>
    <cellStyle name="Input 6 2 3 7" xfId="31780" xr:uid="{00000000-0005-0000-0000-00001F7C0000}"/>
    <cellStyle name="Input 6 2 3 7 2" xfId="31781" xr:uid="{00000000-0005-0000-0000-0000207C0000}"/>
    <cellStyle name="Input 6 2 3 7 2 2" xfId="31782" xr:uid="{00000000-0005-0000-0000-0000217C0000}"/>
    <cellStyle name="Input 6 2 3 7 2 3" xfId="31783" xr:uid="{00000000-0005-0000-0000-0000227C0000}"/>
    <cellStyle name="Input 6 2 3 7 2 4" xfId="31784" xr:uid="{00000000-0005-0000-0000-0000237C0000}"/>
    <cellStyle name="Input 6 2 3 7 2 5" xfId="31785" xr:uid="{00000000-0005-0000-0000-0000247C0000}"/>
    <cellStyle name="Input 6 2 3 7 2 6" xfId="31786" xr:uid="{00000000-0005-0000-0000-0000257C0000}"/>
    <cellStyle name="Input 6 2 3 7 3" xfId="31787" xr:uid="{00000000-0005-0000-0000-0000267C0000}"/>
    <cellStyle name="Input 6 2 3 7 4" xfId="31788" xr:uid="{00000000-0005-0000-0000-0000277C0000}"/>
    <cellStyle name="Input 6 2 3 7 5" xfId="31789" xr:uid="{00000000-0005-0000-0000-0000287C0000}"/>
    <cellStyle name="Input 6 2 3 7 6" xfId="31790" xr:uid="{00000000-0005-0000-0000-0000297C0000}"/>
    <cellStyle name="Input 6 2 3 8" xfId="31791" xr:uid="{00000000-0005-0000-0000-00002A7C0000}"/>
    <cellStyle name="Input 6 2 3 8 2" xfId="31792" xr:uid="{00000000-0005-0000-0000-00002B7C0000}"/>
    <cellStyle name="Input 6 2 3 8 2 2" xfId="31793" xr:uid="{00000000-0005-0000-0000-00002C7C0000}"/>
    <cellStyle name="Input 6 2 3 8 2 3" xfId="31794" xr:uid="{00000000-0005-0000-0000-00002D7C0000}"/>
    <cellStyle name="Input 6 2 3 8 2 4" xfId="31795" xr:uid="{00000000-0005-0000-0000-00002E7C0000}"/>
    <cellStyle name="Input 6 2 3 8 2 5" xfId="31796" xr:uid="{00000000-0005-0000-0000-00002F7C0000}"/>
    <cellStyle name="Input 6 2 3 8 2 6" xfId="31797" xr:uid="{00000000-0005-0000-0000-0000307C0000}"/>
    <cellStyle name="Input 6 2 3 8 3" xfId="31798" xr:uid="{00000000-0005-0000-0000-0000317C0000}"/>
    <cellStyle name="Input 6 2 3 8 4" xfId="31799" xr:uid="{00000000-0005-0000-0000-0000327C0000}"/>
    <cellStyle name="Input 6 2 3 8 5" xfId="31800" xr:uid="{00000000-0005-0000-0000-0000337C0000}"/>
    <cellStyle name="Input 6 2 3 8 6" xfId="31801" xr:uid="{00000000-0005-0000-0000-0000347C0000}"/>
    <cellStyle name="Input 6 2 3 9" xfId="31802" xr:uid="{00000000-0005-0000-0000-0000357C0000}"/>
    <cellStyle name="Input 6 2 3 9 2" xfId="31803" xr:uid="{00000000-0005-0000-0000-0000367C0000}"/>
    <cellStyle name="Input 6 2 3 9 3" xfId="31804" xr:uid="{00000000-0005-0000-0000-0000377C0000}"/>
    <cellStyle name="Input 6 2 3 9 4" xfId="31805" xr:uid="{00000000-0005-0000-0000-0000387C0000}"/>
    <cellStyle name="Input 6 2 3 9 5" xfId="31806" xr:uid="{00000000-0005-0000-0000-0000397C0000}"/>
    <cellStyle name="Input 6 2 3 9 6" xfId="31807" xr:uid="{00000000-0005-0000-0000-00003A7C0000}"/>
    <cellStyle name="Input 6 2 4" xfId="31808" xr:uid="{00000000-0005-0000-0000-00003B7C0000}"/>
    <cellStyle name="Input 6 2 4 2" xfId="31809" xr:uid="{00000000-0005-0000-0000-00003C7C0000}"/>
    <cellStyle name="Input 6 2 4 2 2" xfId="31810" xr:uid="{00000000-0005-0000-0000-00003D7C0000}"/>
    <cellStyle name="Input 6 2 4 2 2 2" xfId="31811" xr:uid="{00000000-0005-0000-0000-00003E7C0000}"/>
    <cellStyle name="Input 6 2 4 2 2 3" xfId="31812" xr:uid="{00000000-0005-0000-0000-00003F7C0000}"/>
    <cellStyle name="Input 6 2 4 2 2 4" xfId="31813" xr:uid="{00000000-0005-0000-0000-0000407C0000}"/>
    <cellStyle name="Input 6 2 4 2 2 5" xfId="31814" xr:uid="{00000000-0005-0000-0000-0000417C0000}"/>
    <cellStyle name="Input 6 2 4 2 2 6" xfId="31815" xr:uid="{00000000-0005-0000-0000-0000427C0000}"/>
    <cellStyle name="Input 6 2 4 2 3" xfId="31816" xr:uid="{00000000-0005-0000-0000-0000437C0000}"/>
    <cellStyle name="Input 6 2 4 2 4" xfId="31817" xr:uid="{00000000-0005-0000-0000-0000447C0000}"/>
    <cellStyle name="Input 6 2 4 2 5" xfId="31818" xr:uid="{00000000-0005-0000-0000-0000457C0000}"/>
    <cellStyle name="Input 6 2 4 2 6" xfId="31819" xr:uid="{00000000-0005-0000-0000-0000467C0000}"/>
    <cellStyle name="Input 6 2 4 3" xfId="31820" xr:uid="{00000000-0005-0000-0000-0000477C0000}"/>
    <cellStyle name="Input 6 2 4 3 2" xfId="31821" xr:uid="{00000000-0005-0000-0000-0000487C0000}"/>
    <cellStyle name="Input 6 2 4 3 2 2" xfId="31822" xr:uid="{00000000-0005-0000-0000-0000497C0000}"/>
    <cellStyle name="Input 6 2 4 3 2 3" xfId="31823" xr:uid="{00000000-0005-0000-0000-00004A7C0000}"/>
    <cellStyle name="Input 6 2 4 3 2 4" xfId="31824" xr:uid="{00000000-0005-0000-0000-00004B7C0000}"/>
    <cellStyle name="Input 6 2 4 3 2 5" xfId="31825" xr:uid="{00000000-0005-0000-0000-00004C7C0000}"/>
    <cellStyle name="Input 6 2 4 3 2 6" xfId="31826" xr:uid="{00000000-0005-0000-0000-00004D7C0000}"/>
    <cellStyle name="Input 6 2 4 3 3" xfId="31827" xr:uid="{00000000-0005-0000-0000-00004E7C0000}"/>
    <cellStyle name="Input 6 2 4 3 4" xfId="31828" xr:uid="{00000000-0005-0000-0000-00004F7C0000}"/>
    <cellStyle name="Input 6 2 4 3 5" xfId="31829" xr:uid="{00000000-0005-0000-0000-0000507C0000}"/>
    <cellStyle name="Input 6 2 4 3 6" xfId="31830" xr:uid="{00000000-0005-0000-0000-0000517C0000}"/>
    <cellStyle name="Input 6 2 4 4" xfId="31831" xr:uid="{00000000-0005-0000-0000-0000527C0000}"/>
    <cellStyle name="Input 6 2 4 4 2" xfId="31832" xr:uid="{00000000-0005-0000-0000-0000537C0000}"/>
    <cellStyle name="Input 6 2 4 4 3" xfId="31833" xr:uid="{00000000-0005-0000-0000-0000547C0000}"/>
    <cellStyle name="Input 6 2 4 4 4" xfId="31834" xr:uid="{00000000-0005-0000-0000-0000557C0000}"/>
    <cellStyle name="Input 6 2 4 4 5" xfId="31835" xr:uid="{00000000-0005-0000-0000-0000567C0000}"/>
    <cellStyle name="Input 6 2 4 4 6" xfId="31836" xr:uid="{00000000-0005-0000-0000-0000577C0000}"/>
    <cellStyle name="Input 6 2 4 5" xfId="31837" xr:uid="{00000000-0005-0000-0000-0000587C0000}"/>
    <cellStyle name="Input 6 2 4 6" xfId="31838" xr:uid="{00000000-0005-0000-0000-0000597C0000}"/>
    <cellStyle name="Input 6 2 4 7" xfId="31839" xr:uid="{00000000-0005-0000-0000-00005A7C0000}"/>
    <cellStyle name="Input 6 2 4 8" xfId="31840" xr:uid="{00000000-0005-0000-0000-00005B7C0000}"/>
    <cellStyle name="Input 6 2 5" xfId="31841" xr:uid="{00000000-0005-0000-0000-00005C7C0000}"/>
    <cellStyle name="Input 6 2 5 2" xfId="31842" xr:uid="{00000000-0005-0000-0000-00005D7C0000}"/>
    <cellStyle name="Input 6 2 5 2 2" xfId="31843" xr:uid="{00000000-0005-0000-0000-00005E7C0000}"/>
    <cellStyle name="Input 6 2 5 2 2 2" xfId="31844" xr:uid="{00000000-0005-0000-0000-00005F7C0000}"/>
    <cellStyle name="Input 6 2 5 2 2 3" xfId="31845" xr:uid="{00000000-0005-0000-0000-0000607C0000}"/>
    <cellStyle name="Input 6 2 5 2 2 4" xfId="31846" xr:uid="{00000000-0005-0000-0000-0000617C0000}"/>
    <cellStyle name="Input 6 2 5 2 2 5" xfId="31847" xr:uid="{00000000-0005-0000-0000-0000627C0000}"/>
    <cellStyle name="Input 6 2 5 2 2 6" xfId="31848" xr:uid="{00000000-0005-0000-0000-0000637C0000}"/>
    <cellStyle name="Input 6 2 5 2 3" xfId="31849" xr:uid="{00000000-0005-0000-0000-0000647C0000}"/>
    <cellStyle name="Input 6 2 5 2 4" xfId="31850" xr:uid="{00000000-0005-0000-0000-0000657C0000}"/>
    <cellStyle name="Input 6 2 5 2 5" xfId="31851" xr:uid="{00000000-0005-0000-0000-0000667C0000}"/>
    <cellStyle name="Input 6 2 5 2 6" xfId="31852" xr:uid="{00000000-0005-0000-0000-0000677C0000}"/>
    <cellStyle name="Input 6 2 5 3" xfId="31853" xr:uid="{00000000-0005-0000-0000-0000687C0000}"/>
    <cellStyle name="Input 6 2 5 3 2" xfId="31854" xr:uid="{00000000-0005-0000-0000-0000697C0000}"/>
    <cellStyle name="Input 6 2 5 3 2 2" xfId="31855" xr:uid="{00000000-0005-0000-0000-00006A7C0000}"/>
    <cellStyle name="Input 6 2 5 3 2 3" xfId="31856" xr:uid="{00000000-0005-0000-0000-00006B7C0000}"/>
    <cellStyle name="Input 6 2 5 3 2 4" xfId="31857" xr:uid="{00000000-0005-0000-0000-00006C7C0000}"/>
    <cellStyle name="Input 6 2 5 3 2 5" xfId="31858" xr:uid="{00000000-0005-0000-0000-00006D7C0000}"/>
    <cellStyle name="Input 6 2 5 3 2 6" xfId="31859" xr:uid="{00000000-0005-0000-0000-00006E7C0000}"/>
    <cellStyle name="Input 6 2 5 3 3" xfId="31860" xr:uid="{00000000-0005-0000-0000-00006F7C0000}"/>
    <cellStyle name="Input 6 2 5 3 4" xfId="31861" xr:uid="{00000000-0005-0000-0000-0000707C0000}"/>
    <cellStyle name="Input 6 2 5 3 5" xfId="31862" xr:uid="{00000000-0005-0000-0000-0000717C0000}"/>
    <cellStyle name="Input 6 2 5 3 6" xfId="31863" xr:uid="{00000000-0005-0000-0000-0000727C0000}"/>
    <cellStyle name="Input 6 2 5 4" xfId="31864" xr:uid="{00000000-0005-0000-0000-0000737C0000}"/>
    <cellStyle name="Input 6 2 5 4 2" xfId="31865" xr:uid="{00000000-0005-0000-0000-0000747C0000}"/>
    <cellStyle name="Input 6 2 5 4 3" xfId="31866" xr:uid="{00000000-0005-0000-0000-0000757C0000}"/>
    <cellStyle name="Input 6 2 5 4 4" xfId="31867" xr:uid="{00000000-0005-0000-0000-0000767C0000}"/>
    <cellStyle name="Input 6 2 5 4 5" xfId="31868" xr:uid="{00000000-0005-0000-0000-0000777C0000}"/>
    <cellStyle name="Input 6 2 5 4 6" xfId="31869" xr:uid="{00000000-0005-0000-0000-0000787C0000}"/>
    <cellStyle name="Input 6 2 5 5" xfId="31870" xr:uid="{00000000-0005-0000-0000-0000797C0000}"/>
    <cellStyle name="Input 6 2 5 6" xfId="31871" xr:uid="{00000000-0005-0000-0000-00007A7C0000}"/>
    <cellStyle name="Input 6 2 5 7" xfId="31872" xr:uid="{00000000-0005-0000-0000-00007B7C0000}"/>
    <cellStyle name="Input 6 2 5 8" xfId="31873" xr:uid="{00000000-0005-0000-0000-00007C7C0000}"/>
    <cellStyle name="Input 6 2 6" xfId="31874" xr:uid="{00000000-0005-0000-0000-00007D7C0000}"/>
    <cellStyle name="Input 6 2 6 2" xfId="31875" xr:uid="{00000000-0005-0000-0000-00007E7C0000}"/>
    <cellStyle name="Input 6 2 6 2 2" xfId="31876" xr:uid="{00000000-0005-0000-0000-00007F7C0000}"/>
    <cellStyle name="Input 6 2 6 2 2 2" xfId="31877" xr:uid="{00000000-0005-0000-0000-0000807C0000}"/>
    <cellStyle name="Input 6 2 6 2 2 3" xfId="31878" xr:uid="{00000000-0005-0000-0000-0000817C0000}"/>
    <cellStyle name="Input 6 2 6 2 2 4" xfId="31879" xr:uid="{00000000-0005-0000-0000-0000827C0000}"/>
    <cellStyle name="Input 6 2 6 2 2 5" xfId="31880" xr:uid="{00000000-0005-0000-0000-0000837C0000}"/>
    <cellStyle name="Input 6 2 6 2 2 6" xfId="31881" xr:uid="{00000000-0005-0000-0000-0000847C0000}"/>
    <cellStyle name="Input 6 2 6 2 3" xfId="31882" xr:uid="{00000000-0005-0000-0000-0000857C0000}"/>
    <cellStyle name="Input 6 2 6 2 4" xfId="31883" xr:uid="{00000000-0005-0000-0000-0000867C0000}"/>
    <cellStyle name="Input 6 2 6 2 5" xfId="31884" xr:uid="{00000000-0005-0000-0000-0000877C0000}"/>
    <cellStyle name="Input 6 2 6 2 6" xfId="31885" xr:uid="{00000000-0005-0000-0000-0000887C0000}"/>
    <cellStyle name="Input 6 2 6 3" xfId="31886" xr:uid="{00000000-0005-0000-0000-0000897C0000}"/>
    <cellStyle name="Input 6 2 6 3 2" xfId="31887" xr:uid="{00000000-0005-0000-0000-00008A7C0000}"/>
    <cellStyle name="Input 6 2 6 3 2 2" xfId="31888" xr:uid="{00000000-0005-0000-0000-00008B7C0000}"/>
    <cellStyle name="Input 6 2 6 3 2 3" xfId="31889" xr:uid="{00000000-0005-0000-0000-00008C7C0000}"/>
    <cellStyle name="Input 6 2 6 3 2 4" xfId="31890" xr:uid="{00000000-0005-0000-0000-00008D7C0000}"/>
    <cellStyle name="Input 6 2 6 3 2 5" xfId="31891" xr:uid="{00000000-0005-0000-0000-00008E7C0000}"/>
    <cellStyle name="Input 6 2 6 3 2 6" xfId="31892" xr:uid="{00000000-0005-0000-0000-00008F7C0000}"/>
    <cellStyle name="Input 6 2 6 3 3" xfId="31893" xr:uid="{00000000-0005-0000-0000-0000907C0000}"/>
    <cellStyle name="Input 6 2 6 3 4" xfId="31894" xr:uid="{00000000-0005-0000-0000-0000917C0000}"/>
    <cellStyle name="Input 6 2 6 3 5" xfId="31895" xr:uid="{00000000-0005-0000-0000-0000927C0000}"/>
    <cellStyle name="Input 6 2 6 3 6" xfId="31896" xr:uid="{00000000-0005-0000-0000-0000937C0000}"/>
    <cellStyle name="Input 6 2 6 4" xfId="31897" xr:uid="{00000000-0005-0000-0000-0000947C0000}"/>
    <cellStyle name="Input 6 2 6 4 2" xfId="31898" xr:uid="{00000000-0005-0000-0000-0000957C0000}"/>
    <cellStyle name="Input 6 2 6 4 3" xfId="31899" xr:uid="{00000000-0005-0000-0000-0000967C0000}"/>
    <cellStyle name="Input 6 2 6 4 4" xfId="31900" xr:uid="{00000000-0005-0000-0000-0000977C0000}"/>
    <cellStyle name="Input 6 2 6 4 5" xfId="31901" xr:uid="{00000000-0005-0000-0000-0000987C0000}"/>
    <cellStyle name="Input 6 2 6 4 6" xfId="31902" xr:uid="{00000000-0005-0000-0000-0000997C0000}"/>
    <cellStyle name="Input 6 2 6 5" xfId="31903" xr:uid="{00000000-0005-0000-0000-00009A7C0000}"/>
    <cellStyle name="Input 6 2 6 6" xfId="31904" xr:uid="{00000000-0005-0000-0000-00009B7C0000}"/>
    <cellStyle name="Input 6 2 6 7" xfId="31905" xr:uid="{00000000-0005-0000-0000-00009C7C0000}"/>
    <cellStyle name="Input 6 2 6 8" xfId="31906" xr:uid="{00000000-0005-0000-0000-00009D7C0000}"/>
    <cellStyle name="Input 6 2 7" xfId="31907" xr:uid="{00000000-0005-0000-0000-00009E7C0000}"/>
    <cellStyle name="Input 6 2 7 2" xfId="31908" xr:uid="{00000000-0005-0000-0000-00009F7C0000}"/>
    <cellStyle name="Input 6 2 7 2 2" xfId="31909" xr:uid="{00000000-0005-0000-0000-0000A07C0000}"/>
    <cellStyle name="Input 6 2 7 2 3" xfId="31910" xr:uid="{00000000-0005-0000-0000-0000A17C0000}"/>
    <cellStyle name="Input 6 2 7 2 4" xfId="31911" xr:uid="{00000000-0005-0000-0000-0000A27C0000}"/>
    <cellStyle name="Input 6 2 7 2 5" xfId="31912" xr:uid="{00000000-0005-0000-0000-0000A37C0000}"/>
    <cellStyle name="Input 6 2 7 2 6" xfId="31913" xr:uid="{00000000-0005-0000-0000-0000A47C0000}"/>
    <cellStyle name="Input 6 2 7 3" xfId="31914" xr:uid="{00000000-0005-0000-0000-0000A57C0000}"/>
    <cellStyle name="Input 6 2 7 4" xfId="31915" xr:uid="{00000000-0005-0000-0000-0000A67C0000}"/>
    <cellStyle name="Input 6 2 7 5" xfId="31916" xr:uid="{00000000-0005-0000-0000-0000A77C0000}"/>
    <cellStyle name="Input 6 2 7 6" xfId="31917" xr:uid="{00000000-0005-0000-0000-0000A87C0000}"/>
    <cellStyle name="Input 6 2 8" xfId="31918" xr:uid="{00000000-0005-0000-0000-0000A97C0000}"/>
    <cellStyle name="Input 6 2 8 2" xfId="31919" xr:uid="{00000000-0005-0000-0000-0000AA7C0000}"/>
    <cellStyle name="Input 6 2 8 2 2" xfId="31920" xr:uid="{00000000-0005-0000-0000-0000AB7C0000}"/>
    <cellStyle name="Input 6 2 8 2 3" xfId="31921" xr:uid="{00000000-0005-0000-0000-0000AC7C0000}"/>
    <cellStyle name="Input 6 2 8 2 4" xfId="31922" xr:uid="{00000000-0005-0000-0000-0000AD7C0000}"/>
    <cellStyle name="Input 6 2 8 2 5" xfId="31923" xr:uid="{00000000-0005-0000-0000-0000AE7C0000}"/>
    <cellStyle name="Input 6 2 8 2 6" xfId="31924" xr:uid="{00000000-0005-0000-0000-0000AF7C0000}"/>
    <cellStyle name="Input 6 2 8 3" xfId="31925" xr:uid="{00000000-0005-0000-0000-0000B07C0000}"/>
    <cellStyle name="Input 6 2 8 4" xfId="31926" xr:uid="{00000000-0005-0000-0000-0000B17C0000}"/>
    <cellStyle name="Input 6 2 8 5" xfId="31927" xr:uid="{00000000-0005-0000-0000-0000B27C0000}"/>
    <cellStyle name="Input 6 2 8 6" xfId="31928" xr:uid="{00000000-0005-0000-0000-0000B37C0000}"/>
    <cellStyle name="Input 6 2 9" xfId="31929" xr:uid="{00000000-0005-0000-0000-0000B47C0000}"/>
    <cellStyle name="Input 6 2 9 2" xfId="31930" xr:uid="{00000000-0005-0000-0000-0000B57C0000}"/>
    <cellStyle name="Input 6 2 9 3" xfId="31931" xr:uid="{00000000-0005-0000-0000-0000B67C0000}"/>
    <cellStyle name="Input 6 2 9 4" xfId="31932" xr:uid="{00000000-0005-0000-0000-0000B77C0000}"/>
    <cellStyle name="Input 6 2 9 5" xfId="31933" xr:uid="{00000000-0005-0000-0000-0000B87C0000}"/>
    <cellStyle name="Input 6 2 9 6" xfId="31934" xr:uid="{00000000-0005-0000-0000-0000B97C0000}"/>
    <cellStyle name="Input 7" xfId="31935" xr:uid="{00000000-0005-0000-0000-0000BA7C0000}"/>
    <cellStyle name="Input 7 2" xfId="31936" xr:uid="{00000000-0005-0000-0000-0000BB7C0000}"/>
    <cellStyle name="Input 7 2 10" xfId="31937" xr:uid="{00000000-0005-0000-0000-0000BC7C0000}"/>
    <cellStyle name="Input 7 2 11" xfId="31938" xr:uid="{00000000-0005-0000-0000-0000BD7C0000}"/>
    <cellStyle name="Input 7 2 12" xfId="31939" xr:uid="{00000000-0005-0000-0000-0000BE7C0000}"/>
    <cellStyle name="Input 7 2 13" xfId="31940" xr:uid="{00000000-0005-0000-0000-0000BF7C0000}"/>
    <cellStyle name="Input 7 2 2" xfId="31941" xr:uid="{00000000-0005-0000-0000-0000C07C0000}"/>
    <cellStyle name="Input 7 2 2 10" xfId="31942" xr:uid="{00000000-0005-0000-0000-0000C17C0000}"/>
    <cellStyle name="Input 7 2 2 10 2" xfId="31943" xr:uid="{00000000-0005-0000-0000-0000C27C0000}"/>
    <cellStyle name="Input 7 2 2 10 3" xfId="31944" xr:uid="{00000000-0005-0000-0000-0000C37C0000}"/>
    <cellStyle name="Input 7 2 2 10 4" xfId="31945" xr:uid="{00000000-0005-0000-0000-0000C47C0000}"/>
    <cellStyle name="Input 7 2 2 10 5" xfId="31946" xr:uid="{00000000-0005-0000-0000-0000C57C0000}"/>
    <cellStyle name="Input 7 2 2 10 6" xfId="31947" xr:uid="{00000000-0005-0000-0000-0000C67C0000}"/>
    <cellStyle name="Input 7 2 2 11" xfId="31948" xr:uid="{00000000-0005-0000-0000-0000C77C0000}"/>
    <cellStyle name="Input 7 2 2 12" xfId="31949" xr:uid="{00000000-0005-0000-0000-0000C87C0000}"/>
    <cellStyle name="Input 7 2 2 13" xfId="31950" xr:uid="{00000000-0005-0000-0000-0000C97C0000}"/>
    <cellStyle name="Input 7 2 2 14" xfId="31951" xr:uid="{00000000-0005-0000-0000-0000CA7C0000}"/>
    <cellStyle name="Input 7 2 2 2" xfId="31952" xr:uid="{00000000-0005-0000-0000-0000CB7C0000}"/>
    <cellStyle name="Input 7 2 2 2 10" xfId="31953" xr:uid="{00000000-0005-0000-0000-0000CC7C0000}"/>
    <cellStyle name="Input 7 2 2 2 11" xfId="31954" xr:uid="{00000000-0005-0000-0000-0000CD7C0000}"/>
    <cellStyle name="Input 7 2 2 2 12" xfId="31955" xr:uid="{00000000-0005-0000-0000-0000CE7C0000}"/>
    <cellStyle name="Input 7 2 2 2 13" xfId="31956" xr:uid="{00000000-0005-0000-0000-0000CF7C0000}"/>
    <cellStyle name="Input 7 2 2 2 2" xfId="31957" xr:uid="{00000000-0005-0000-0000-0000D07C0000}"/>
    <cellStyle name="Input 7 2 2 2 2 2" xfId="31958" xr:uid="{00000000-0005-0000-0000-0000D17C0000}"/>
    <cellStyle name="Input 7 2 2 2 2 2 2" xfId="31959" xr:uid="{00000000-0005-0000-0000-0000D27C0000}"/>
    <cellStyle name="Input 7 2 2 2 2 2 2 2" xfId="31960" xr:uid="{00000000-0005-0000-0000-0000D37C0000}"/>
    <cellStyle name="Input 7 2 2 2 2 2 2 3" xfId="31961" xr:uid="{00000000-0005-0000-0000-0000D47C0000}"/>
    <cellStyle name="Input 7 2 2 2 2 2 2 4" xfId="31962" xr:uid="{00000000-0005-0000-0000-0000D57C0000}"/>
    <cellStyle name="Input 7 2 2 2 2 2 2 5" xfId="31963" xr:uid="{00000000-0005-0000-0000-0000D67C0000}"/>
    <cellStyle name="Input 7 2 2 2 2 2 2 6" xfId="31964" xr:uid="{00000000-0005-0000-0000-0000D77C0000}"/>
    <cellStyle name="Input 7 2 2 2 2 2 3" xfId="31965" xr:uid="{00000000-0005-0000-0000-0000D87C0000}"/>
    <cellStyle name="Input 7 2 2 2 2 2 4" xfId="31966" xr:uid="{00000000-0005-0000-0000-0000D97C0000}"/>
    <cellStyle name="Input 7 2 2 2 2 2 5" xfId="31967" xr:uid="{00000000-0005-0000-0000-0000DA7C0000}"/>
    <cellStyle name="Input 7 2 2 2 2 2 6" xfId="31968" xr:uid="{00000000-0005-0000-0000-0000DB7C0000}"/>
    <cellStyle name="Input 7 2 2 2 2 3" xfId="31969" xr:uid="{00000000-0005-0000-0000-0000DC7C0000}"/>
    <cellStyle name="Input 7 2 2 2 2 3 2" xfId="31970" xr:uid="{00000000-0005-0000-0000-0000DD7C0000}"/>
    <cellStyle name="Input 7 2 2 2 2 3 2 2" xfId="31971" xr:uid="{00000000-0005-0000-0000-0000DE7C0000}"/>
    <cellStyle name="Input 7 2 2 2 2 3 2 3" xfId="31972" xr:uid="{00000000-0005-0000-0000-0000DF7C0000}"/>
    <cellStyle name="Input 7 2 2 2 2 3 2 4" xfId="31973" xr:uid="{00000000-0005-0000-0000-0000E07C0000}"/>
    <cellStyle name="Input 7 2 2 2 2 3 2 5" xfId="31974" xr:uid="{00000000-0005-0000-0000-0000E17C0000}"/>
    <cellStyle name="Input 7 2 2 2 2 3 2 6" xfId="31975" xr:uid="{00000000-0005-0000-0000-0000E27C0000}"/>
    <cellStyle name="Input 7 2 2 2 2 3 3" xfId="31976" xr:uid="{00000000-0005-0000-0000-0000E37C0000}"/>
    <cellStyle name="Input 7 2 2 2 2 3 4" xfId="31977" xr:uid="{00000000-0005-0000-0000-0000E47C0000}"/>
    <cellStyle name="Input 7 2 2 2 2 3 5" xfId="31978" xr:uid="{00000000-0005-0000-0000-0000E57C0000}"/>
    <cellStyle name="Input 7 2 2 2 2 3 6" xfId="31979" xr:uid="{00000000-0005-0000-0000-0000E67C0000}"/>
    <cellStyle name="Input 7 2 2 2 2 4" xfId="31980" xr:uid="{00000000-0005-0000-0000-0000E77C0000}"/>
    <cellStyle name="Input 7 2 2 2 2 4 2" xfId="31981" xr:uid="{00000000-0005-0000-0000-0000E87C0000}"/>
    <cellStyle name="Input 7 2 2 2 2 4 3" xfId="31982" xr:uid="{00000000-0005-0000-0000-0000E97C0000}"/>
    <cellStyle name="Input 7 2 2 2 2 4 4" xfId="31983" xr:uid="{00000000-0005-0000-0000-0000EA7C0000}"/>
    <cellStyle name="Input 7 2 2 2 2 4 5" xfId="31984" xr:uid="{00000000-0005-0000-0000-0000EB7C0000}"/>
    <cellStyle name="Input 7 2 2 2 2 4 6" xfId="31985" xr:uid="{00000000-0005-0000-0000-0000EC7C0000}"/>
    <cellStyle name="Input 7 2 2 2 2 5" xfId="31986" xr:uid="{00000000-0005-0000-0000-0000ED7C0000}"/>
    <cellStyle name="Input 7 2 2 2 2 6" xfId="31987" xr:uid="{00000000-0005-0000-0000-0000EE7C0000}"/>
    <cellStyle name="Input 7 2 2 2 2 7" xfId="31988" xr:uid="{00000000-0005-0000-0000-0000EF7C0000}"/>
    <cellStyle name="Input 7 2 2 2 2 8" xfId="31989" xr:uid="{00000000-0005-0000-0000-0000F07C0000}"/>
    <cellStyle name="Input 7 2 2 2 3" xfId="31990" xr:uid="{00000000-0005-0000-0000-0000F17C0000}"/>
    <cellStyle name="Input 7 2 2 2 3 2" xfId="31991" xr:uid="{00000000-0005-0000-0000-0000F27C0000}"/>
    <cellStyle name="Input 7 2 2 2 3 2 2" xfId="31992" xr:uid="{00000000-0005-0000-0000-0000F37C0000}"/>
    <cellStyle name="Input 7 2 2 2 3 2 2 2" xfId="31993" xr:uid="{00000000-0005-0000-0000-0000F47C0000}"/>
    <cellStyle name="Input 7 2 2 2 3 2 2 3" xfId="31994" xr:uid="{00000000-0005-0000-0000-0000F57C0000}"/>
    <cellStyle name="Input 7 2 2 2 3 2 2 4" xfId="31995" xr:uid="{00000000-0005-0000-0000-0000F67C0000}"/>
    <cellStyle name="Input 7 2 2 2 3 2 2 5" xfId="31996" xr:uid="{00000000-0005-0000-0000-0000F77C0000}"/>
    <cellStyle name="Input 7 2 2 2 3 2 2 6" xfId="31997" xr:uid="{00000000-0005-0000-0000-0000F87C0000}"/>
    <cellStyle name="Input 7 2 2 2 3 2 3" xfId="31998" xr:uid="{00000000-0005-0000-0000-0000F97C0000}"/>
    <cellStyle name="Input 7 2 2 2 3 2 4" xfId="31999" xr:uid="{00000000-0005-0000-0000-0000FA7C0000}"/>
    <cellStyle name="Input 7 2 2 2 3 2 5" xfId="32000" xr:uid="{00000000-0005-0000-0000-0000FB7C0000}"/>
    <cellStyle name="Input 7 2 2 2 3 2 6" xfId="32001" xr:uid="{00000000-0005-0000-0000-0000FC7C0000}"/>
    <cellStyle name="Input 7 2 2 2 3 3" xfId="32002" xr:uid="{00000000-0005-0000-0000-0000FD7C0000}"/>
    <cellStyle name="Input 7 2 2 2 3 3 2" xfId="32003" xr:uid="{00000000-0005-0000-0000-0000FE7C0000}"/>
    <cellStyle name="Input 7 2 2 2 3 3 2 2" xfId="32004" xr:uid="{00000000-0005-0000-0000-0000FF7C0000}"/>
    <cellStyle name="Input 7 2 2 2 3 3 2 3" xfId="32005" xr:uid="{00000000-0005-0000-0000-0000007D0000}"/>
    <cellStyle name="Input 7 2 2 2 3 3 2 4" xfId="32006" xr:uid="{00000000-0005-0000-0000-0000017D0000}"/>
    <cellStyle name="Input 7 2 2 2 3 3 2 5" xfId="32007" xr:uid="{00000000-0005-0000-0000-0000027D0000}"/>
    <cellStyle name="Input 7 2 2 2 3 3 2 6" xfId="32008" xr:uid="{00000000-0005-0000-0000-0000037D0000}"/>
    <cellStyle name="Input 7 2 2 2 3 3 3" xfId="32009" xr:uid="{00000000-0005-0000-0000-0000047D0000}"/>
    <cellStyle name="Input 7 2 2 2 3 3 4" xfId="32010" xr:uid="{00000000-0005-0000-0000-0000057D0000}"/>
    <cellStyle name="Input 7 2 2 2 3 3 5" xfId="32011" xr:uid="{00000000-0005-0000-0000-0000067D0000}"/>
    <cellStyle name="Input 7 2 2 2 3 3 6" xfId="32012" xr:uid="{00000000-0005-0000-0000-0000077D0000}"/>
    <cellStyle name="Input 7 2 2 2 3 4" xfId="32013" xr:uid="{00000000-0005-0000-0000-0000087D0000}"/>
    <cellStyle name="Input 7 2 2 2 3 4 2" xfId="32014" xr:uid="{00000000-0005-0000-0000-0000097D0000}"/>
    <cellStyle name="Input 7 2 2 2 3 4 3" xfId="32015" xr:uid="{00000000-0005-0000-0000-00000A7D0000}"/>
    <cellStyle name="Input 7 2 2 2 3 4 4" xfId="32016" xr:uid="{00000000-0005-0000-0000-00000B7D0000}"/>
    <cellStyle name="Input 7 2 2 2 3 4 5" xfId="32017" xr:uid="{00000000-0005-0000-0000-00000C7D0000}"/>
    <cellStyle name="Input 7 2 2 2 3 4 6" xfId="32018" xr:uid="{00000000-0005-0000-0000-00000D7D0000}"/>
    <cellStyle name="Input 7 2 2 2 3 5" xfId="32019" xr:uid="{00000000-0005-0000-0000-00000E7D0000}"/>
    <cellStyle name="Input 7 2 2 2 3 6" xfId="32020" xr:uid="{00000000-0005-0000-0000-00000F7D0000}"/>
    <cellStyle name="Input 7 2 2 2 3 7" xfId="32021" xr:uid="{00000000-0005-0000-0000-0000107D0000}"/>
    <cellStyle name="Input 7 2 2 2 3 8" xfId="32022" xr:uid="{00000000-0005-0000-0000-0000117D0000}"/>
    <cellStyle name="Input 7 2 2 2 4" xfId="32023" xr:uid="{00000000-0005-0000-0000-0000127D0000}"/>
    <cellStyle name="Input 7 2 2 2 4 2" xfId="32024" xr:uid="{00000000-0005-0000-0000-0000137D0000}"/>
    <cellStyle name="Input 7 2 2 2 4 2 2" xfId="32025" xr:uid="{00000000-0005-0000-0000-0000147D0000}"/>
    <cellStyle name="Input 7 2 2 2 4 2 2 2" xfId="32026" xr:uid="{00000000-0005-0000-0000-0000157D0000}"/>
    <cellStyle name="Input 7 2 2 2 4 2 2 3" xfId="32027" xr:uid="{00000000-0005-0000-0000-0000167D0000}"/>
    <cellStyle name="Input 7 2 2 2 4 2 2 4" xfId="32028" xr:uid="{00000000-0005-0000-0000-0000177D0000}"/>
    <cellStyle name="Input 7 2 2 2 4 2 2 5" xfId="32029" xr:uid="{00000000-0005-0000-0000-0000187D0000}"/>
    <cellStyle name="Input 7 2 2 2 4 2 2 6" xfId="32030" xr:uid="{00000000-0005-0000-0000-0000197D0000}"/>
    <cellStyle name="Input 7 2 2 2 4 2 3" xfId="32031" xr:uid="{00000000-0005-0000-0000-00001A7D0000}"/>
    <cellStyle name="Input 7 2 2 2 4 2 4" xfId="32032" xr:uid="{00000000-0005-0000-0000-00001B7D0000}"/>
    <cellStyle name="Input 7 2 2 2 4 2 5" xfId="32033" xr:uid="{00000000-0005-0000-0000-00001C7D0000}"/>
    <cellStyle name="Input 7 2 2 2 4 2 6" xfId="32034" xr:uid="{00000000-0005-0000-0000-00001D7D0000}"/>
    <cellStyle name="Input 7 2 2 2 4 3" xfId="32035" xr:uid="{00000000-0005-0000-0000-00001E7D0000}"/>
    <cellStyle name="Input 7 2 2 2 4 3 2" xfId="32036" xr:uid="{00000000-0005-0000-0000-00001F7D0000}"/>
    <cellStyle name="Input 7 2 2 2 4 3 2 2" xfId="32037" xr:uid="{00000000-0005-0000-0000-0000207D0000}"/>
    <cellStyle name="Input 7 2 2 2 4 3 2 3" xfId="32038" xr:uid="{00000000-0005-0000-0000-0000217D0000}"/>
    <cellStyle name="Input 7 2 2 2 4 3 2 4" xfId="32039" xr:uid="{00000000-0005-0000-0000-0000227D0000}"/>
    <cellStyle name="Input 7 2 2 2 4 3 2 5" xfId="32040" xr:uid="{00000000-0005-0000-0000-0000237D0000}"/>
    <cellStyle name="Input 7 2 2 2 4 3 2 6" xfId="32041" xr:uid="{00000000-0005-0000-0000-0000247D0000}"/>
    <cellStyle name="Input 7 2 2 2 4 3 3" xfId="32042" xr:uid="{00000000-0005-0000-0000-0000257D0000}"/>
    <cellStyle name="Input 7 2 2 2 4 3 4" xfId="32043" xr:uid="{00000000-0005-0000-0000-0000267D0000}"/>
    <cellStyle name="Input 7 2 2 2 4 3 5" xfId="32044" xr:uid="{00000000-0005-0000-0000-0000277D0000}"/>
    <cellStyle name="Input 7 2 2 2 4 3 6" xfId="32045" xr:uid="{00000000-0005-0000-0000-0000287D0000}"/>
    <cellStyle name="Input 7 2 2 2 4 4" xfId="32046" xr:uid="{00000000-0005-0000-0000-0000297D0000}"/>
    <cellStyle name="Input 7 2 2 2 4 4 2" xfId="32047" xr:uid="{00000000-0005-0000-0000-00002A7D0000}"/>
    <cellStyle name="Input 7 2 2 2 4 4 3" xfId="32048" xr:uid="{00000000-0005-0000-0000-00002B7D0000}"/>
    <cellStyle name="Input 7 2 2 2 4 4 4" xfId="32049" xr:uid="{00000000-0005-0000-0000-00002C7D0000}"/>
    <cellStyle name="Input 7 2 2 2 4 4 5" xfId="32050" xr:uid="{00000000-0005-0000-0000-00002D7D0000}"/>
    <cellStyle name="Input 7 2 2 2 4 4 6" xfId="32051" xr:uid="{00000000-0005-0000-0000-00002E7D0000}"/>
    <cellStyle name="Input 7 2 2 2 4 5" xfId="32052" xr:uid="{00000000-0005-0000-0000-00002F7D0000}"/>
    <cellStyle name="Input 7 2 2 2 4 6" xfId="32053" xr:uid="{00000000-0005-0000-0000-0000307D0000}"/>
    <cellStyle name="Input 7 2 2 2 4 7" xfId="32054" xr:uid="{00000000-0005-0000-0000-0000317D0000}"/>
    <cellStyle name="Input 7 2 2 2 4 8" xfId="32055" xr:uid="{00000000-0005-0000-0000-0000327D0000}"/>
    <cellStyle name="Input 7 2 2 2 5" xfId="32056" xr:uid="{00000000-0005-0000-0000-0000337D0000}"/>
    <cellStyle name="Input 7 2 2 2 5 2" xfId="32057" xr:uid="{00000000-0005-0000-0000-0000347D0000}"/>
    <cellStyle name="Input 7 2 2 2 5 2 2" xfId="32058" xr:uid="{00000000-0005-0000-0000-0000357D0000}"/>
    <cellStyle name="Input 7 2 2 2 5 2 2 2" xfId="32059" xr:uid="{00000000-0005-0000-0000-0000367D0000}"/>
    <cellStyle name="Input 7 2 2 2 5 2 2 3" xfId="32060" xr:uid="{00000000-0005-0000-0000-0000377D0000}"/>
    <cellStyle name="Input 7 2 2 2 5 2 2 4" xfId="32061" xr:uid="{00000000-0005-0000-0000-0000387D0000}"/>
    <cellStyle name="Input 7 2 2 2 5 2 2 5" xfId="32062" xr:uid="{00000000-0005-0000-0000-0000397D0000}"/>
    <cellStyle name="Input 7 2 2 2 5 2 2 6" xfId="32063" xr:uid="{00000000-0005-0000-0000-00003A7D0000}"/>
    <cellStyle name="Input 7 2 2 2 5 2 3" xfId="32064" xr:uid="{00000000-0005-0000-0000-00003B7D0000}"/>
    <cellStyle name="Input 7 2 2 2 5 2 4" xfId="32065" xr:uid="{00000000-0005-0000-0000-00003C7D0000}"/>
    <cellStyle name="Input 7 2 2 2 5 2 5" xfId="32066" xr:uid="{00000000-0005-0000-0000-00003D7D0000}"/>
    <cellStyle name="Input 7 2 2 2 5 2 6" xfId="32067" xr:uid="{00000000-0005-0000-0000-00003E7D0000}"/>
    <cellStyle name="Input 7 2 2 2 5 3" xfId="32068" xr:uid="{00000000-0005-0000-0000-00003F7D0000}"/>
    <cellStyle name="Input 7 2 2 2 5 3 2" xfId="32069" xr:uid="{00000000-0005-0000-0000-0000407D0000}"/>
    <cellStyle name="Input 7 2 2 2 5 3 2 2" xfId="32070" xr:uid="{00000000-0005-0000-0000-0000417D0000}"/>
    <cellStyle name="Input 7 2 2 2 5 3 2 3" xfId="32071" xr:uid="{00000000-0005-0000-0000-0000427D0000}"/>
    <cellStyle name="Input 7 2 2 2 5 3 2 4" xfId="32072" xr:uid="{00000000-0005-0000-0000-0000437D0000}"/>
    <cellStyle name="Input 7 2 2 2 5 3 2 5" xfId="32073" xr:uid="{00000000-0005-0000-0000-0000447D0000}"/>
    <cellStyle name="Input 7 2 2 2 5 3 2 6" xfId="32074" xr:uid="{00000000-0005-0000-0000-0000457D0000}"/>
    <cellStyle name="Input 7 2 2 2 5 3 3" xfId="32075" xr:uid="{00000000-0005-0000-0000-0000467D0000}"/>
    <cellStyle name="Input 7 2 2 2 5 3 4" xfId="32076" xr:uid="{00000000-0005-0000-0000-0000477D0000}"/>
    <cellStyle name="Input 7 2 2 2 5 3 5" xfId="32077" xr:uid="{00000000-0005-0000-0000-0000487D0000}"/>
    <cellStyle name="Input 7 2 2 2 5 3 6" xfId="32078" xr:uid="{00000000-0005-0000-0000-0000497D0000}"/>
    <cellStyle name="Input 7 2 2 2 5 4" xfId="32079" xr:uid="{00000000-0005-0000-0000-00004A7D0000}"/>
    <cellStyle name="Input 7 2 2 2 5 4 2" xfId="32080" xr:uid="{00000000-0005-0000-0000-00004B7D0000}"/>
    <cellStyle name="Input 7 2 2 2 5 4 3" xfId="32081" xr:uid="{00000000-0005-0000-0000-00004C7D0000}"/>
    <cellStyle name="Input 7 2 2 2 5 4 4" xfId="32082" xr:uid="{00000000-0005-0000-0000-00004D7D0000}"/>
    <cellStyle name="Input 7 2 2 2 5 4 5" xfId="32083" xr:uid="{00000000-0005-0000-0000-00004E7D0000}"/>
    <cellStyle name="Input 7 2 2 2 5 4 6" xfId="32084" xr:uid="{00000000-0005-0000-0000-00004F7D0000}"/>
    <cellStyle name="Input 7 2 2 2 5 5" xfId="32085" xr:uid="{00000000-0005-0000-0000-0000507D0000}"/>
    <cellStyle name="Input 7 2 2 2 5 6" xfId="32086" xr:uid="{00000000-0005-0000-0000-0000517D0000}"/>
    <cellStyle name="Input 7 2 2 2 5 7" xfId="32087" xr:uid="{00000000-0005-0000-0000-0000527D0000}"/>
    <cellStyle name="Input 7 2 2 2 5 8" xfId="32088" xr:uid="{00000000-0005-0000-0000-0000537D0000}"/>
    <cellStyle name="Input 7 2 2 2 6" xfId="32089" xr:uid="{00000000-0005-0000-0000-0000547D0000}"/>
    <cellStyle name="Input 7 2 2 2 6 2" xfId="32090" xr:uid="{00000000-0005-0000-0000-0000557D0000}"/>
    <cellStyle name="Input 7 2 2 2 6 2 2" xfId="32091" xr:uid="{00000000-0005-0000-0000-0000567D0000}"/>
    <cellStyle name="Input 7 2 2 2 6 2 2 2" xfId="32092" xr:uid="{00000000-0005-0000-0000-0000577D0000}"/>
    <cellStyle name="Input 7 2 2 2 6 2 2 3" xfId="32093" xr:uid="{00000000-0005-0000-0000-0000587D0000}"/>
    <cellStyle name="Input 7 2 2 2 6 2 2 4" xfId="32094" xr:uid="{00000000-0005-0000-0000-0000597D0000}"/>
    <cellStyle name="Input 7 2 2 2 6 2 2 5" xfId="32095" xr:uid="{00000000-0005-0000-0000-00005A7D0000}"/>
    <cellStyle name="Input 7 2 2 2 6 2 2 6" xfId="32096" xr:uid="{00000000-0005-0000-0000-00005B7D0000}"/>
    <cellStyle name="Input 7 2 2 2 6 2 3" xfId="32097" xr:uid="{00000000-0005-0000-0000-00005C7D0000}"/>
    <cellStyle name="Input 7 2 2 2 6 2 4" xfId="32098" xr:uid="{00000000-0005-0000-0000-00005D7D0000}"/>
    <cellStyle name="Input 7 2 2 2 6 2 5" xfId="32099" xr:uid="{00000000-0005-0000-0000-00005E7D0000}"/>
    <cellStyle name="Input 7 2 2 2 6 2 6" xfId="32100" xr:uid="{00000000-0005-0000-0000-00005F7D0000}"/>
    <cellStyle name="Input 7 2 2 2 6 3" xfId="32101" xr:uid="{00000000-0005-0000-0000-0000607D0000}"/>
    <cellStyle name="Input 7 2 2 2 6 3 2" xfId="32102" xr:uid="{00000000-0005-0000-0000-0000617D0000}"/>
    <cellStyle name="Input 7 2 2 2 6 3 2 2" xfId="32103" xr:uid="{00000000-0005-0000-0000-0000627D0000}"/>
    <cellStyle name="Input 7 2 2 2 6 3 2 3" xfId="32104" xr:uid="{00000000-0005-0000-0000-0000637D0000}"/>
    <cellStyle name="Input 7 2 2 2 6 3 2 4" xfId="32105" xr:uid="{00000000-0005-0000-0000-0000647D0000}"/>
    <cellStyle name="Input 7 2 2 2 6 3 2 5" xfId="32106" xr:uid="{00000000-0005-0000-0000-0000657D0000}"/>
    <cellStyle name="Input 7 2 2 2 6 3 2 6" xfId="32107" xr:uid="{00000000-0005-0000-0000-0000667D0000}"/>
    <cellStyle name="Input 7 2 2 2 6 3 3" xfId="32108" xr:uid="{00000000-0005-0000-0000-0000677D0000}"/>
    <cellStyle name="Input 7 2 2 2 6 3 4" xfId="32109" xr:uid="{00000000-0005-0000-0000-0000687D0000}"/>
    <cellStyle name="Input 7 2 2 2 6 3 5" xfId="32110" xr:uid="{00000000-0005-0000-0000-0000697D0000}"/>
    <cellStyle name="Input 7 2 2 2 6 3 6" xfId="32111" xr:uid="{00000000-0005-0000-0000-00006A7D0000}"/>
    <cellStyle name="Input 7 2 2 2 6 4" xfId="32112" xr:uid="{00000000-0005-0000-0000-00006B7D0000}"/>
    <cellStyle name="Input 7 2 2 2 6 4 2" xfId="32113" xr:uid="{00000000-0005-0000-0000-00006C7D0000}"/>
    <cellStyle name="Input 7 2 2 2 6 4 3" xfId="32114" xr:uid="{00000000-0005-0000-0000-00006D7D0000}"/>
    <cellStyle name="Input 7 2 2 2 6 4 4" xfId="32115" xr:uid="{00000000-0005-0000-0000-00006E7D0000}"/>
    <cellStyle name="Input 7 2 2 2 6 4 5" xfId="32116" xr:uid="{00000000-0005-0000-0000-00006F7D0000}"/>
    <cellStyle name="Input 7 2 2 2 6 4 6" xfId="32117" xr:uid="{00000000-0005-0000-0000-0000707D0000}"/>
    <cellStyle name="Input 7 2 2 2 6 5" xfId="32118" xr:uid="{00000000-0005-0000-0000-0000717D0000}"/>
    <cellStyle name="Input 7 2 2 2 6 6" xfId="32119" xr:uid="{00000000-0005-0000-0000-0000727D0000}"/>
    <cellStyle name="Input 7 2 2 2 6 7" xfId="32120" xr:uid="{00000000-0005-0000-0000-0000737D0000}"/>
    <cellStyle name="Input 7 2 2 2 6 8" xfId="32121" xr:uid="{00000000-0005-0000-0000-0000747D0000}"/>
    <cellStyle name="Input 7 2 2 2 7" xfId="32122" xr:uid="{00000000-0005-0000-0000-0000757D0000}"/>
    <cellStyle name="Input 7 2 2 2 7 2" xfId="32123" xr:uid="{00000000-0005-0000-0000-0000767D0000}"/>
    <cellStyle name="Input 7 2 2 2 7 2 2" xfId="32124" xr:uid="{00000000-0005-0000-0000-0000777D0000}"/>
    <cellStyle name="Input 7 2 2 2 7 2 3" xfId="32125" xr:uid="{00000000-0005-0000-0000-0000787D0000}"/>
    <cellStyle name="Input 7 2 2 2 7 2 4" xfId="32126" xr:uid="{00000000-0005-0000-0000-0000797D0000}"/>
    <cellStyle name="Input 7 2 2 2 7 2 5" xfId="32127" xr:uid="{00000000-0005-0000-0000-00007A7D0000}"/>
    <cellStyle name="Input 7 2 2 2 7 2 6" xfId="32128" xr:uid="{00000000-0005-0000-0000-00007B7D0000}"/>
    <cellStyle name="Input 7 2 2 2 7 3" xfId="32129" xr:uid="{00000000-0005-0000-0000-00007C7D0000}"/>
    <cellStyle name="Input 7 2 2 2 7 4" xfId="32130" xr:uid="{00000000-0005-0000-0000-00007D7D0000}"/>
    <cellStyle name="Input 7 2 2 2 7 5" xfId="32131" xr:uid="{00000000-0005-0000-0000-00007E7D0000}"/>
    <cellStyle name="Input 7 2 2 2 7 6" xfId="32132" xr:uid="{00000000-0005-0000-0000-00007F7D0000}"/>
    <cellStyle name="Input 7 2 2 2 8" xfId="32133" xr:uid="{00000000-0005-0000-0000-0000807D0000}"/>
    <cellStyle name="Input 7 2 2 2 8 2" xfId="32134" xr:uid="{00000000-0005-0000-0000-0000817D0000}"/>
    <cellStyle name="Input 7 2 2 2 8 2 2" xfId="32135" xr:uid="{00000000-0005-0000-0000-0000827D0000}"/>
    <cellStyle name="Input 7 2 2 2 8 2 3" xfId="32136" xr:uid="{00000000-0005-0000-0000-0000837D0000}"/>
    <cellStyle name="Input 7 2 2 2 8 2 4" xfId="32137" xr:uid="{00000000-0005-0000-0000-0000847D0000}"/>
    <cellStyle name="Input 7 2 2 2 8 2 5" xfId="32138" xr:uid="{00000000-0005-0000-0000-0000857D0000}"/>
    <cellStyle name="Input 7 2 2 2 8 2 6" xfId="32139" xr:uid="{00000000-0005-0000-0000-0000867D0000}"/>
    <cellStyle name="Input 7 2 2 2 8 3" xfId="32140" xr:uid="{00000000-0005-0000-0000-0000877D0000}"/>
    <cellStyle name="Input 7 2 2 2 8 4" xfId="32141" xr:uid="{00000000-0005-0000-0000-0000887D0000}"/>
    <cellStyle name="Input 7 2 2 2 8 5" xfId="32142" xr:uid="{00000000-0005-0000-0000-0000897D0000}"/>
    <cellStyle name="Input 7 2 2 2 8 6" xfId="32143" xr:uid="{00000000-0005-0000-0000-00008A7D0000}"/>
    <cellStyle name="Input 7 2 2 2 9" xfId="32144" xr:uid="{00000000-0005-0000-0000-00008B7D0000}"/>
    <cellStyle name="Input 7 2 2 2 9 2" xfId="32145" xr:uid="{00000000-0005-0000-0000-00008C7D0000}"/>
    <cellStyle name="Input 7 2 2 2 9 3" xfId="32146" xr:uid="{00000000-0005-0000-0000-00008D7D0000}"/>
    <cellStyle name="Input 7 2 2 2 9 4" xfId="32147" xr:uid="{00000000-0005-0000-0000-00008E7D0000}"/>
    <cellStyle name="Input 7 2 2 2 9 5" xfId="32148" xr:uid="{00000000-0005-0000-0000-00008F7D0000}"/>
    <cellStyle name="Input 7 2 2 2 9 6" xfId="32149" xr:uid="{00000000-0005-0000-0000-0000907D0000}"/>
    <cellStyle name="Input 7 2 2 3" xfId="32150" xr:uid="{00000000-0005-0000-0000-0000917D0000}"/>
    <cellStyle name="Input 7 2 2 3 2" xfId="32151" xr:uid="{00000000-0005-0000-0000-0000927D0000}"/>
    <cellStyle name="Input 7 2 2 3 2 2" xfId="32152" xr:uid="{00000000-0005-0000-0000-0000937D0000}"/>
    <cellStyle name="Input 7 2 2 3 2 2 2" xfId="32153" xr:uid="{00000000-0005-0000-0000-0000947D0000}"/>
    <cellStyle name="Input 7 2 2 3 2 2 3" xfId="32154" xr:uid="{00000000-0005-0000-0000-0000957D0000}"/>
    <cellStyle name="Input 7 2 2 3 2 2 4" xfId="32155" xr:uid="{00000000-0005-0000-0000-0000967D0000}"/>
    <cellStyle name="Input 7 2 2 3 2 2 5" xfId="32156" xr:uid="{00000000-0005-0000-0000-0000977D0000}"/>
    <cellStyle name="Input 7 2 2 3 2 2 6" xfId="32157" xr:uid="{00000000-0005-0000-0000-0000987D0000}"/>
    <cellStyle name="Input 7 2 2 3 2 3" xfId="32158" xr:uid="{00000000-0005-0000-0000-0000997D0000}"/>
    <cellStyle name="Input 7 2 2 3 2 4" xfId="32159" xr:uid="{00000000-0005-0000-0000-00009A7D0000}"/>
    <cellStyle name="Input 7 2 2 3 2 5" xfId="32160" xr:uid="{00000000-0005-0000-0000-00009B7D0000}"/>
    <cellStyle name="Input 7 2 2 3 2 6" xfId="32161" xr:uid="{00000000-0005-0000-0000-00009C7D0000}"/>
    <cellStyle name="Input 7 2 2 3 3" xfId="32162" xr:uid="{00000000-0005-0000-0000-00009D7D0000}"/>
    <cellStyle name="Input 7 2 2 3 3 2" xfId="32163" xr:uid="{00000000-0005-0000-0000-00009E7D0000}"/>
    <cellStyle name="Input 7 2 2 3 3 2 2" xfId="32164" xr:uid="{00000000-0005-0000-0000-00009F7D0000}"/>
    <cellStyle name="Input 7 2 2 3 3 2 3" xfId="32165" xr:uid="{00000000-0005-0000-0000-0000A07D0000}"/>
    <cellStyle name="Input 7 2 2 3 3 2 4" xfId="32166" xr:uid="{00000000-0005-0000-0000-0000A17D0000}"/>
    <cellStyle name="Input 7 2 2 3 3 2 5" xfId="32167" xr:uid="{00000000-0005-0000-0000-0000A27D0000}"/>
    <cellStyle name="Input 7 2 2 3 3 2 6" xfId="32168" xr:uid="{00000000-0005-0000-0000-0000A37D0000}"/>
    <cellStyle name="Input 7 2 2 3 3 3" xfId="32169" xr:uid="{00000000-0005-0000-0000-0000A47D0000}"/>
    <cellStyle name="Input 7 2 2 3 3 4" xfId="32170" xr:uid="{00000000-0005-0000-0000-0000A57D0000}"/>
    <cellStyle name="Input 7 2 2 3 3 5" xfId="32171" xr:uid="{00000000-0005-0000-0000-0000A67D0000}"/>
    <cellStyle name="Input 7 2 2 3 3 6" xfId="32172" xr:uid="{00000000-0005-0000-0000-0000A77D0000}"/>
    <cellStyle name="Input 7 2 2 3 4" xfId="32173" xr:uid="{00000000-0005-0000-0000-0000A87D0000}"/>
    <cellStyle name="Input 7 2 2 3 4 2" xfId="32174" xr:uid="{00000000-0005-0000-0000-0000A97D0000}"/>
    <cellStyle name="Input 7 2 2 3 4 3" xfId="32175" xr:uid="{00000000-0005-0000-0000-0000AA7D0000}"/>
    <cellStyle name="Input 7 2 2 3 4 4" xfId="32176" xr:uid="{00000000-0005-0000-0000-0000AB7D0000}"/>
    <cellStyle name="Input 7 2 2 3 4 5" xfId="32177" xr:uid="{00000000-0005-0000-0000-0000AC7D0000}"/>
    <cellStyle name="Input 7 2 2 3 4 6" xfId="32178" xr:uid="{00000000-0005-0000-0000-0000AD7D0000}"/>
    <cellStyle name="Input 7 2 2 3 5" xfId="32179" xr:uid="{00000000-0005-0000-0000-0000AE7D0000}"/>
    <cellStyle name="Input 7 2 2 3 6" xfId="32180" xr:uid="{00000000-0005-0000-0000-0000AF7D0000}"/>
    <cellStyle name="Input 7 2 2 3 7" xfId="32181" xr:uid="{00000000-0005-0000-0000-0000B07D0000}"/>
    <cellStyle name="Input 7 2 2 3 8" xfId="32182" xr:uid="{00000000-0005-0000-0000-0000B17D0000}"/>
    <cellStyle name="Input 7 2 2 4" xfId="32183" xr:uid="{00000000-0005-0000-0000-0000B27D0000}"/>
    <cellStyle name="Input 7 2 2 4 2" xfId="32184" xr:uid="{00000000-0005-0000-0000-0000B37D0000}"/>
    <cellStyle name="Input 7 2 2 4 2 2" xfId="32185" xr:uid="{00000000-0005-0000-0000-0000B47D0000}"/>
    <cellStyle name="Input 7 2 2 4 2 2 2" xfId="32186" xr:uid="{00000000-0005-0000-0000-0000B57D0000}"/>
    <cellStyle name="Input 7 2 2 4 2 2 3" xfId="32187" xr:uid="{00000000-0005-0000-0000-0000B67D0000}"/>
    <cellStyle name="Input 7 2 2 4 2 2 4" xfId="32188" xr:uid="{00000000-0005-0000-0000-0000B77D0000}"/>
    <cellStyle name="Input 7 2 2 4 2 2 5" xfId="32189" xr:uid="{00000000-0005-0000-0000-0000B87D0000}"/>
    <cellStyle name="Input 7 2 2 4 2 2 6" xfId="32190" xr:uid="{00000000-0005-0000-0000-0000B97D0000}"/>
    <cellStyle name="Input 7 2 2 4 2 3" xfId="32191" xr:uid="{00000000-0005-0000-0000-0000BA7D0000}"/>
    <cellStyle name="Input 7 2 2 4 2 4" xfId="32192" xr:uid="{00000000-0005-0000-0000-0000BB7D0000}"/>
    <cellStyle name="Input 7 2 2 4 2 5" xfId="32193" xr:uid="{00000000-0005-0000-0000-0000BC7D0000}"/>
    <cellStyle name="Input 7 2 2 4 2 6" xfId="32194" xr:uid="{00000000-0005-0000-0000-0000BD7D0000}"/>
    <cellStyle name="Input 7 2 2 4 3" xfId="32195" xr:uid="{00000000-0005-0000-0000-0000BE7D0000}"/>
    <cellStyle name="Input 7 2 2 4 3 2" xfId="32196" xr:uid="{00000000-0005-0000-0000-0000BF7D0000}"/>
    <cellStyle name="Input 7 2 2 4 3 2 2" xfId="32197" xr:uid="{00000000-0005-0000-0000-0000C07D0000}"/>
    <cellStyle name="Input 7 2 2 4 3 2 3" xfId="32198" xr:uid="{00000000-0005-0000-0000-0000C17D0000}"/>
    <cellStyle name="Input 7 2 2 4 3 2 4" xfId="32199" xr:uid="{00000000-0005-0000-0000-0000C27D0000}"/>
    <cellStyle name="Input 7 2 2 4 3 2 5" xfId="32200" xr:uid="{00000000-0005-0000-0000-0000C37D0000}"/>
    <cellStyle name="Input 7 2 2 4 3 2 6" xfId="32201" xr:uid="{00000000-0005-0000-0000-0000C47D0000}"/>
    <cellStyle name="Input 7 2 2 4 3 3" xfId="32202" xr:uid="{00000000-0005-0000-0000-0000C57D0000}"/>
    <cellStyle name="Input 7 2 2 4 3 4" xfId="32203" xr:uid="{00000000-0005-0000-0000-0000C67D0000}"/>
    <cellStyle name="Input 7 2 2 4 3 5" xfId="32204" xr:uid="{00000000-0005-0000-0000-0000C77D0000}"/>
    <cellStyle name="Input 7 2 2 4 3 6" xfId="32205" xr:uid="{00000000-0005-0000-0000-0000C87D0000}"/>
    <cellStyle name="Input 7 2 2 4 4" xfId="32206" xr:uid="{00000000-0005-0000-0000-0000C97D0000}"/>
    <cellStyle name="Input 7 2 2 4 4 2" xfId="32207" xr:uid="{00000000-0005-0000-0000-0000CA7D0000}"/>
    <cellStyle name="Input 7 2 2 4 4 3" xfId="32208" xr:uid="{00000000-0005-0000-0000-0000CB7D0000}"/>
    <cellStyle name="Input 7 2 2 4 4 4" xfId="32209" xr:uid="{00000000-0005-0000-0000-0000CC7D0000}"/>
    <cellStyle name="Input 7 2 2 4 4 5" xfId="32210" xr:uid="{00000000-0005-0000-0000-0000CD7D0000}"/>
    <cellStyle name="Input 7 2 2 4 4 6" xfId="32211" xr:uid="{00000000-0005-0000-0000-0000CE7D0000}"/>
    <cellStyle name="Input 7 2 2 4 5" xfId="32212" xr:uid="{00000000-0005-0000-0000-0000CF7D0000}"/>
    <cellStyle name="Input 7 2 2 4 6" xfId="32213" xr:uid="{00000000-0005-0000-0000-0000D07D0000}"/>
    <cellStyle name="Input 7 2 2 4 7" xfId="32214" xr:uid="{00000000-0005-0000-0000-0000D17D0000}"/>
    <cellStyle name="Input 7 2 2 4 8" xfId="32215" xr:uid="{00000000-0005-0000-0000-0000D27D0000}"/>
    <cellStyle name="Input 7 2 2 5" xfId="32216" xr:uid="{00000000-0005-0000-0000-0000D37D0000}"/>
    <cellStyle name="Input 7 2 2 5 2" xfId="32217" xr:uid="{00000000-0005-0000-0000-0000D47D0000}"/>
    <cellStyle name="Input 7 2 2 5 2 2" xfId="32218" xr:uid="{00000000-0005-0000-0000-0000D57D0000}"/>
    <cellStyle name="Input 7 2 2 5 2 2 2" xfId="32219" xr:uid="{00000000-0005-0000-0000-0000D67D0000}"/>
    <cellStyle name="Input 7 2 2 5 2 2 3" xfId="32220" xr:uid="{00000000-0005-0000-0000-0000D77D0000}"/>
    <cellStyle name="Input 7 2 2 5 2 2 4" xfId="32221" xr:uid="{00000000-0005-0000-0000-0000D87D0000}"/>
    <cellStyle name="Input 7 2 2 5 2 2 5" xfId="32222" xr:uid="{00000000-0005-0000-0000-0000D97D0000}"/>
    <cellStyle name="Input 7 2 2 5 2 2 6" xfId="32223" xr:uid="{00000000-0005-0000-0000-0000DA7D0000}"/>
    <cellStyle name="Input 7 2 2 5 2 3" xfId="32224" xr:uid="{00000000-0005-0000-0000-0000DB7D0000}"/>
    <cellStyle name="Input 7 2 2 5 2 4" xfId="32225" xr:uid="{00000000-0005-0000-0000-0000DC7D0000}"/>
    <cellStyle name="Input 7 2 2 5 2 5" xfId="32226" xr:uid="{00000000-0005-0000-0000-0000DD7D0000}"/>
    <cellStyle name="Input 7 2 2 5 2 6" xfId="32227" xr:uid="{00000000-0005-0000-0000-0000DE7D0000}"/>
    <cellStyle name="Input 7 2 2 5 3" xfId="32228" xr:uid="{00000000-0005-0000-0000-0000DF7D0000}"/>
    <cellStyle name="Input 7 2 2 5 3 2" xfId="32229" xr:uid="{00000000-0005-0000-0000-0000E07D0000}"/>
    <cellStyle name="Input 7 2 2 5 3 2 2" xfId="32230" xr:uid="{00000000-0005-0000-0000-0000E17D0000}"/>
    <cellStyle name="Input 7 2 2 5 3 2 3" xfId="32231" xr:uid="{00000000-0005-0000-0000-0000E27D0000}"/>
    <cellStyle name="Input 7 2 2 5 3 2 4" xfId="32232" xr:uid="{00000000-0005-0000-0000-0000E37D0000}"/>
    <cellStyle name="Input 7 2 2 5 3 2 5" xfId="32233" xr:uid="{00000000-0005-0000-0000-0000E47D0000}"/>
    <cellStyle name="Input 7 2 2 5 3 2 6" xfId="32234" xr:uid="{00000000-0005-0000-0000-0000E57D0000}"/>
    <cellStyle name="Input 7 2 2 5 3 3" xfId="32235" xr:uid="{00000000-0005-0000-0000-0000E67D0000}"/>
    <cellStyle name="Input 7 2 2 5 3 4" xfId="32236" xr:uid="{00000000-0005-0000-0000-0000E77D0000}"/>
    <cellStyle name="Input 7 2 2 5 3 5" xfId="32237" xr:uid="{00000000-0005-0000-0000-0000E87D0000}"/>
    <cellStyle name="Input 7 2 2 5 3 6" xfId="32238" xr:uid="{00000000-0005-0000-0000-0000E97D0000}"/>
    <cellStyle name="Input 7 2 2 5 4" xfId="32239" xr:uid="{00000000-0005-0000-0000-0000EA7D0000}"/>
    <cellStyle name="Input 7 2 2 5 4 2" xfId="32240" xr:uid="{00000000-0005-0000-0000-0000EB7D0000}"/>
    <cellStyle name="Input 7 2 2 5 4 3" xfId="32241" xr:uid="{00000000-0005-0000-0000-0000EC7D0000}"/>
    <cellStyle name="Input 7 2 2 5 4 4" xfId="32242" xr:uid="{00000000-0005-0000-0000-0000ED7D0000}"/>
    <cellStyle name="Input 7 2 2 5 4 5" xfId="32243" xr:uid="{00000000-0005-0000-0000-0000EE7D0000}"/>
    <cellStyle name="Input 7 2 2 5 4 6" xfId="32244" xr:uid="{00000000-0005-0000-0000-0000EF7D0000}"/>
    <cellStyle name="Input 7 2 2 5 5" xfId="32245" xr:uid="{00000000-0005-0000-0000-0000F07D0000}"/>
    <cellStyle name="Input 7 2 2 5 6" xfId="32246" xr:uid="{00000000-0005-0000-0000-0000F17D0000}"/>
    <cellStyle name="Input 7 2 2 5 7" xfId="32247" xr:uid="{00000000-0005-0000-0000-0000F27D0000}"/>
    <cellStyle name="Input 7 2 2 5 8" xfId="32248" xr:uid="{00000000-0005-0000-0000-0000F37D0000}"/>
    <cellStyle name="Input 7 2 2 6" xfId="32249" xr:uid="{00000000-0005-0000-0000-0000F47D0000}"/>
    <cellStyle name="Input 7 2 2 6 2" xfId="32250" xr:uid="{00000000-0005-0000-0000-0000F57D0000}"/>
    <cellStyle name="Input 7 2 2 6 2 2" xfId="32251" xr:uid="{00000000-0005-0000-0000-0000F67D0000}"/>
    <cellStyle name="Input 7 2 2 6 2 2 2" xfId="32252" xr:uid="{00000000-0005-0000-0000-0000F77D0000}"/>
    <cellStyle name="Input 7 2 2 6 2 2 3" xfId="32253" xr:uid="{00000000-0005-0000-0000-0000F87D0000}"/>
    <cellStyle name="Input 7 2 2 6 2 2 4" xfId="32254" xr:uid="{00000000-0005-0000-0000-0000F97D0000}"/>
    <cellStyle name="Input 7 2 2 6 2 2 5" xfId="32255" xr:uid="{00000000-0005-0000-0000-0000FA7D0000}"/>
    <cellStyle name="Input 7 2 2 6 2 2 6" xfId="32256" xr:uid="{00000000-0005-0000-0000-0000FB7D0000}"/>
    <cellStyle name="Input 7 2 2 6 2 3" xfId="32257" xr:uid="{00000000-0005-0000-0000-0000FC7D0000}"/>
    <cellStyle name="Input 7 2 2 6 2 4" xfId="32258" xr:uid="{00000000-0005-0000-0000-0000FD7D0000}"/>
    <cellStyle name="Input 7 2 2 6 2 5" xfId="32259" xr:uid="{00000000-0005-0000-0000-0000FE7D0000}"/>
    <cellStyle name="Input 7 2 2 6 2 6" xfId="32260" xr:uid="{00000000-0005-0000-0000-0000FF7D0000}"/>
    <cellStyle name="Input 7 2 2 6 3" xfId="32261" xr:uid="{00000000-0005-0000-0000-0000007E0000}"/>
    <cellStyle name="Input 7 2 2 6 3 2" xfId="32262" xr:uid="{00000000-0005-0000-0000-0000017E0000}"/>
    <cellStyle name="Input 7 2 2 6 3 2 2" xfId="32263" xr:uid="{00000000-0005-0000-0000-0000027E0000}"/>
    <cellStyle name="Input 7 2 2 6 3 2 3" xfId="32264" xr:uid="{00000000-0005-0000-0000-0000037E0000}"/>
    <cellStyle name="Input 7 2 2 6 3 2 4" xfId="32265" xr:uid="{00000000-0005-0000-0000-0000047E0000}"/>
    <cellStyle name="Input 7 2 2 6 3 2 5" xfId="32266" xr:uid="{00000000-0005-0000-0000-0000057E0000}"/>
    <cellStyle name="Input 7 2 2 6 3 2 6" xfId="32267" xr:uid="{00000000-0005-0000-0000-0000067E0000}"/>
    <cellStyle name="Input 7 2 2 6 3 3" xfId="32268" xr:uid="{00000000-0005-0000-0000-0000077E0000}"/>
    <cellStyle name="Input 7 2 2 6 3 4" xfId="32269" xr:uid="{00000000-0005-0000-0000-0000087E0000}"/>
    <cellStyle name="Input 7 2 2 6 3 5" xfId="32270" xr:uid="{00000000-0005-0000-0000-0000097E0000}"/>
    <cellStyle name="Input 7 2 2 6 3 6" xfId="32271" xr:uid="{00000000-0005-0000-0000-00000A7E0000}"/>
    <cellStyle name="Input 7 2 2 6 4" xfId="32272" xr:uid="{00000000-0005-0000-0000-00000B7E0000}"/>
    <cellStyle name="Input 7 2 2 6 4 2" xfId="32273" xr:uid="{00000000-0005-0000-0000-00000C7E0000}"/>
    <cellStyle name="Input 7 2 2 6 4 3" xfId="32274" xr:uid="{00000000-0005-0000-0000-00000D7E0000}"/>
    <cellStyle name="Input 7 2 2 6 4 4" xfId="32275" xr:uid="{00000000-0005-0000-0000-00000E7E0000}"/>
    <cellStyle name="Input 7 2 2 6 4 5" xfId="32276" xr:uid="{00000000-0005-0000-0000-00000F7E0000}"/>
    <cellStyle name="Input 7 2 2 6 4 6" xfId="32277" xr:uid="{00000000-0005-0000-0000-0000107E0000}"/>
    <cellStyle name="Input 7 2 2 6 5" xfId="32278" xr:uid="{00000000-0005-0000-0000-0000117E0000}"/>
    <cellStyle name="Input 7 2 2 6 6" xfId="32279" xr:uid="{00000000-0005-0000-0000-0000127E0000}"/>
    <cellStyle name="Input 7 2 2 6 7" xfId="32280" xr:uid="{00000000-0005-0000-0000-0000137E0000}"/>
    <cellStyle name="Input 7 2 2 6 8" xfId="32281" xr:uid="{00000000-0005-0000-0000-0000147E0000}"/>
    <cellStyle name="Input 7 2 2 7" xfId="32282" xr:uid="{00000000-0005-0000-0000-0000157E0000}"/>
    <cellStyle name="Input 7 2 2 7 2" xfId="32283" xr:uid="{00000000-0005-0000-0000-0000167E0000}"/>
    <cellStyle name="Input 7 2 2 7 2 2" xfId="32284" xr:uid="{00000000-0005-0000-0000-0000177E0000}"/>
    <cellStyle name="Input 7 2 2 7 2 2 2" xfId="32285" xr:uid="{00000000-0005-0000-0000-0000187E0000}"/>
    <cellStyle name="Input 7 2 2 7 2 2 3" xfId="32286" xr:uid="{00000000-0005-0000-0000-0000197E0000}"/>
    <cellStyle name="Input 7 2 2 7 2 2 4" xfId="32287" xr:uid="{00000000-0005-0000-0000-00001A7E0000}"/>
    <cellStyle name="Input 7 2 2 7 2 2 5" xfId="32288" xr:uid="{00000000-0005-0000-0000-00001B7E0000}"/>
    <cellStyle name="Input 7 2 2 7 2 2 6" xfId="32289" xr:uid="{00000000-0005-0000-0000-00001C7E0000}"/>
    <cellStyle name="Input 7 2 2 7 2 3" xfId="32290" xr:uid="{00000000-0005-0000-0000-00001D7E0000}"/>
    <cellStyle name="Input 7 2 2 7 2 4" xfId="32291" xr:uid="{00000000-0005-0000-0000-00001E7E0000}"/>
    <cellStyle name="Input 7 2 2 7 2 5" xfId="32292" xr:uid="{00000000-0005-0000-0000-00001F7E0000}"/>
    <cellStyle name="Input 7 2 2 7 2 6" xfId="32293" xr:uid="{00000000-0005-0000-0000-0000207E0000}"/>
    <cellStyle name="Input 7 2 2 7 3" xfId="32294" xr:uid="{00000000-0005-0000-0000-0000217E0000}"/>
    <cellStyle name="Input 7 2 2 7 3 2" xfId="32295" xr:uid="{00000000-0005-0000-0000-0000227E0000}"/>
    <cellStyle name="Input 7 2 2 7 3 2 2" xfId="32296" xr:uid="{00000000-0005-0000-0000-0000237E0000}"/>
    <cellStyle name="Input 7 2 2 7 3 2 3" xfId="32297" xr:uid="{00000000-0005-0000-0000-0000247E0000}"/>
    <cellStyle name="Input 7 2 2 7 3 2 4" xfId="32298" xr:uid="{00000000-0005-0000-0000-0000257E0000}"/>
    <cellStyle name="Input 7 2 2 7 3 2 5" xfId="32299" xr:uid="{00000000-0005-0000-0000-0000267E0000}"/>
    <cellStyle name="Input 7 2 2 7 3 2 6" xfId="32300" xr:uid="{00000000-0005-0000-0000-0000277E0000}"/>
    <cellStyle name="Input 7 2 2 7 3 3" xfId="32301" xr:uid="{00000000-0005-0000-0000-0000287E0000}"/>
    <cellStyle name="Input 7 2 2 7 3 4" xfId="32302" xr:uid="{00000000-0005-0000-0000-0000297E0000}"/>
    <cellStyle name="Input 7 2 2 7 3 5" xfId="32303" xr:uid="{00000000-0005-0000-0000-00002A7E0000}"/>
    <cellStyle name="Input 7 2 2 7 3 6" xfId="32304" xr:uid="{00000000-0005-0000-0000-00002B7E0000}"/>
    <cellStyle name="Input 7 2 2 7 4" xfId="32305" xr:uid="{00000000-0005-0000-0000-00002C7E0000}"/>
    <cellStyle name="Input 7 2 2 7 4 2" xfId="32306" xr:uid="{00000000-0005-0000-0000-00002D7E0000}"/>
    <cellStyle name="Input 7 2 2 7 4 3" xfId="32307" xr:uid="{00000000-0005-0000-0000-00002E7E0000}"/>
    <cellStyle name="Input 7 2 2 7 4 4" xfId="32308" xr:uid="{00000000-0005-0000-0000-00002F7E0000}"/>
    <cellStyle name="Input 7 2 2 7 4 5" xfId="32309" xr:uid="{00000000-0005-0000-0000-0000307E0000}"/>
    <cellStyle name="Input 7 2 2 7 4 6" xfId="32310" xr:uid="{00000000-0005-0000-0000-0000317E0000}"/>
    <cellStyle name="Input 7 2 2 7 5" xfId="32311" xr:uid="{00000000-0005-0000-0000-0000327E0000}"/>
    <cellStyle name="Input 7 2 2 7 6" xfId="32312" xr:uid="{00000000-0005-0000-0000-0000337E0000}"/>
    <cellStyle name="Input 7 2 2 7 7" xfId="32313" xr:uid="{00000000-0005-0000-0000-0000347E0000}"/>
    <cellStyle name="Input 7 2 2 7 8" xfId="32314" xr:uid="{00000000-0005-0000-0000-0000357E0000}"/>
    <cellStyle name="Input 7 2 2 8" xfId="32315" xr:uid="{00000000-0005-0000-0000-0000367E0000}"/>
    <cellStyle name="Input 7 2 2 8 2" xfId="32316" xr:uid="{00000000-0005-0000-0000-0000377E0000}"/>
    <cellStyle name="Input 7 2 2 8 2 2" xfId="32317" xr:uid="{00000000-0005-0000-0000-0000387E0000}"/>
    <cellStyle name="Input 7 2 2 8 2 3" xfId="32318" xr:uid="{00000000-0005-0000-0000-0000397E0000}"/>
    <cellStyle name="Input 7 2 2 8 2 4" xfId="32319" xr:uid="{00000000-0005-0000-0000-00003A7E0000}"/>
    <cellStyle name="Input 7 2 2 8 2 5" xfId="32320" xr:uid="{00000000-0005-0000-0000-00003B7E0000}"/>
    <cellStyle name="Input 7 2 2 8 2 6" xfId="32321" xr:uid="{00000000-0005-0000-0000-00003C7E0000}"/>
    <cellStyle name="Input 7 2 2 8 3" xfId="32322" xr:uid="{00000000-0005-0000-0000-00003D7E0000}"/>
    <cellStyle name="Input 7 2 2 8 4" xfId="32323" xr:uid="{00000000-0005-0000-0000-00003E7E0000}"/>
    <cellStyle name="Input 7 2 2 8 5" xfId="32324" xr:uid="{00000000-0005-0000-0000-00003F7E0000}"/>
    <cellStyle name="Input 7 2 2 8 6" xfId="32325" xr:uid="{00000000-0005-0000-0000-0000407E0000}"/>
    <cellStyle name="Input 7 2 2 9" xfId="32326" xr:uid="{00000000-0005-0000-0000-0000417E0000}"/>
    <cellStyle name="Input 7 2 2 9 2" xfId="32327" xr:uid="{00000000-0005-0000-0000-0000427E0000}"/>
    <cellStyle name="Input 7 2 2 9 2 2" xfId="32328" xr:uid="{00000000-0005-0000-0000-0000437E0000}"/>
    <cellStyle name="Input 7 2 2 9 2 3" xfId="32329" xr:uid="{00000000-0005-0000-0000-0000447E0000}"/>
    <cellStyle name="Input 7 2 2 9 2 4" xfId="32330" xr:uid="{00000000-0005-0000-0000-0000457E0000}"/>
    <cellStyle name="Input 7 2 2 9 2 5" xfId="32331" xr:uid="{00000000-0005-0000-0000-0000467E0000}"/>
    <cellStyle name="Input 7 2 2 9 2 6" xfId="32332" xr:uid="{00000000-0005-0000-0000-0000477E0000}"/>
    <cellStyle name="Input 7 2 2 9 3" xfId="32333" xr:uid="{00000000-0005-0000-0000-0000487E0000}"/>
    <cellStyle name="Input 7 2 2 9 4" xfId="32334" xr:uid="{00000000-0005-0000-0000-0000497E0000}"/>
    <cellStyle name="Input 7 2 2 9 5" xfId="32335" xr:uid="{00000000-0005-0000-0000-00004A7E0000}"/>
    <cellStyle name="Input 7 2 2 9 6" xfId="32336" xr:uid="{00000000-0005-0000-0000-00004B7E0000}"/>
    <cellStyle name="Input 7 2 3" xfId="32337" xr:uid="{00000000-0005-0000-0000-00004C7E0000}"/>
    <cellStyle name="Input 7 2 3 10" xfId="32338" xr:uid="{00000000-0005-0000-0000-00004D7E0000}"/>
    <cellStyle name="Input 7 2 3 11" xfId="32339" xr:uid="{00000000-0005-0000-0000-00004E7E0000}"/>
    <cellStyle name="Input 7 2 3 12" xfId="32340" xr:uid="{00000000-0005-0000-0000-00004F7E0000}"/>
    <cellStyle name="Input 7 2 3 13" xfId="32341" xr:uid="{00000000-0005-0000-0000-0000507E0000}"/>
    <cellStyle name="Input 7 2 3 2" xfId="32342" xr:uid="{00000000-0005-0000-0000-0000517E0000}"/>
    <cellStyle name="Input 7 2 3 2 2" xfId="32343" xr:uid="{00000000-0005-0000-0000-0000527E0000}"/>
    <cellStyle name="Input 7 2 3 2 2 2" xfId="32344" xr:uid="{00000000-0005-0000-0000-0000537E0000}"/>
    <cellStyle name="Input 7 2 3 2 2 2 2" xfId="32345" xr:uid="{00000000-0005-0000-0000-0000547E0000}"/>
    <cellStyle name="Input 7 2 3 2 2 2 3" xfId="32346" xr:uid="{00000000-0005-0000-0000-0000557E0000}"/>
    <cellStyle name="Input 7 2 3 2 2 2 4" xfId="32347" xr:uid="{00000000-0005-0000-0000-0000567E0000}"/>
    <cellStyle name="Input 7 2 3 2 2 2 5" xfId="32348" xr:uid="{00000000-0005-0000-0000-0000577E0000}"/>
    <cellStyle name="Input 7 2 3 2 2 2 6" xfId="32349" xr:uid="{00000000-0005-0000-0000-0000587E0000}"/>
    <cellStyle name="Input 7 2 3 2 2 3" xfId="32350" xr:uid="{00000000-0005-0000-0000-0000597E0000}"/>
    <cellStyle name="Input 7 2 3 2 2 4" xfId="32351" xr:uid="{00000000-0005-0000-0000-00005A7E0000}"/>
    <cellStyle name="Input 7 2 3 2 2 5" xfId="32352" xr:uid="{00000000-0005-0000-0000-00005B7E0000}"/>
    <cellStyle name="Input 7 2 3 2 2 6" xfId="32353" xr:uid="{00000000-0005-0000-0000-00005C7E0000}"/>
    <cellStyle name="Input 7 2 3 2 3" xfId="32354" xr:uid="{00000000-0005-0000-0000-00005D7E0000}"/>
    <cellStyle name="Input 7 2 3 2 3 2" xfId="32355" xr:uid="{00000000-0005-0000-0000-00005E7E0000}"/>
    <cellStyle name="Input 7 2 3 2 3 2 2" xfId="32356" xr:uid="{00000000-0005-0000-0000-00005F7E0000}"/>
    <cellStyle name="Input 7 2 3 2 3 2 3" xfId="32357" xr:uid="{00000000-0005-0000-0000-0000607E0000}"/>
    <cellStyle name="Input 7 2 3 2 3 2 4" xfId="32358" xr:uid="{00000000-0005-0000-0000-0000617E0000}"/>
    <cellStyle name="Input 7 2 3 2 3 2 5" xfId="32359" xr:uid="{00000000-0005-0000-0000-0000627E0000}"/>
    <cellStyle name="Input 7 2 3 2 3 2 6" xfId="32360" xr:uid="{00000000-0005-0000-0000-0000637E0000}"/>
    <cellStyle name="Input 7 2 3 2 3 3" xfId="32361" xr:uid="{00000000-0005-0000-0000-0000647E0000}"/>
    <cellStyle name="Input 7 2 3 2 3 4" xfId="32362" xr:uid="{00000000-0005-0000-0000-0000657E0000}"/>
    <cellStyle name="Input 7 2 3 2 3 5" xfId="32363" xr:uid="{00000000-0005-0000-0000-0000667E0000}"/>
    <cellStyle name="Input 7 2 3 2 3 6" xfId="32364" xr:uid="{00000000-0005-0000-0000-0000677E0000}"/>
    <cellStyle name="Input 7 2 3 2 4" xfId="32365" xr:uid="{00000000-0005-0000-0000-0000687E0000}"/>
    <cellStyle name="Input 7 2 3 2 4 2" xfId="32366" xr:uid="{00000000-0005-0000-0000-0000697E0000}"/>
    <cellStyle name="Input 7 2 3 2 4 3" xfId="32367" xr:uid="{00000000-0005-0000-0000-00006A7E0000}"/>
    <cellStyle name="Input 7 2 3 2 4 4" xfId="32368" xr:uid="{00000000-0005-0000-0000-00006B7E0000}"/>
    <cellStyle name="Input 7 2 3 2 4 5" xfId="32369" xr:uid="{00000000-0005-0000-0000-00006C7E0000}"/>
    <cellStyle name="Input 7 2 3 2 4 6" xfId="32370" xr:uid="{00000000-0005-0000-0000-00006D7E0000}"/>
    <cellStyle name="Input 7 2 3 2 5" xfId="32371" xr:uid="{00000000-0005-0000-0000-00006E7E0000}"/>
    <cellStyle name="Input 7 2 3 2 6" xfId="32372" xr:uid="{00000000-0005-0000-0000-00006F7E0000}"/>
    <cellStyle name="Input 7 2 3 2 7" xfId="32373" xr:uid="{00000000-0005-0000-0000-0000707E0000}"/>
    <cellStyle name="Input 7 2 3 2 8" xfId="32374" xr:uid="{00000000-0005-0000-0000-0000717E0000}"/>
    <cellStyle name="Input 7 2 3 3" xfId="32375" xr:uid="{00000000-0005-0000-0000-0000727E0000}"/>
    <cellStyle name="Input 7 2 3 3 2" xfId="32376" xr:uid="{00000000-0005-0000-0000-0000737E0000}"/>
    <cellStyle name="Input 7 2 3 3 2 2" xfId="32377" xr:uid="{00000000-0005-0000-0000-0000747E0000}"/>
    <cellStyle name="Input 7 2 3 3 2 2 2" xfId="32378" xr:uid="{00000000-0005-0000-0000-0000757E0000}"/>
    <cellStyle name="Input 7 2 3 3 2 2 3" xfId="32379" xr:uid="{00000000-0005-0000-0000-0000767E0000}"/>
    <cellStyle name="Input 7 2 3 3 2 2 4" xfId="32380" xr:uid="{00000000-0005-0000-0000-0000777E0000}"/>
    <cellStyle name="Input 7 2 3 3 2 2 5" xfId="32381" xr:uid="{00000000-0005-0000-0000-0000787E0000}"/>
    <cellStyle name="Input 7 2 3 3 2 2 6" xfId="32382" xr:uid="{00000000-0005-0000-0000-0000797E0000}"/>
    <cellStyle name="Input 7 2 3 3 2 3" xfId="32383" xr:uid="{00000000-0005-0000-0000-00007A7E0000}"/>
    <cellStyle name="Input 7 2 3 3 2 4" xfId="32384" xr:uid="{00000000-0005-0000-0000-00007B7E0000}"/>
    <cellStyle name="Input 7 2 3 3 2 5" xfId="32385" xr:uid="{00000000-0005-0000-0000-00007C7E0000}"/>
    <cellStyle name="Input 7 2 3 3 2 6" xfId="32386" xr:uid="{00000000-0005-0000-0000-00007D7E0000}"/>
    <cellStyle name="Input 7 2 3 3 3" xfId="32387" xr:uid="{00000000-0005-0000-0000-00007E7E0000}"/>
    <cellStyle name="Input 7 2 3 3 3 2" xfId="32388" xr:uid="{00000000-0005-0000-0000-00007F7E0000}"/>
    <cellStyle name="Input 7 2 3 3 3 2 2" xfId="32389" xr:uid="{00000000-0005-0000-0000-0000807E0000}"/>
    <cellStyle name="Input 7 2 3 3 3 2 3" xfId="32390" xr:uid="{00000000-0005-0000-0000-0000817E0000}"/>
    <cellStyle name="Input 7 2 3 3 3 2 4" xfId="32391" xr:uid="{00000000-0005-0000-0000-0000827E0000}"/>
    <cellStyle name="Input 7 2 3 3 3 2 5" xfId="32392" xr:uid="{00000000-0005-0000-0000-0000837E0000}"/>
    <cellStyle name="Input 7 2 3 3 3 2 6" xfId="32393" xr:uid="{00000000-0005-0000-0000-0000847E0000}"/>
    <cellStyle name="Input 7 2 3 3 3 3" xfId="32394" xr:uid="{00000000-0005-0000-0000-0000857E0000}"/>
    <cellStyle name="Input 7 2 3 3 3 4" xfId="32395" xr:uid="{00000000-0005-0000-0000-0000867E0000}"/>
    <cellStyle name="Input 7 2 3 3 3 5" xfId="32396" xr:uid="{00000000-0005-0000-0000-0000877E0000}"/>
    <cellStyle name="Input 7 2 3 3 3 6" xfId="32397" xr:uid="{00000000-0005-0000-0000-0000887E0000}"/>
    <cellStyle name="Input 7 2 3 3 4" xfId="32398" xr:uid="{00000000-0005-0000-0000-0000897E0000}"/>
    <cellStyle name="Input 7 2 3 3 4 2" xfId="32399" xr:uid="{00000000-0005-0000-0000-00008A7E0000}"/>
    <cellStyle name="Input 7 2 3 3 4 3" xfId="32400" xr:uid="{00000000-0005-0000-0000-00008B7E0000}"/>
    <cellStyle name="Input 7 2 3 3 4 4" xfId="32401" xr:uid="{00000000-0005-0000-0000-00008C7E0000}"/>
    <cellStyle name="Input 7 2 3 3 4 5" xfId="32402" xr:uid="{00000000-0005-0000-0000-00008D7E0000}"/>
    <cellStyle name="Input 7 2 3 3 4 6" xfId="32403" xr:uid="{00000000-0005-0000-0000-00008E7E0000}"/>
    <cellStyle name="Input 7 2 3 3 5" xfId="32404" xr:uid="{00000000-0005-0000-0000-00008F7E0000}"/>
    <cellStyle name="Input 7 2 3 3 6" xfId="32405" xr:uid="{00000000-0005-0000-0000-0000907E0000}"/>
    <cellStyle name="Input 7 2 3 3 7" xfId="32406" xr:uid="{00000000-0005-0000-0000-0000917E0000}"/>
    <cellStyle name="Input 7 2 3 3 8" xfId="32407" xr:uid="{00000000-0005-0000-0000-0000927E0000}"/>
    <cellStyle name="Input 7 2 3 4" xfId="32408" xr:uid="{00000000-0005-0000-0000-0000937E0000}"/>
    <cellStyle name="Input 7 2 3 4 2" xfId="32409" xr:uid="{00000000-0005-0000-0000-0000947E0000}"/>
    <cellStyle name="Input 7 2 3 4 2 2" xfId="32410" xr:uid="{00000000-0005-0000-0000-0000957E0000}"/>
    <cellStyle name="Input 7 2 3 4 2 2 2" xfId="32411" xr:uid="{00000000-0005-0000-0000-0000967E0000}"/>
    <cellStyle name="Input 7 2 3 4 2 2 3" xfId="32412" xr:uid="{00000000-0005-0000-0000-0000977E0000}"/>
    <cellStyle name="Input 7 2 3 4 2 2 4" xfId="32413" xr:uid="{00000000-0005-0000-0000-0000987E0000}"/>
    <cellStyle name="Input 7 2 3 4 2 2 5" xfId="32414" xr:uid="{00000000-0005-0000-0000-0000997E0000}"/>
    <cellStyle name="Input 7 2 3 4 2 2 6" xfId="32415" xr:uid="{00000000-0005-0000-0000-00009A7E0000}"/>
    <cellStyle name="Input 7 2 3 4 2 3" xfId="32416" xr:uid="{00000000-0005-0000-0000-00009B7E0000}"/>
    <cellStyle name="Input 7 2 3 4 2 4" xfId="32417" xr:uid="{00000000-0005-0000-0000-00009C7E0000}"/>
    <cellStyle name="Input 7 2 3 4 2 5" xfId="32418" xr:uid="{00000000-0005-0000-0000-00009D7E0000}"/>
    <cellStyle name="Input 7 2 3 4 2 6" xfId="32419" xr:uid="{00000000-0005-0000-0000-00009E7E0000}"/>
    <cellStyle name="Input 7 2 3 4 3" xfId="32420" xr:uid="{00000000-0005-0000-0000-00009F7E0000}"/>
    <cellStyle name="Input 7 2 3 4 3 2" xfId="32421" xr:uid="{00000000-0005-0000-0000-0000A07E0000}"/>
    <cellStyle name="Input 7 2 3 4 3 2 2" xfId="32422" xr:uid="{00000000-0005-0000-0000-0000A17E0000}"/>
    <cellStyle name="Input 7 2 3 4 3 2 3" xfId="32423" xr:uid="{00000000-0005-0000-0000-0000A27E0000}"/>
    <cellStyle name="Input 7 2 3 4 3 2 4" xfId="32424" xr:uid="{00000000-0005-0000-0000-0000A37E0000}"/>
    <cellStyle name="Input 7 2 3 4 3 2 5" xfId="32425" xr:uid="{00000000-0005-0000-0000-0000A47E0000}"/>
    <cellStyle name="Input 7 2 3 4 3 2 6" xfId="32426" xr:uid="{00000000-0005-0000-0000-0000A57E0000}"/>
    <cellStyle name="Input 7 2 3 4 3 3" xfId="32427" xr:uid="{00000000-0005-0000-0000-0000A67E0000}"/>
    <cellStyle name="Input 7 2 3 4 3 4" xfId="32428" xr:uid="{00000000-0005-0000-0000-0000A77E0000}"/>
    <cellStyle name="Input 7 2 3 4 3 5" xfId="32429" xr:uid="{00000000-0005-0000-0000-0000A87E0000}"/>
    <cellStyle name="Input 7 2 3 4 3 6" xfId="32430" xr:uid="{00000000-0005-0000-0000-0000A97E0000}"/>
    <cellStyle name="Input 7 2 3 4 4" xfId="32431" xr:uid="{00000000-0005-0000-0000-0000AA7E0000}"/>
    <cellStyle name="Input 7 2 3 4 4 2" xfId="32432" xr:uid="{00000000-0005-0000-0000-0000AB7E0000}"/>
    <cellStyle name="Input 7 2 3 4 4 3" xfId="32433" xr:uid="{00000000-0005-0000-0000-0000AC7E0000}"/>
    <cellStyle name="Input 7 2 3 4 4 4" xfId="32434" xr:uid="{00000000-0005-0000-0000-0000AD7E0000}"/>
    <cellStyle name="Input 7 2 3 4 4 5" xfId="32435" xr:uid="{00000000-0005-0000-0000-0000AE7E0000}"/>
    <cellStyle name="Input 7 2 3 4 4 6" xfId="32436" xr:uid="{00000000-0005-0000-0000-0000AF7E0000}"/>
    <cellStyle name="Input 7 2 3 4 5" xfId="32437" xr:uid="{00000000-0005-0000-0000-0000B07E0000}"/>
    <cellStyle name="Input 7 2 3 4 6" xfId="32438" xr:uid="{00000000-0005-0000-0000-0000B17E0000}"/>
    <cellStyle name="Input 7 2 3 4 7" xfId="32439" xr:uid="{00000000-0005-0000-0000-0000B27E0000}"/>
    <cellStyle name="Input 7 2 3 4 8" xfId="32440" xr:uid="{00000000-0005-0000-0000-0000B37E0000}"/>
    <cellStyle name="Input 7 2 3 5" xfId="32441" xr:uid="{00000000-0005-0000-0000-0000B47E0000}"/>
    <cellStyle name="Input 7 2 3 5 2" xfId="32442" xr:uid="{00000000-0005-0000-0000-0000B57E0000}"/>
    <cellStyle name="Input 7 2 3 5 2 2" xfId="32443" xr:uid="{00000000-0005-0000-0000-0000B67E0000}"/>
    <cellStyle name="Input 7 2 3 5 2 2 2" xfId="32444" xr:uid="{00000000-0005-0000-0000-0000B77E0000}"/>
    <cellStyle name="Input 7 2 3 5 2 2 3" xfId="32445" xr:uid="{00000000-0005-0000-0000-0000B87E0000}"/>
    <cellStyle name="Input 7 2 3 5 2 2 4" xfId="32446" xr:uid="{00000000-0005-0000-0000-0000B97E0000}"/>
    <cellStyle name="Input 7 2 3 5 2 2 5" xfId="32447" xr:uid="{00000000-0005-0000-0000-0000BA7E0000}"/>
    <cellStyle name="Input 7 2 3 5 2 2 6" xfId="32448" xr:uid="{00000000-0005-0000-0000-0000BB7E0000}"/>
    <cellStyle name="Input 7 2 3 5 2 3" xfId="32449" xr:uid="{00000000-0005-0000-0000-0000BC7E0000}"/>
    <cellStyle name="Input 7 2 3 5 2 4" xfId="32450" xr:uid="{00000000-0005-0000-0000-0000BD7E0000}"/>
    <cellStyle name="Input 7 2 3 5 2 5" xfId="32451" xr:uid="{00000000-0005-0000-0000-0000BE7E0000}"/>
    <cellStyle name="Input 7 2 3 5 2 6" xfId="32452" xr:uid="{00000000-0005-0000-0000-0000BF7E0000}"/>
    <cellStyle name="Input 7 2 3 5 3" xfId="32453" xr:uid="{00000000-0005-0000-0000-0000C07E0000}"/>
    <cellStyle name="Input 7 2 3 5 3 2" xfId="32454" xr:uid="{00000000-0005-0000-0000-0000C17E0000}"/>
    <cellStyle name="Input 7 2 3 5 3 2 2" xfId="32455" xr:uid="{00000000-0005-0000-0000-0000C27E0000}"/>
    <cellStyle name="Input 7 2 3 5 3 2 3" xfId="32456" xr:uid="{00000000-0005-0000-0000-0000C37E0000}"/>
    <cellStyle name="Input 7 2 3 5 3 2 4" xfId="32457" xr:uid="{00000000-0005-0000-0000-0000C47E0000}"/>
    <cellStyle name="Input 7 2 3 5 3 2 5" xfId="32458" xr:uid="{00000000-0005-0000-0000-0000C57E0000}"/>
    <cellStyle name="Input 7 2 3 5 3 2 6" xfId="32459" xr:uid="{00000000-0005-0000-0000-0000C67E0000}"/>
    <cellStyle name="Input 7 2 3 5 3 3" xfId="32460" xr:uid="{00000000-0005-0000-0000-0000C77E0000}"/>
    <cellStyle name="Input 7 2 3 5 3 4" xfId="32461" xr:uid="{00000000-0005-0000-0000-0000C87E0000}"/>
    <cellStyle name="Input 7 2 3 5 3 5" xfId="32462" xr:uid="{00000000-0005-0000-0000-0000C97E0000}"/>
    <cellStyle name="Input 7 2 3 5 3 6" xfId="32463" xr:uid="{00000000-0005-0000-0000-0000CA7E0000}"/>
    <cellStyle name="Input 7 2 3 5 4" xfId="32464" xr:uid="{00000000-0005-0000-0000-0000CB7E0000}"/>
    <cellStyle name="Input 7 2 3 5 4 2" xfId="32465" xr:uid="{00000000-0005-0000-0000-0000CC7E0000}"/>
    <cellStyle name="Input 7 2 3 5 4 3" xfId="32466" xr:uid="{00000000-0005-0000-0000-0000CD7E0000}"/>
    <cellStyle name="Input 7 2 3 5 4 4" xfId="32467" xr:uid="{00000000-0005-0000-0000-0000CE7E0000}"/>
    <cellStyle name="Input 7 2 3 5 4 5" xfId="32468" xr:uid="{00000000-0005-0000-0000-0000CF7E0000}"/>
    <cellStyle name="Input 7 2 3 5 4 6" xfId="32469" xr:uid="{00000000-0005-0000-0000-0000D07E0000}"/>
    <cellStyle name="Input 7 2 3 5 5" xfId="32470" xr:uid="{00000000-0005-0000-0000-0000D17E0000}"/>
    <cellStyle name="Input 7 2 3 5 6" xfId="32471" xr:uid="{00000000-0005-0000-0000-0000D27E0000}"/>
    <cellStyle name="Input 7 2 3 5 7" xfId="32472" xr:uid="{00000000-0005-0000-0000-0000D37E0000}"/>
    <cellStyle name="Input 7 2 3 5 8" xfId="32473" xr:uid="{00000000-0005-0000-0000-0000D47E0000}"/>
    <cellStyle name="Input 7 2 3 6" xfId="32474" xr:uid="{00000000-0005-0000-0000-0000D57E0000}"/>
    <cellStyle name="Input 7 2 3 6 2" xfId="32475" xr:uid="{00000000-0005-0000-0000-0000D67E0000}"/>
    <cellStyle name="Input 7 2 3 6 2 2" xfId="32476" xr:uid="{00000000-0005-0000-0000-0000D77E0000}"/>
    <cellStyle name="Input 7 2 3 6 2 2 2" xfId="32477" xr:uid="{00000000-0005-0000-0000-0000D87E0000}"/>
    <cellStyle name="Input 7 2 3 6 2 2 3" xfId="32478" xr:uid="{00000000-0005-0000-0000-0000D97E0000}"/>
    <cellStyle name="Input 7 2 3 6 2 2 4" xfId="32479" xr:uid="{00000000-0005-0000-0000-0000DA7E0000}"/>
    <cellStyle name="Input 7 2 3 6 2 2 5" xfId="32480" xr:uid="{00000000-0005-0000-0000-0000DB7E0000}"/>
    <cellStyle name="Input 7 2 3 6 2 2 6" xfId="32481" xr:uid="{00000000-0005-0000-0000-0000DC7E0000}"/>
    <cellStyle name="Input 7 2 3 6 2 3" xfId="32482" xr:uid="{00000000-0005-0000-0000-0000DD7E0000}"/>
    <cellStyle name="Input 7 2 3 6 2 4" xfId="32483" xr:uid="{00000000-0005-0000-0000-0000DE7E0000}"/>
    <cellStyle name="Input 7 2 3 6 2 5" xfId="32484" xr:uid="{00000000-0005-0000-0000-0000DF7E0000}"/>
    <cellStyle name="Input 7 2 3 6 2 6" xfId="32485" xr:uid="{00000000-0005-0000-0000-0000E07E0000}"/>
    <cellStyle name="Input 7 2 3 6 3" xfId="32486" xr:uid="{00000000-0005-0000-0000-0000E17E0000}"/>
    <cellStyle name="Input 7 2 3 6 3 2" xfId="32487" xr:uid="{00000000-0005-0000-0000-0000E27E0000}"/>
    <cellStyle name="Input 7 2 3 6 3 2 2" xfId="32488" xr:uid="{00000000-0005-0000-0000-0000E37E0000}"/>
    <cellStyle name="Input 7 2 3 6 3 2 3" xfId="32489" xr:uid="{00000000-0005-0000-0000-0000E47E0000}"/>
    <cellStyle name="Input 7 2 3 6 3 2 4" xfId="32490" xr:uid="{00000000-0005-0000-0000-0000E57E0000}"/>
    <cellStyle name="Input 7 2 3 6 3 2 5" xfId="32491" xr:uid="{00000000-0005-0000-0000-0000E67E0000}"/>
    <cellStyle name="Input 7 2 3 6 3 2 6" xfId="32492" xr:uid="{00000000-0005-0000-0000-0000E77E0000}"/>
    <cellStyle name="Input 7 2 3 6 3 3" xfId="32493" xr:uid="{00000000-0005-0000-0000-0000E87E0000}"/>
    <cellStyle name="Input 7 2 3 6 3 4" xfId="32494" xr:uid="{00000000-0005-0000-0000-0000E97E0000}"/>
    <cellStyle name="Input 7 2 3 6 3 5" xfId="32495" xr:uid="{00000000-0005-0000-0000-0000EA7E0000}"/>
    <cellStyle name="Input 7 2 3 6 3 6" xfId="32496" xr:uid="{00000000-0005-0000-0000-0000EB7E0000}"/>
    <cellStyle name="Input 7 2 3 6 4" xfId="32497" xr:uid="{00000000-0005-0000-0000-0000EC7E0000}"/>
    <cellStyle name="Input 7 2 3 6 4 2" xfId="32498" xr:uid="{00000000-0005-0000-0000-0000ED7E0000}"/>
    <cellStyle name="Input 7 2 3 6 4 3" xfId="32499" xr:uid="{00000000-0005-0000-0000-0000EE7E0000}"/>
    <cellStyle name="Input 7 2 3 6 4 4" xfId="32500" xr:uid="{00000000-0005-0000-0000-0000EF7E0000}"/>
    <cellStyle name="Input 7 2 3 6 4 5" xfId="32501" xr:uid="{00000000-0005-0000-0000-0000F07E0000}"/>
    <cellStyle name="Input 7 2 3 6 4 6" xfId="32502" xr:uid="{00000000-0005-0000-0000-0000F17E0000}"/>
    <cellStyle name="Input 7 2 3 6 5" xfId="32503" xr:uid="{00000000-0005-0000-0000-0000F27E0000}"/>
    <cellStyle name="Input 7 2 3 6 6" xfId="32504" xr:uid="{00000000-0005-0000-0000-0000F37E0000}"/>
    <cellStyle name="Input 7 2 3 6 7" xfId="32505" xr:uid="{00000000-0005-0000-0000-0000F47E0000}"/>
    <cellStyle name="Input 7 2 3 6 8" xfId="32506" xr:uid="{00000000-0005-0000-0000-0000F57E0000}"/>
    <cellStyle name="Input 7 2 3 7" xfId="32507" xr:uid="{00000000-0005-0000-0000-0000F67E0000}"/>
    <cellStyle name="Input 7 2 3 7 2" xfId="32508" xr:uid="{00000000-0005-0000-0000-0000F77E0000}"/>
    <cellStyle name="Input 7 2 3 7 2 2" xfId="32509" xr:uid="{00000000-0005-0000-0000-0000F87E0000}"/>
    <cellStyle name="Input 7 2 3 7 2 3" xfId="32510" xr:uid="{00000000-0005-0000-0000-0000F97E0000}"/>
    <cellStyle name="Input 7 2 3 7 2 4" xfId="32511" xr:uid="{00000000-0005-0000-0000-0000FA7E0000}"/>
    <cellStyle name="Input 7 2 3 7 2 5" xfId="32512" xr:uid="{00000000-0005-0000-0000-0000FB7E0000}"/>
    <cellStyle name="Input 7 2 3 7 2 6" xfId="32513" xr:uid="{00000000-0005-0000-0000-0000FC7E0000}"/>
    <cellStyle name="Input 7 2 3 7 3" xfId="32514" xr:uid="{00000000-0005-0000-0000-0000FD7E0000}"/>
    <cellStyle name="Input 7 2 3 7 4" xfId="32515" xr:uid="{00000000-0005-0000-0000-0000FE7E0000}"/>
    <cellStyle name="Input 7 2 3 7 5" xfId="32516" xr:uid="{00000000-0005-0000-0000-0000FF7E0000}"/>
    <cellStyle name="Input 7 2 3 7 6" xfId="32517" xr:uid="{00000000-0005-0000-0000-0000007F0000}"/>
    <cellStyle name="Input 7 2 3 8" xfId="32518" xr:uid="{00000000-0005-0000-0000-0000017F0000}"/>
    <cellStyle name="Input 7 2 3 8 2" xfId="32519" xr:uid="{00000000-0005-0000-0000-0000027F0000}"/>
    <cellStyle name="Input 7 2 3 8 2 2" xfId="32520" xr:uid="{00000000-0005-0000-0000-0000037F0000}"/>
    <cellStyle name="Input 7 2 3 8 2 3" xfId="32521" xr:uid="{00000000-0005-0000-0000-0000047F0000}"/>
    <cellStyle name="Input 7 2 3 8 2 4" xfId="32522" xr:uid="{00000000-0005-0000-0000-0000057F0000}"/>
    <cellStyle name="Input 7 2 3 8 2 5" xfId="32523" xr:uid="{00000000-0005-0000-0000-0000067F0000}"/>
    <cellStyle name="Input 7 2 3 8 2 6" xfId="32524" xr:uid="{00000000-0005-0000-0000-0000077F0000}"/>
    <cellStyle name="Input 7 2 3 8 3" xfId="32525" xr:uid="{00000000-0005-0000-0000-0000087F0000}"/>
    <cellStyle name="Input 7 2 3 8 4" xfId="32526" xr:uid="{00000000-0005-0000-0000-0000097F0000}"/>
    <cellStyle name="Input 7 2 3 8 5" xfId="32527" xr:uid="{00000000-0005-0000-0000-00000A7F0000}"/>
    <cellStyle name="Input 7 2 3 8 6" xfId="32528" xr:uid="{00000000-0005-0000-0000-00000B7F0000}"/>
    <cellStyle name="Input 7 2 3 9" xfId="32529" xr:uid="{00000000-0005-0000-0000-00000C7F0000}"/>
    <cellStyle name="Input 7 2 3 9 2" xfId="32530" xr:uid="{00000000-0005-0000-0000-00000D7F0000}"/>
    <cellStyle name="Input 7 2 3 9 3" xfId="32531" xr:uid="{00000000-0005-0000-0000-00000E7F0000}"/>
    <cellStyle name="Input 7 2 3 9 4" xfId="32532" xr:uid="{00000000-0005-0000-0000-00000F7F0000}"/>
    <cellStyle name="Input 7 2 3 9 5" xfId="32533" xr:uid="{00000000-0005-0000-0000-0000107F0000}"/>
    <cellStyle name="Input 7 2 3 9 6" xfId="32534" xr:uid="{00000000-0005-0000-0000-0000117F0000}"/>
    <cellStyle name="Input 7 2 4" xfId="32535" xr:uid="{00000000-0005-0000-0000-0000127F0000}"/>
    <cellStyle name="Input 7 2 4 2" xfId="32536" xr:uid="{00000000-0005-0000-0000-0000137F0000}"/>
    <cellStyle name="Input 7 2 4 2 2" xfId="32537" xr:uid="{00000000-0005-0000-0000-0000147F0000}"/>
    <cellStyle name="Input 7 2 4 2 2 2" xfId="32538" xr:uid="{00000000-0005-0000-0000-0000157F0000}"/>
    <cellStyle name="Input 7 2 4 2 2 3" xfId="32539" xr:uid="{00000000-0005-0000-0000-0000167F0000}"/>
    <cellStyle name="Input 7 2 4 2 2 4" xfId="32540" xr:uid="{00000000-0005-0000-0000-0000177F0000}"/>
    <cellStyle name="Input 7 2 4 2 2 5" xfId="32541" xr:uid="{00000000-0005-0000-0000-0000187F0000}"/>
    <cellStyle name="Input 7 2 4 2 2 6" xfId="32542" xr:uid="{00000000-0005-0000-0000-0000197F0000}"/>
    <cellStyle name="Input 7 2 4 2 3" xfId="32543" xr:uid="{00000000-0005-0000-0000-00001A7F0000}"/>
    <cellStyle name="Input 7 2 4 2 4" xfId="32544" xr:uid="{00000000-0005-0000-0000-00001B7F0000}"/>
    <cellStyle name="Input 7 2 4 2 5" xfId="32545" xr:uid="{00000000-0005-0000-0000-00001C7F0000}"/>
    <cellStyle name="Input 7 2 4 2 6" xfId="32546" xr:uid="{00000000-0005-0000-0000-00001D7F0000}"/>
    <cellStyle name="Input 7 2 4 3" xfId="32547" xr:uid="{00000000-0005-0000-0000-00001E7F0000}"/>
    <cellStyle name="Input 7 2 4 3 2" xfId="32548" xr:uid="{00000000-0005-0000-0000-00001F7F0000}"/>
    <cellStyle name="Input 7 2 4 3 2 2" xfId="32549" xr:uid="{00000000-0005-0000-0000-0000207F0000}"/>
    <cellStyle name="Input 7 2 4 3 2 3" xfId="32550" xr:uid="{00000000-0005-0000-0000-0000217F0000}"/>
    <cellStyle name="Input 7 2 4 3 2 4" xfId="32551" xr:uid="{00000000-0005-0000-0000-0000227F0000}"/>
    <cellStyle name="Input 7 2 4 3 2 5" xfId="32552" xr:uid="{00000000-0005-0000-0000-0000237F0000}"/>
    <cellStyle name="Input 7 2 4 3 2 6" xfId="32553" xr:uid="{00000000-0005-0000-0000-0000247F0000}"/>
    <cellStyle name="Input 7 2 4 3 3" xfId="32554" xr:uid="{00000000-0005-0000-0000-0000257F0000}"/>
    <cellStyle name="Input 7 2 4 3 4" xfId="32555" xr:uid="{00000000-0005-0000-0000-0000267F0000}"/>
    <cellStyle name="Input 7 2 4 3 5" xfId="32556" xr:uid="{00000000-0005-0000-0000-0000277F0000}"/>
    <cellStyle name="Input 7 2 4 3 6" xfId="32557" xr:uid="{00000000-0005-0000-0000-0000287F0000}"/>
    <cellStyle name="Input 7 2 4 4" xfId="32558" xr:uid="{00000000-0005-0000-0000-0000297F0000}"/>
    <cellStyle name="Input 7 2 4 4 2" xfId="32559" xr:uid="{00000000-0005-0000-0000-00002A7F0000}"/>
    <cellStyle name="Input 7 2 4 4 3" xfId="32560" xr:uid="{00000000-0005-0000-0000-00002B7F0000}"/>
    <cellStyle name="Input 7 2 4 4 4" xfId="32561" xr:uid="{00000000-0005-0000-0000-00002C7F0000}"/>
    <cellStyle name="Input 7 2 4 4 5" xfId="32562" xr:uid="{00000000-0005-0000-0000-00002D7F0000}"/>
    <cellStyle name="Input 7 2 4 4 6" xfId="32563" xr:uid="{00000000-0005-0000-0000-00002E7F0000}"/>
    <cellStyle name="Input 7 2 4 5" xfId="32564" xr:uid="{00000000-0005-0000-0000-00002F7F0000}"/>
    <cellStyle name="Input 7 2 4 6" xfId="32565" xr:uid="{00000000-0005-0000-0000-0000307F0000}"/>
    <cellStyle name="Input 7 2 4 7" xfId="32566" xr:uid="{00000000-0005-0000-0000-0000317F0000}"/>
    <cellStyle name="Input 7 2 4 8" xfId="32567" xr:uid="{00000000-0005-0000-0000-0000327F0000}"/>
    <cellStyle name="Input 7 2 5" xfId="32568" xr:uid="{00000000-0005-0000-0000-0000337F0000}"/>
    <cellStyle name="Input 7 2 5 2" xfId="32569" xr:uid="{00000000-0005-0000-0000-0000347F0000}"/>
    <cellStyle name="Input 7 2 5 2 2" xfId="32570" xr:uid="{00000000-0005-0000-0000-0000357F0000}"/>
    <cellStyle name="Input 7 2 5 2 2 2" xfId="32571" xr:uid="{00000000-0005-0000-0000-0000367F0000}"/>
    <cellStyle name="Input 7 2 5 2 2 3" xfId="32572" xr:uid="{00000000-0005-0000-0000-0000377F0000}"/>
    <cellStyle name="Input 7 2 5 2 2 4" xfId="32573" xr:uid="{00000000-0005-0000-0000-0000387F0000}"/>
    <cellStyle name="Input 7 2 5 2 2 5" xfId="32574" xr:uid="{00000000-0005-0000-0000-0000397F0000}"/>
    <cellStyle name="Input 7 2 5 2 2 6" xfId="32575" xr:uid="{00000000-0005-0000-0000-00003A7F0000}"/>
    <cellStyle name="Input 7 2 5 2 3" xfId="32576" xr:uid="{00000000-0005-0000-0000-00003B7F0000}"/>
    <cellStyle name="Input 7 2 5 2 4" xfId="32577" xr:uid="{00000000-0005-0000-0000-00003C7F0000}"/>
    <cellStyle name="Input 7 2 5 2 5" xfId="32578" xr:uid="{00000000-0005-0000-0000-00003D7F0000}"/>
    <cellStyle name="Input 7 2 5 2 6" xfId="32579" xr:uid="{00000000-0005-0000-0000-00003E7F0000}"/>
    <cellStyle name="Input 7 2 5 3" xfId="32580" xr:uid="{00000000-0005-0000-0000-00003F7F0000}"/>
    <cellStyle name="Input 7 2 5 3 2" xfId="32581" xr:uid="{00000000-0005-0000-0000-0000407F0000}"/>
    <cellStyle name="Input 7 2 5 3 2 2" xfId="32582" xr:uid="{00000000-0005-0000-0000-0000417F0000}"/>
    <cellStyle name="Input 7 2 5 3 2 3" xfId="32583" xr:uid="{00000000-0005-0000-0000-0000427F0000}"/>
    <cellStyle name="Input 7 2 5 3 2 4" xfId="32584" xr:uid="{00000000-0005-0000-0000-0000437F0000}"/>
    <cellStyle name="Input 7 2 5 3 2 5" xfId="32585" xr:uid="{00000000-0005-0000-0000-0000447F0000}"/>
    <cellStyle name="Input 7 2 5 3 2 6" xfId="32586" xr:uid="{00000000-0005-0000-0000-0000457F0000}"/>
    <cellStyle name="Input 7 2 5 3 3" xfId="32587" xr:uid="{00000000-0005-0000-0000-0000467F0000}"/>
    <cellStyle name="Input 7 2 5 3 4" xfId="32588" xr:uid="{00000000-0005-0000-0000-0000477F0000}"/>
    <cellStyle name="Input 7 2 5 3 5" xfId="32589" xr:uid="{00000000-0005-0000-0000-0000487F0000}"/>
    <cellStyle name="Input 7 2 5 3 6" xfId="32590" xr:uid="{00000000-0005-0000-0000-0000497F0000}"/>
    <cellStyle name="Input 7 2 5 4" xfId="32591" xr:uid="{00000000-0005-0000-0000-00004A7F0000}"/>
    <cellStyle name="Input 7 2 5 4 2" xfId="32592" xr:uid="{00000000-0005-0000-0000-00004B7F0000}"/>
    <cellStyle name="Input 7 2 5 4 3" xfId="32593" xr:uid="{00000000-0005-0000-0000-00004C7F0000}"/>
    <cellStyle name="Input 7 2 5 4 4" xfId="32594" xr:uid="{00000000-0005-0000-0000-00004D7F0000}"/>
    <cellStyle name="Input 7 2 5 4 5" xfId="32595" xr:uid="{00000000-0005-0000-0000-00004E7F0000}"/>
    <cellStyle name="Input 7 2 5 4 6" xfId="32596" xr:uid="{00000000-0005-0000-0000-00004F7F0000}"/>
    <cellStyle name="Input 7 2 5 5" xfId="32597" xr:uid="{00000000-0005-0000-0000-0000507F0000}"/>
    <cellStyle name="Input 7 2 5 6" xfId="32598" xr:uid="{00000000-0005-0000-0000-0000517F0000}"/>
    <cellStyle name="Input 7 2 5 7" xfId="32599" xr:uid="{00000000-0005-0000-0000-0000527F0000}"/>
    <cellStyle name="Input 7 2 5 8" xfId="32600" xr:uid="{00000000-0005-0000-0000-0000537F0000}"/>
    <cellStyle name="Input 7 2 6" xfId="32601" xr:uid="{00000000-0005-0000-0000-0000547F0000}"/>
    <cellStyle name="Input 7 2 6 2" xfId="32602" xr:uid="{00000000-0005-0000-0000-0000557F0000}"/>
    <cellStyle name="Input 7 2 6 2 2" xfId="32603" xr:uid="{00000000-0005-0000-0000-0000567F0000}"/>
    <cellStyle name="Input 7 2 6 2 2 2" xfId="32604" xr:uid="{00000000-0005-0000-0000-0000577F0000}"/>
    <cellStyle name="Input 7 2 6 2 2 3" xfId="32605" xr:uid="{00000000-0005-0000-0000-0000587F0000}"/>
    <cellStyle name="Input 7 2 6 2 2 4" xfId="32606" xr:uid="{00000000-0005-0000-0000-0000597F0000}"/>
    <cellStyle name="Input 7 2 6 2 2 5" xfId="32607" xr:uid="{00000000-0005-0000-0000-00005A7F0000}"/>
    <cellStyle name="Input 7 2 6 2 2 6" xfId="32608" xr:uid="{00000000-0005-0000-0000-00005B7F0000}"/>
    <cellStyle name="Input 7 2 6 2 3" xfId="32609" xr:uid="{00000000-0005-0000-0000-00005C7F0000}"/>
    <cellStyle name="Input 7 2 6 2 4" xfId="32610" xr:uid="{00000000-0005-0000-0000-00005D7F0000}"/>
    <cellStyle name="Input 7 2 6 2 5" xfId="32611" xr:uid="{00000000-0005-0000-0000-00005E7F0000}"/>
    <cellStyle name="Input 7 2 6 2 6" xfId="32612" xr:uid="{00000000-0005-0000-0000-00005F7F0000}"/>
    <cellStyle name="Input 7 2 6 3" xfId="32613" xr:uid="{00000000-0005-0000-0000-0000607F0000}"/>
    <cellStyle name="Input 7 2 6 3 2" xfId="32614" xr:uid="{00000000-0005-0000-0000-0000617F0000}"/>
    <cellStyle name="Input 7 2 6 3 2 2" xfId="32615" xr:uid="{00000000-0005-0000-0000-0000627F0000}"/>
    <cellStyle name="Input 7 2 6 3 2 3" xfId="32616" xr:uid="{00000000-0005-0000-0000-0000637F0000}"/>
    <cellStyle name="Input 7 2 6 3 2 4" xfId="32617" xr:uid="{00000000-0005-0000-0000-0000647F0000}"/>
    <cellStyle name="Input 7 2 6 3 2 5" xfId="32618" xr:uid="{00000000-0005-0000-0000-0000657F0000}"/>
    <cellStyle name="Input 7 2 6 3 2 6" xfId="32619" xr:uid="{00000000-0005-0000-0000-0000667F0000}"/>
    <cellStyle name="Input 7 2 6 3 3" xfId="32620" xr:uid="{00000000-0005-0000-0000-0000677F0000}"/>
    <cellStyle name="Input 7 2 6 3 4" xfId="32621" xr:uid="{00000000-0005-0000-0000-0000687F0000}"/>
    <cellStyle name="Input 7 2 6 3 5" xfId="32622" xr:uid="{00000000-0005-0000-0000-0000697F0000}"/>
    <cellStyle name="Input 7 2 6 3 6" xfId="32623" xr:uid="{00000000-0005-0000-0000-00006A7F0000}"/>
    <cellStyle name="Input 7 2 6 4" xfId="32624" xr:uid="{00000000-0005-0000-0000-00006B7F0000}"/>
    <cellStyle name="Input 7 2 6 4 2" xfId="32625" xr:uid="{00000000-0005-0000-0000-00006C7F0000}"/>
    <cellStyle name="Input 7 2 6 4 3" xfId="32626" xr:uid="{00000000-0005-0000-0000-00006D7F0000}"/>
    <cellStyle name="Input 7 2 6 4 4" xfId="32627" xr:uid="{00000000-0005-0000-0000-00006E7F0000}"/>
    <cellStyle name="Input 7 2 6 4 5" xfId="32628" xr:uid="{00000000-0005-0000-0000-00006F7F0000}"/>
    <cellStyle name="Input 7 2 6 4 6" xfId="32629" xr:uid="{00000000-0005-0000-0000-0000707F0000}"/>
    <cellStyle name="Input 7 2 6 5" xfId="32630" xr:uid="{00000000-0005-0000-0000-0000717F0000}"/>
    <cellStyle name="Input 7 2 6 6" xfId="32631" xr:uid="{00000000-0005-0000-0000-0000727F0000}"/>
    <cellStyle name="Input 7 2 6 7" xfId="32632" xr:uid="{00000000-0005-0000-0000-0000737F0000}"/>
    <cellStyle name="Input 7 2 6 8" xfId="32633" xr:uid="{00000000-0005-0000-0000-0000747F0000}"/>
    <cellStyle name="Input 7 2 7" xfId="32634" xr:uid="{00000000-0005-0000-0000-0000757F0000}"/>
    <cellStyle name="Input 7 2 7 2" xfId="32635" xr:uid="{00000000-0005-0000-0000-0000767F0000}"/>
    <cellStyle name="Input 7 2 7 2 2" xfId="32636" xr:uid="{00000000-0005-0000-0000-0000777F0000}"/>
    <cellStyle name="Input 7 2 7 2 3" xfId="32637" xr:uid="{00000000-0005-0000-0000-0000787F0000}"/>
    <cellStyle name="Input 7 2 7 2 4" xfId="32638" xr:uid="{00000000-0005-0000-0000-0000797F0000}"/>
    <cellStyle name="Input 7 2 7 2 5" xfId="32639" xr:uid="{00000000-0005-0000-0000-00007A7F0000}"/>
    <cellStyle name="Input 7 2 7 2 6" xfId="32640" xr:uid="{00000000-0005-0000-0000-00007B7F0000}"/>
    <cellStyle name="Input 7 2 7 3" xfId="32641" xr:uid="{00000000-0005-0000-0000-00007C7F0000}"/>
    <cellStyle name="Input 7 2 7 4" xfId="32642" xr:uid="{00000000-0005-0000-0000-00007D7F0000}"/>
    <cellStyle name="Input 7 2 7 5" xfId="32643" xr:uid="{00000000-0005-0000-0000-00007E7F0000}"/>
    <cellStyle name="Input 7 2 7 6" xfId="32644" xr:uid="{00000000-0005-0000-0000-00007F7F0000}"/>
    <cellStyle name="Input 7 2 8" xfId="32645" xr:uid="{00000000-0005-0000-0000-0000807F0000}"/>
    <cellStyle name="Input 7 2 8 2" xfId="32646" xr:uid="{00000000-0005-0000-0000-0000817F0000}"/>
    <cellStyle name="Input 7 2 8 2 2" xfId="32647" xr:uid="{00000000-0005-0000-0000-0000827F0000}"/>
    <cellStyle name="Input 7 2 8 2 3" xfId="32648" xr:uid="{00000000-0005-0000-0000-0000837F0000}"/>
    <cellStyle name="Input 7 2 8 2 4" xfId="32649" xr:uid="{00000000-0005-0000-0000-0000847F0000}"/>
    <cellStyle name="Input 7 2 8 2 5" xfId="32650" xr:uid="{00000000-0005-0000-0000-0000857F0000}"/>
    <cellStyle name="Input 7 2 8 2 6" xfId="32651" xr:uid="{00000000-0005-0000-0000-0000867F0000}"/>
    <cellStyle name="Input 7 2 8 3" xfId="32652" xr:uid="{00000000-0005-0000-0000-0000877F0000}"/>
    <cellStyle name="Input 7 2 8 4" xfId="32653" xr:uid="{00000000-0005-0000-0000-0000887F0000}"/>
    <cellStyle name="Input 7 2 8 5" xfId="32654" xr:uid="{00000000-0005-0000-0000-0000897F0000}"/>
    <cellStyle name="Input 7 2 8 6" xfId="32655" xr:uid="{00000000-0005-0000-0000-00008A7F0000}"/>
    <cellStyle name="Input 7 2 9" xfId="32656" xr:uid="{00000000-0005-0000-0000-00008B7F0000}"/>
    <cellStyle name="Input 7 2 9 2" xfId="32657" xr:uid="{00000000-0005-0000-0000-00008C7F0000}"/>
    <cellStyle name="Input 7 2 9 3" xfId="32658" xr:uid="{00000000-0005-0000-0000-00008D7F0000}"/>
    <cellStyle name="Input 7 2 9 4" xfId="32659" xr:uid="{00000000-0005-0000-0000-00008E7F0000}"/>
    <cellStyle name="Input 7 2 9 5" xfId="32660" xr:uid="{00000000-0005-0000-0000-00008F7F0000}"/>
    <cellStyle name="Input 7 2 9 6" xfId="32661" xr:uid="{00000000-0005-0000-0000-0000907F0000}"/>
    <cellStyle name="Input 8" xfId="32662" xr:uid="{00000000-0005-0000-0000-0000917F0000}"/>
    <cellStyle name="Input 8 2" xfId="32663" xr:uid="{00000000-0005-0000-0000-0000927F0000}"/>
    <cellStyle name="Input 8 2 10" xfId="32664" xr:uid="{00000000-0005-0000-0000-0000937F0000}"/>
    <cellStyle name="Input 8 2 11" xfId="32665" xr:uid="{00000000-0005-0000-0000-0000947F0000}"/>
    <cellStyle name="Input 8 2 12" xfId="32666" xr:uid="{00000000-0005-0000-0000-0000957F0000}"/>
    <cellStyle name="Input 8 2 13" xfId="32667" xr:uid="{00000000-0005-0000-0000-0000967F0000}"/>
    <cellStyle name="Input 8 2 2" xfId="32668" xr:uid="{00000000-0005-0000-0000-0000977F0000}"/>
    <cellStyle name="Input 8 2 2 10" xfId="32669" xr:uid="{00000000-0005-0000-0000-0000987F0000}"/>
    <cellStyle name="Input 8 2 2 10 2" xfId="32670" xr:uid="{00000000-0005-0000-0000-0000997F0000}"/>
    <cellStyle name="Input 8 2 2 10 3" xfId="32671" xr:uid="{00000000-0005-0000-0000-00009A7F0000}"/>
    <cellStyle name="Input 8 2 2 10 4" xfId="32672" xr:uid="{00000000-0005-0000-0000-00009B7F0000}"/>
    <cellStyle name="Input 8 2 2 10 5" xfId="32673" xr:uid="{00000000-0005-0000-0000-00009C7F0000}"/>
    <cellStyle name="Input 8 2 2 10 6" xfId="32674" xr:uid="{00000000-0005-0000-0000-00009D7F0000}"/>
    <cellStyle name="Input 8 2 2 11" xfId="32675" xr:uid="{00000000-0005-0000-0000-00009E7F0000}"/>
    <cellStyle name="Input 8 2 2 12" xfId="32676" xr:uid="{00000000-0005-0000-0000-00009F7F0000}"/>
    <cellStyle name="Input 8 2 2 13" xfId="32677" xr:uid="{00000000-0005-0000-0000-0000A07F0000}"/>
    <cellStyle name="Input 8 2 2 14" xfId="32678" xr:uid="{00000000-0005-0000-0000-0000A17F0000}"/>
    <cellStyle name="Input 8 2 2 2" xfId="32679" xr:uid="{00000000-0005-0000-0000-0000A27F0000}"/>
    <cellStyle name="Input 8 2 2 2 10" xfId="32680" xr:uid="{00000000-0005-0000-0000-0000A37F0000}"/>
    <cellStyle name="Input 8 2 2 2 11" xfId="32681" xr:uid="{00000000-0005-0000-0000-0000A47F0000}"/>
    <cellStyle name="Input 8 2 2 2 12" xfId="32682" xr:uid="{00000000-0005-0000-0000-0000A57F0000}"/>
    <cellStyle name="Input 8 2 2 2 13" xfId="32683" xr:uid="{00000000-0005-0000-0000-0000A67F0000}"/>
    <cellStyle name="Input 8 2 2 2 2" xfId="32684" xr:uid="{00000000-0005-0000-0000-0000A77F0000}"/>
    <cellStyle name="Input 8 2 2 2 2 2" xfId="32685" xr:uid="{00000000-0005-0000-0000-0000A87F0000}"/>
    <cellStyle name="Input 8 2 2 2 2 2 2" xfId="32686" xr:uid="{00000000-0005-0000-0000-0000A97F0000}"/>
    <cellStyle name="Input 8 2 2 2 2 2 2 2" xfId="32687" xr:uid="{00000000-0005-0000-0000-0000AA7F0000}"/>
    <cellStyle name="Input 8 2 2 2 2 2 2 3" xfId="32688" xr:uid="{00000000-0005-0000-0000-0000AB7F0000}"/>
    <cellStyle name="Input 8 2 2 2 2 2 2 4" xfId="32689" xr:uid="{00000000-0005-0000-0000-0000AC7F0000}"/>
    <cellStyle name="Input 8 2 2 2 2 2 2 5" xfId="32690" xr:uid="{00000000-0005-0000-0000-0000AD7F0000}"/>
    <cellStyle name="Input 8 2 2 2 2 2 2 6" xfId="32691" xr:uid="{00000000-0005-0000-0000-0000AE7F0000}"/>
    <cellStyle name="Input 8 2 2 2 2 2 3" xfId="32692" xr:uid="{00000000-0005-0000-0000-0000AF7F0000}"/>
    <cellStyle name="Input 8 2 2 2 2 2 4" xfId="32693" xr:uid="{00000000-0005-0000-0000-0000B07F0000}"/>
    <cellStyle name="Input 8 2 2 2 2 2 5" xfId="32694" xr:uid="{00000000-0005-0000-0000-0000B17F0000}"/>
    <cellStyle name="Input 8 2 2 2 2 2 6" xfId="32695" xr:uid="{00000000-0005-0000-0000-0000B27F0000}"/>
    <cellStyle name="Input 8 2 2 2 2 3" xfId="32696" xr:uid="{00000000-0005-0000-0000-0000B37F0000}"/>
    <cellStyle name="Input 8 2 2 2 2 3 2" xfId="32697" xr:uid="{00000000-0005-0000-0000-0000B47F0000}"/>
    <cellStyle name="Input 8 2 2 2 2 3 2 2" xfId="32698" xr:uid="{00000000-0005-0000-0000-0000B57F0000}"/>
    <cellStyle name="Input 8 2 2 2 2 3 2 3" xfId="32699" xr:uid="{00000000-0005-0000-0000-0000B67F0000}"/>
    <cellStyle name="Input 8 2 2 2 2 3 2 4" xfId="32700" xr:uid="{00000000-0005-0000-0000-0000B77F0000}"/>
    <cellStyle name="Input 8 2 2 2 2 3 2 5" xfId="32701" xr:uid="{00000000-0005-0000-0000-0000B87F0000}"/>
    <cellStyle name="Input 8 2 2 2 2 3 2 6" xfId="32702" xr:uid="{00000000-0005-0000-0000-0000B97F0000}"/>
    <cellStyle name="Input 8 2 2 2 2 3 3" xfId="32703" xr:uid="{00000000-0005-0000-0000-0000BA7F0000}"/>
    <cellStyle name="Input 8 2 2 2 2 3 4" xfId="32704" xr:uid="{00000000-0005-0000-0000-0000BB7F0000}"/>
    <cellStyle name="Input 8 2 2 2 2 3 5" xfId="32705" xr:uid="{00000000-0005-0000-0000-0000BC7F0000}"/>
    <cellStyle name="Input 8 2 2 2 2 3 6" xfId="32706" xr:uid="{00000000-0005-0000-0000-0000BD7F0000}"/>
    <cellStyle name="Input 8 2 2 2 2 4" xfId="32707" xr:uid="{00000000-0005-0000-0000-0000BE7F0000}"/>
    <cellStyle name="Input 8 2 2 2 2 4 2" xfId="32708" xr:uid="{00000000-0005-0000-0000-0000BF7F0000}"/>
    <cellStyle name="Input 8 2 2 2 2 4 3" xfId="32709" xr:uid="{00000000-0005-0000-0000-0000C07F0000}"/>
    <cellStyle name="Input 8 2 2 2 2 4 4" xfId="32710" xr:uid="{00000000-0005-0000-0000-0000C17F0000}"/>
    <cellStyle name="Input 8 2 2 2 2 4 5" xfId="32711" xr:uid="{00000000-0005-0000-0000-0000C27F0000}"/>
    <cellStyle name="Input 8 2 2 2 2 4 6" xfId="32712" xr:uid="{00000000-0005-0000-0000-0000C37F0000}"/>
    <cellStyle name="Input 8 2 2 2 2 5" xfId="32713" xr:uid="{00000000-0005-0000-0000-0000C47F0000}"/>
    <cellStyle name="Input 8 2 2 2 2 6" xfId="32714" xr:uid="{00000000-0005-0000-0000-0000C57F0000}"/>
    <cellStyle name="Input 8 2 2 2 2 7" xfId="32715" xr:uid="{00000000-0005-0000-0000-0000C67F0000}"/>
    <cellStyle name="Input 8 2 2 2 2 8" xfId="32716" xr:uid="{00000000-0005-0000-0000-0000C77F0000}"/>
    <cellStyle name="Input 8 2 2 2 3" xfId="32717" xr:uid="{00000000-0005-0000-0000-0000C87F0000}"/>
    <cellStyle name="Input 8 2 2 2 3 2" xfId="32718" xr:uid="{00000000-0005-0000-0000-0000C97F0000}"/>
    <cellStyle name="Input 8 2 2 2 3 2 2" xfId="32719" xr:uid="{00000000-0005-0000-0000-0000CA7F0000}"/>
    <cellStyle name="Input 8 2 2 2 3 2 2 2" xfId="32720" xr:uid="{00000000-0005-0000-0000-0000CB7F0000}"/>
    <cellStyle name="Input 8 2 2 2 3 2 2 3" xfId="32721" xr:uid="{00000000-0005-0000-0000-0000CC7F0000}"/>
    <cellStyle name="Input 8 2 2 2 3 2 2 4" xfId="32722" xr:uid="{00000000-0005-0000-0000-0000CD7F0000}"/>
    <cellStyle name="Input 8 2 2 2 3 2 2 5" xfId="32723" xr:uid="{00000000-0005-0000-0000-0000CE7F0000}"/>
    <cellStyle name="Input 8 2 2 2 3 2 2 6" xfId="32724" xr:uid="{00000000-0005-0000-0000-0000CF7F0000}"/>
    <cellStyle name="Input 8 2 2 2 3 2 3" xfId="32725" xr:uid="{00000000-0005-0000-0000-0000D07F0000}"/>
    <cellStyle name="Input 8 2 2 2 3 2 4" xfId="32726" xr:uid="{00000000-0005-0000-0000-0000D17F0000}"/>
    <cellStyle name="Input 8 2 2 2 3 2 5" xfId="32727" xr:uid="{00000000-0005-0000-0000-0000D27F0000}"/>
    <cellStyle name="Input 8 2 2 2 3 2 6" xfId="32728" xr:uid="{00000000-0005-0000-0000-0000D37F0000}"/>
    <cellStyle name="Input 8 2 2 2 3 3" xfId="32729" xr:uid="{00000000-0005-0000-0000-0000D47F0000}"/>
    <cellStyle name="Input 8 2 2 2 3 3 2" xfId="32730" xr:uid="{00000000-0005-0000-0000-0000D57F0000}"/>
    <cellStyle name="Input 8 2 2 2 3 3 2 2" xfId="32731" xr:uid="{00000000-0005-0000-0000-0000D67F0000}"/>
    <cellStyle name="Input 8 2 2 2 3 3 2 3" xfId="32732" xr:uid="{00000000-0005-0000-0000-0000D77F0000}"/>
    <cellStyle name="Input 8 2 2 2 3 3 2 4" xfId="32733" xr:uid="{00000000-0005-0000-0000-0000D87F0000}"/>
    <cellStyle name="Input 8 2 2 2 3 3 2 5" xfId="32734" xr:uid="{00000000-0005-0000-0000-0000D97F0000}"/>
    <cellStyle name="Input 8 2 2 2 3 3 2 6" xfId="32735" xr:uid="{00000000-0005-0000-0000-0000DA7F0000}"/>
    <cellStyle name="Input 8 2 2 2 3 3 3" xfId="32736" xr:uid="{00000000-0005-0000-0000-0000DB7F0000}"/>
    <cellStyle name="Input 8 2 2 2 3 3 4" xfId="32737" xr:uid="{00000000-0005-0000-0000-0000DC7F0000}"/>
    <cellStyle name="Input 8 2 2 2 3 3 5" xfId="32738" xr:uid="{00000000-0005-0000-0000-0000DD7F0000}"/>
    <cellStyle name="Input 8 2 2 2 3 3 6" xfId="32739" xr:uid="{00000000-0005-0000-0000-0000DE7F0000}"/>
    <cellStyle name="Input 8 2 2 2 3 4" xfId="32740" xr:uid="{00000000-0005-0000-0000-0000DF7F0000}"/>
    <cellStyle name="Input 8 2 2 2 3 4 2" xfId="32741" xr:uid="{00000000-0005-0000-0000-0000E07F0000}"/>
    <cellStyle name="Input 8 2 2 2 3 4 3" xfId="32742" xr:uid="{00000000-0005-0000-0000-0000E17F0000}"/>
    <cellStyle name="Input 8 2 2 2 3 4 4" xfId="32743" xr:uid="{00000000-0005-0000-0000-0000E27F0000}"/>
    <cellStyle name="Input 8 2 2 2 3 4 5" xfId="32744" xr:uid="{00000000-0005-0000-0000-0000E37F0000}"/>
    <cellStyle name="Input 8 2 2 2 3 4 6" xfId="32745" xr:uid="{00000000-0005-0000-0000-0000E47F0000}"/>
    <cellStyle name="Input 8 2 2 2 3 5" xfId="32746" xr:uid="{00000000-0005-0000-0000-0000E57F0000}"/>
    <cellStyle name="Input 8 2 2 2 3 6" xfId="32747" xr:uid="{00000000-0005-0000-0000-0000E67F0000}"/>
    <cellStyle name="Input 8 2 2 2 3 7" xfId="32748" xr:uid="{00000000-0005-0000-0000-0000E77F0000}"/>
    <cellStyle name="Input 8 2 2 2 3 8" xfId="32749" xr:uid="{00000000-0005-0000-0000-0000E87F0000}"/>
    <cellStyle name="Input 8 2 2 2 4" xfId="32750" xr:uid="{00000000-0005-0000-0000-0000E97F0000}"/>
    <cellStyle name="Input 8 2 2 2 4 2" xfId="32751" xr:uid="{00000000-0005-0000-0000-0000EA7F0000}"/>
    <cellStyle name="Input 8 2 2 2 4 2 2" xfId="32752" xr:uid="{00000000-0005-0000-0000-0000EB7F0000}"/>
    <cellStyle name="Input 8 2 2 2 4 2 2 2" xfId="32753" xr:uid="{00000000-0005-0000-0000-0000EC7F0000}"/>
    <cellStyle name="Input 8 2 2 2 4 2 2 3" xfId="32754" xr:uid="{00000000-0005-0000-0000-0000ED7F0000}"/>
    <cellStyle name="Input 8 2 2 2 4 2 2 4" xfId="32755" xr:uid="{00000000-0005-0000-0000-0000EE7F0000}"/>
    <cellStyle name="Input 8 2 2 2 4 2 2 5" xfId="32756" xr:uid="{00000000-0005-0000-0000-0000EF7F0000}"/>
    <cellStyle name="Input 8 2 2 2 4 2 2 6" xfId="32757" xr:uid="{00000000-0005-0000-0000-0000F07F0000}"/>
    <cellStyle name="Input 8 2 2 2 4 2 3" xfId="32758" xr:uid="{00000000-0005-0000-0000-0000F17F0000}"/>
    <cellStyle name="Input 8 2 2 2 4 2 4" xfId="32759" xr:uid="{00000000-0005-0000-0000-0000F27F0000}"/>
    <cellStyle name="Input 8 2 2 2 4 2 5" xfId="32760" xr:uid="{00000000-0005-0000-0000-0000F37F0000}"/>
    <cellStyle name="Input 8 2 2 2 4 2 6" xfId="32761" xr:uid="{00000000-0005-0000-0000-0000F47F0000}"/>
    <cellStyle name="Input 8 2 2 2 4 3" xfId="32762" xr:uid="{00000000-0005-0000-0000-0000F57F0000}"/>
    <cellStyle name="Input 8 2 2 2 4 3 2" xfId="32763" xr:uid="{00000000-0005-0000-0000-0000F67F0000}"/>
    <cellStyle name="Input 8 2 2 2 4 3 2 2" xfId="32764" xr:uid="{00000000-0005-0000-0000-0000F77F0000}"/>
    <cellStyle name="Input 8 2 2 2 4 3 2 3" xfId="32765" xr:uid="{00000000-0005-0000-0000-0000F87F0000}"/>
    <cellStyle name="Input 8 2 2 2 4 3 2 4" xfId="32766" xr:uid="{00000000-0005-0000-0000-0000F97F0000}"/>
    <cellStyle name="Input 8 2 2 2 4 3 2 5" xfId="32767" xr:uid="{00000000-0005-0000-0000-0000FA7F0000}"/>
    <cellStyle name="Input 8 2 2 2 4 3 2 6" xfId="32768" xr:uid="{00000000-0005-0000-0000-0000FB7F0000}"/>
    <cellStyle name="Input 8 2 2 2 4 3 3" xfId="32769" xr:uid="{00000000-0005-0000-0000-0000FC7F0000}"/>
    <cellStyle name="Input 8 2 2 2 4 3 4" xfId="32770" xr:uid="{00000000-0005-0000-0000-0000FD7F0000}"/>
    <cellStyle name="Input 8 2 2 2 4 3 5" xfId="32771" xr:uid="{00000000-0005-0000-0000-0000FE7F0000}"/>
    <cellStyle name="Input 8 2 2 2 4 3 6" xfId="32772" xr:uid="{00000000-0005-0000-0000-0000FF7F0000}"/>
    <cellStyle name="Input 8 2 2 2 4 4" xfId="32773" xr:uid="{00000000-0005-0000-0000-000000800000}"/>
    <cellStyle name="Input 8 2 2 2 4 4 2" xfId="32774" xr:uid="{00000000-0005-0000-0000-000001800000}"/>
    <cellStyle name="Input 8 2 2 2 4 4 3" xfId="32775" xr:uid="{00000000-0005-0000-0000-000002800000}"/>
    <cellStyle name="Input 8 2 2 2 4 4 4" xfId="32776" xr:uid="{00000000-0005-0000-0000-000003800000}"/>
    <cellStyle name="Input 8 2 2 2 4 4 5" xfId="32777" xr:uid="{00000000-0005-0000-0000-000004800000}"/>
    <cellStyle name="Input 8 2 2 2 4 4 6" xfId="32778" xr:uid="{00000000-0005-0000-0000-000005800000}"/>
    <cellStyle name="Input 8 2 2 2 4 5" xfId="32779" xr:uid="{00000000-0005-0000-0000-000006800000}"/>
    <cellStyle name="Input 8 2 2 2 4 6" xfId="32780" xr:uid="{00000000-0005-0000-0000-000007800000}"/>
    <cellStyle name="Input 8 2 2 2 4 7" xfId="32781" xr:uid="{00000000-0005-0000-0000-000008800000}"/>
    <cellStyle name="Input 8 2 2 2 4 8" xfId="32782" xr:uid="{00000000-0005-0000-0000-000009800000}"/>
    <cellStyle name="Input 8 2 2 2 5" xfId="32783" xr:uid="{00000000-0005-0000-0000-00000A800000}"/>
    <cellStyle name="Input 8 2 2 2 5 2" xfId="32784" xr:uid="{00000000-0005-0000-0000-00000B800000}"/>
    <cellStyle name="Input 8 2 2 2 5 2 2" xfId="32785" xr:uid="{00000000-0005-0000-0000-00000C800000}"/>
    <cellStyle name="Input 8 2 2 2 5 2 2 2" xfId="32786" xr:uid="{00000000-0005-0000-0000-00000D800000}"/>
    <cellStyle name="Input 8 2 2 2 5 2 2 3" xfId="32787" xr:uid="{00000000-0005-0000-0000-00000E800000}"/>
    <cellStyle name="Input 8 2 2 2 5 2 2 4" xfId="32788" xr:uid="{00000000-0005-0000-0000-00000F800000}"/>
    <cellStyle name="Input 8 2 2 2 5 2 2 5" xfId="32789" xr:uid="{00000000-0005-0000-0000-000010800000}"/>
    <cellStyle name="Input 8 2 2 2 5 2 2 6" xfId="32790" xr:uid="{00000000-0005-0000-0000-000011800000}"/>
    <cellStyle name="Input 8 2 2 2 5 2 3" xfId="32791" xr:uid="{00000000-0005-0000-0000-000012800000}"/>
    <cellStyle name="Input 8 2 2 2 5 2 4" xfId="32792" xr:uid="{00000000-0005-0000-0000-000013800000}"/>
    <cellStyle name="Input 8 2 2 2 5 2 5" xfId="32793" xr:uid="{00000000-0005-0000-0000-000014800000}"/>
    <cellStyle name="Input 8 2 2 2 5 2 6" xfId="32794" xr:uid="{00000000-0005-0000-0000-000015800000}"/>
    <cellStyle name="Input 8 2 2 2 5 3" xfId="32795" xr:uid="{00000000-0005-0000-0000-000016800000}"/>
    <cellStyle name="Input 8 2 2 2 5 3 2" xfId="32796" xr:uid="{00000000-0005-0000-0000-000017800000}"/>
    <cellStyle name="Input 8 2 2 2 5 3 2 2" xfId="32797" xr:uid="{00000000-0005-0000-0000-000018800000}"/>
    <cellStyle name="Input 8 2 2 2 5 3 2 3" xfId="32798" xr:uid="{00000000-0005-0000-0000-000019800000}"/>
    <cellStyle name="Input 8 2 2 2 5 3 2 4" xfId="32799" xr:uid="{00000000-0005-0000-0000-00001A800000}"/>
    <cellStyle name="Input 8 2 2 2 5 3 2 5" xfId="32800" xr:uid="{00000000-0005-0000-0000-00001B800000}"/>
    <cellStyle name="Input 8 2 2 2 5 3 2 6" xfId="32801" xr:uid="{00000000-0005-0000-0000-00001C800000}"/>
    <cellStyle name="Input 8 2 2 2 5 3 3" xfId="32802" xr:uid="{00000000-0005-0000-0000-00001D800000}"/>
    <cellStyle name="Input 8 2 2 2 5 3 4" xfId="32803" xr:uid="{00000000-0005-0000-0000-00001E800000}"/>
    <cellStyle name="Input 8 2 2 2 5 3 5" xfId="32804" xr:uid="{00000000-0005-0000-0000-00001F800000}"/>
    <cellStyle name="Input 8 2 2 2 5 3 6" xfId="32805" xr:uid="{00000000-0005-0000-0000-000020800000}"/>
    <cellStyle name="Input 8 2 2 2 5 4" xfId="32806" xr:uid="{00000000-0005-0000-0000-000021800000}"/>
    <cellStyle name="Input 8 2 2 2 5 4 2" xfId="32807" xr:uid="{00000000-0005-0000-0000-000022800000}"/>
    <cellStyle name="Input 8 2 2 2 5 4 3" xfId="32808" xr:uid="{00000000-0005-0000-0000-000023800000}"/>
    <cellStyle name="Input 8 2 2 2 5 4 4" xfId="32809" xr:uid="{00000000-0005-0000-0000-000024800000}"/>
    <cellStyle name="Input 8 2 2 2 5 4 5" xfId="32810" xr:uid="{00000000-0005-0000-0000-000025800000}"/>
    <cellStyle name="Input 8 2 2 2 5 4 6" xfId="32811" xr:uid="{00000000-0005-0000-0000-000026800000}"/>
    <cellStyle name="Input 8 2 2 2 5 5" xfId="32812" xr:uid="{00000000-0005-0000-0000-000027800000}"/>
    <cellStyle name="Input 8 2 2 2 5 6" xfId="32813" xr:uid="{00000000-0005-0000-0000-000028800000}"/>
    <cellStyle name="Input 8 2 2 2 5 7" xfId="32814" xr:uid="{00000000-0005-0000-0000-000029800000}"/>
    <cellStyle name="Input 8 2 2 2 5 8" xfId="32815" xr:uid="{00000000-0005-0000-0000-00002A800000}"/>
    <cellStyle name="Input 8 2 2 2 6" xfId="32816" xr:uid="{00000000-0005-0000-0000-00002B800000}"/>
    <cellStyle name="Input 8 2 2 2 6 2" xfId="32817" xr:uid="{00000000-0005-0000-0000-00002C800000}"/>
    <cellStyle name="Input 8 2 2 2 6 2 2" xfId="32818" xr:uid="{00000000-0005-0000-0000-00002D800000}"/>
    <cellStyle name="Input 8 2 2 2 6 2 2 2" xfId="32819" xr:uid="{00000000-0005-0000-0000-00002E800000}"/>
    <cellStyle name="Input 8 2 2 2 6 2 2 3" xfId="32820" xr:uid="{00000000-0005-0000-0000-00002F800000}"/>
    <cellStyle name="Input 8 2 2 2 6 2 2 4" xfId="32821" xr:uid="{00000000-0005-0000-0000-000030800000}"/>
    <cellStyle name="Input 8 2 2 2 6 2 2 5" xfId="32822" xr:uid="{00000000-0005-0000-0000-000031800000}"/>
    <cellStyle name="Input 8 2 2 2 6 2 2 6" xfId="32823" xr:uid="{00000000-0005-0000-0000-000032800000}"/>
    <cellStyle name="Input 8 2 2 2 6 2 3" xfId="32824" xr:uid="{00000000-0005-0000-0000-000033800000}"/>
    <cellStyle name="Input 8 2 2 2 6 2 4" xfId="32825" xr:uid="{00000000-0005-0000-0000-000034800000}"/>
    <cellStyle name="Input 8 2 2 2 6 2 5" xfId="32826" xr:uid="{00000000-0005-0000-0000-000035800000}"/>
    <cellStyle name="Input 8 2 2 2 6 2 6" xfId="32827" xr:uid="{00000000-0005-0000-0000-000036800000}"/>
    <cellStyle name="Input 8 2 2 2 6 3" xfId="32828" xr:uid="{00000000-0005-0000-0000-000037800000}"/>
    <cellStyle name="Input 8 2 2 2 6 3 2" xfId="32829" xr:uid="{00000000-0005-0000-0000-000038800000}"/>
    <cellStyle name="Input 8 2 2 2 6 3 2 2" xfId="32830" xr:uid="{00000000-0005-0000-0000-000039800000}"/>
    <cellStyle name="Input 8 2 2 2 6 3 2 3" xfId="32831" xr:uid="{00000000-0005-0000-0000-00003A800000}"/>
    <cellStyle name="Input 8 2 2 2 6 3 2 4" xfId="32832" xr:uid="{00000000-0005-0000-0000-00003B800000}"/>
    <cellStyle name="Input 8 2 2 2 6 3 2 5" xfId="32833" xr:uid="{00000000-0005-0000-0000-00003C800000}"/>
    <cellStyle name="Input 8 2 2 2 6 3 2 6" xfId="32834" xr:uid="{00000000-0005-0000-0000-00003D800000}"/>
    <cellStyle name="Input 8 2 2 2 6 3 3" xfId="32835" xr:uid="{00000000-0005-0000-0000-00003E800000}"/>
    <cellStyle name="Input 8 2 2 2 6 3 4" xfId="32836" xr:uid="{00000000-0005-0000-0000-00003F800000}"/>
    <cellStyle name="Input 8 2 2 2 6 3 5" xfId="32837" xr:uid="{00000000-0005-0000-0000-000040800000}"/>
    <cellStyle name="Input 8 2 2 2 6 3 6" xfId="32838" xr:uid="{00000000-0005-0000-0000-000041800000}"/>
    <cellStyle name="Input 8 2 2 2 6 4" xfId="32839" xr:uid="{00000000-0005-0000-0000-000042800000}"/>
    <cellStyle name="Input 8 2 2 2 6 4 2" xfId="32840" xr:uid="{00000000-0005-0000-0000-000043800000}"/>
    <cellStyle name="Input 8 2 2 2 6 4 3" xfId="32841" xr:uid="{00000000-0005-0000-0000-000044800000}"/>
    <cellStyle name="Input 8 2 2 2 6 4 4" xfId="32842" xr:uid="{00000000-0005-0000-0000-000045800000}"/>
    <cellStyle name="Input 8 2 2 2 6 4 5" xfId="32843" xr:uid="{00000000-0005-0000-0000-000046800000}"/>
    <cellStyle name="Input 8 2 2 2 6 4 6" xfId="32844" xr:uid="{00000000-0005-0000-0000-000047800000}"/>
    <cellStyle name="Input 8 2 2 2 6 5" xfId="32845" xr:uid="{00000000-0005-0000-0000-000048800000}"/>
    <cellStyle name="Input 8 2 2 2 6 6" xfId="32846" xr:uid="{00000000-0005-0000-0000-000049800000}"/>
    <cellStyle name="Input 8 2 2 2 6 7" xfId="32847" xr:uid="{00000000-0005-0000-0000-00004A800000}"/>
    <cellStyle name="Input 8 2 2 2 6 8" xfId="32848" xr:uid="{00000000-0005-0000-0000-00004B800000}"/>
    <cellStyle name="Input 8 2 2 2 7" xfId="32849" xr:uid="{00000000-0005-0000-0000-00004C800000}"/>
    <cellStyle name="Input 8 2 2 2 7 2" xfId="32850" xr:uid="{00000000-0005-0000-0000-00004D800000}"/>
    <cellStyle name="Input 8 2 2 2 7 2 2" xfId="32851" xr:uid="{00000000-0005-0000-0000-00004E800000}"/>
    <cellStyle name="Input 8 2 2 2 7 2 3" xfId="32852" xr:uid="{00000000-0005-0000-0000-00004F800000}"/>
    <cellStyle name="Input 8 2 2 2 7 2 4" xfId="32853" xr:uid="{00000000-0005-0000-0000-000050800000}"/>
    <cellStyle name="Input 8 2 2 2 7 2 5" xfId="32854" xr:uid="{00000000-0005-0000-0000-000051800000}"/>
    <cellStyle name="Input 8 2 2 2 7 2 6" xfId="32855" xr:uid="{00000000-0005-0000-0000-000052800000}"/>
    <cellStyle name="Input 8 2 2 2 7 3" xfId="32856" xr:uid="{00000000-0005-0000-0000-000053800000}"/>
    <cellStyle name="Input 8 2 2 2 7 4" xfId="32857" xr:uid="{00000000-0005-0000-0000-000054800000}"/>
    <cellStyle name="Input 8 2 2 2 7 5" xfId="32858" xr:uid="{00000000-0005-0000-0000-000055800000}"/>
    <cellStyle name="Input 8 2 2 2 7 6" xfId="32859" xr:uid="{00000000-0005-0000-0000-000056800000}"/>
    <cellStyle name="Input 8 2 2 2 8" xfId="32860" xr:uid="{00000000-0005-0000-0000-000057800000}"/>
    <cellStyle name="Input 8 2 2 2 8 2" xfId="32861" xr:uid="{00000000-0005-0000-0000-000058800000}"/>
    <cellStyle name="Input 8 2 2 2 8 2 2" xfId="32862" xr:uid="{00000000-0005-0000-0000-000059800000}"/>
    <cellStyle name="Input 8 2 2 2 8 2 3" xfId="32863" xr:uid="{00000000-0005-0000-0000-00005A800000}"/>
    <cellStyle name="Input 8 2 2 2 8 2 4" xfId="32864" xr:uid="{00000000-0005-0000-0000-00005B800000}"/>
    <cellStyle name="Input 8 2 2 2 8 2 5" xfId="32865" xr:uid="{00000000-0005-0000-0000-00005C800000}"/>
    <cellStyle name="Input 8 2 2 2 8 2 6" xfId="32866" xr:uid="{00000000-0005-0000-0000-00005D800000}"/>
    <cellStyle name="Input 8 2 2 2 8 3" xfId="32867" xr:uid="{00000000-0005-0000-0000-00005E800000}"/>
    <cellStyle name="Input 8 2 2 2 8 4" xfId="32868" xr:uid="{00000000-0005-0000-0000-00005F800000}"/>
    <cellStyle name="Input 8 2 2 2 8 5" xfId="32869" xr:uid="{00000000-0005-0000-0000-000060800000}"/>
    <cellStyle name="Input 8 2 2 2 8 6" xfId="32870" xr:uid="{00000000-0005-0000-0000-000061800000}"/>
    <cellStyle name="Input 8 2 2 2 9" xfId="32871" xr:uid="{00000000-0005-0000-0000-000062800000}"/>
    <cellStyle name="Input 8 2 2 2 9 2" xfId="32872" xr:uid="{00000000-0005-0000-0000-000063800000}"/>
    <cellStyle name="Input 8 2 2 2 9 3" xfId="32873" xr:uid="{00000000-0005-0000-0000-000064800000}"/>
    <cellStyle name="Input 8 2 2 2 9 4" xfId="32874" xr:uid="{00000000-0005-0000-0000-000065800000}"/>
    <cellStyle name="Input 8 2 2 2 9 5" xfId="32875" xr:uid="{00000000-0005-0000-0000-000066800000}"/>
    <cellStyle name="Input 8 2 2 2 9 6" xfId="32876" xr:uid="{00000000-0005-0000-0000-000067800000}"/>
    <cellStyle name="Input 8 2 2 3" xfId="32877" xr:uid="{00000000-0005-0000-0000-000068800000}"/>
    <cellStyle name="Input 8 2 2 3 2" xfId="32878" xr:uid="{00000000-0005-0000-0000-000069800000}"/>
    <cellStyle name="Input 8 2 2 3 2 2" xfId="32879" xr:uid="{00000000-0005-0000-0000-00006A800000}"/>
    <cellStyle name="Input 8 2 2 3 2 2 2" xfId="32880" xr:uid="{00000000-0005-0000-0000-00006B800000}"/>
    <cellStyle name="Input 8 2 2 3 2 2 3" xfId="32881" xr:uid="{00000000-0005-0000-0000-00006C800000}"/>
    <cellStyle name="Input 8 2 2 3 2 2 4" xfId="32882" xr:uid="{00000000-0005-0000-0000-00006D800000}"/>
    <cellStyle name="Input 8 2 2 3 2 2 5" xfId="32883" xr:uid="{00000000-0005-0000-0000-00006E800000}"/>
    <cellStyle name="Input 8 2 2 3 2 2 6" xfId="32884" xr:uid="{00000000-0005-0000-0000-00006F800000}"/>
    <cellStyle name="Input 8 2 2 3 2 3" xfId="32885" xr:uid="{00000000-0005-0000-0000-000070800000}"/>
    <cellStyle name="Input 8 2 2 3 2 4" xfId="32886" xr:uid="{00000000-0005-0000-0000-000071800000}"/>
    <cellStyle name="Input 8 2 2 3 2 5" xfId="32887" xr:uid="{00000000-0005-0000-0000-000072800000}"/>
    <cellStyle name="Input 8 2 2 3 2 6" xfId="32888" xr:uid="{00000000-0005-0000-0000-000073800000}"/>
    <cellStyle name="Input 8 2 2 3 3" xfId="32889" xr:uid="{00000000-0005-0000-0000-000074800000}"/>
    <cellStyle name="Input 8 2 2 3 3 2" xfId="32890" xr:uid="{00000000-0005-0000-0000-000075800000}"/>
    <cellStyle name="Input 8 2 2 3 3 2 2" xfId="32891" xr:uid="{00000000-0005-0000-0000-000076800000}"/>
    <cellStyle name="Input 8 2 2 3 3 2 3" xfId="32892" xr:uid="{00000000-0005-0000-0000-000077800000}"/>
    <cellStyle name="Input 8 2 2 3 3 2 4" xfId="32893" xr:uid="{00000000-0005-0000-0000-000078800000}"/>
    <cellStyle name="Input 8 2 2 3 3 2 5" xfId="32894" xr:uid="{00000000-0005-0000-0000-000079800000}"/>
    <cellStyle name="Input 8 2 2 3 3 2 6" xfId="32895" xr:uid="{00000000-0005-0000-0000-00007A800000}"/>
    <cellStyle name="Input 8 2 2 3 3 3" xfId="32896" xr:uid="{00000000-0005-0000-0000-00007B800000}"/>
    <cellStyle name="Input 8 2 2 3 3 4" xfId="32897" xr:uid="{00000000-0005-0000-0000-00007C800000}"/>
    <cellStyle name="Input 8 2 2 3 3 5" xfId="32898" xr:uid="{00000000-0005-0000-0000-00007D800000}"/>
    <cellStyle name="Input 8 2 2 3 3 6" xfId="32899" xr:uid="{00000000-0005-0000-0000-00007E800000}"/>
    <cellStyle name="Input 8 2 2 3 4" xfId="32900" xr:uid="{00000000-0005-0000-0000-00007F800000}"/>
    <cellStyle name="Input 8 2 2 3 4 2" xfId="32901" xr:uid="{00000000-0005-0000-0000-000080800000}"/>
    <cellStyle name="Input 8 2 2 3 4 3" xfId="32902" xr:uid="{00000000-0005-0000-0000-000081800000}"/>
    <cellStyle name="Input 8 2 2 3 4 4" xfId="32903" xr:uid="{00000000-0005-0000-0000-000082800000}"/>
    <cellStyle name="Input 8 2 2 3 4 5" xfId="32904" xr:uid="{00000000-0005-0000-0000-000083800000}"/>
    <cellStyle name="Input 8 2 2 3 4 6" xfId="32905" xr:uid="{00000000-0005-0000-0000-000084800000}"/>
    <cellStyle name="Input 8 2 2 3 5" xfId="32906" xr:uid="{00000000-0005-0000-0000-000085800000}"/>
    <cellStyle name="Input 8 2 2 3 6" xfId="32907" xr:uid="{00000000-0005-0000-0000-000086800000}"/>
    <cellStyle name="Input 8 2 2 3 7" xfId="32908" xr:uid="{00000000-0005-0000-0000-000087800000}"/>
    <cellStyle name="Input 8 2 2 3 8" xfId="32909" xr:uid="{00000000-0005-0000-0000-000088800000}"/>
    <cellStyle name="Input 8 2 2 4" xfId="32910" xr:uid="{00000000-0005-0000-0000-000089800000}"/>
    <cellStyle name="Input 8 2 2 4 2" xfId="32911" xr:uid="{00000000-0005-0000-0000-00008A800000}"/>
    <cellStyle name="Input 8 2 2 4 2 2" xfId="32912" xr:uid="{00000000-0005-0000-0000-00008B800000}"/>
    <cellStyle name="Input 8 2 2 4 2 2 2" xfId="32913" xr:uid="{00000000-0005-0000-0000-00008C800000}"/>
    <cellStyle name="Input 8 2 2 4 2 2 3" xfId="32914" xr:uid="{00000000-0005-0000-0000-00008D800000}"/>
    <cellStyle name="Input 8 2 2 4 2 2 4" xfId="32915" xr:uid="{00000000-0005-0000-0000-00008E800000}"/>
    <cellStyle name="Input 8 2 2 4 2 2 5" xfId="32916" xr:uid="{00000000-0005-0000-0000-00008F800000}"/>
    <cellStyle name="Input 8 2 2 4 2 2 6" xfId="32917" xr:uid="{00000000-0005-0000-0000-000090800000}"/>
    <cellStyle name="Input 8 2 2 4 2 3" xfId="32918" xr:uid="{00000000-0005-0000-0000-000091800000}"/>
    <cellStyle name="Input 8 2 2 4 2 4" xfId="32919" xr:uid="{00000000-0005-0000-0000-000092800000}"/>
    <cellStyle name="Input 8 2 2 4 2 5" xfId="32920" xr:uid="{00000000-0005-0000-0000-000093800000}"/>
    <cellStyle name="Input 8 2 2 4 2 6" xfId="32921" xr:uid="{00000000-0005-0000-0000-000094800000}"/>
    <cellStyle name="Input 8 2 2 4 3" xfId="32922" xr:uid="{00000000-0005-0000-0000-000095800000}"/>
    <cellStyle name="Input 8 2 2 4 3 2" xfId="32923" xr:uid="{00000000-0005-0000-0000-000096800000}"/>
    <cellStyle name="Input 8 2 2 4 3 2 2" xfId="32924" xr:uid="{00000000-0005-0000-0000-000097800000}"/>
    <cellStyle name="Input 8 2 2 4 3 2 3" xfId="32925" xr:uid="{00000000-0005-0000-0000-000098800000}"/>
    <cellStyle name="Input 8 2 2 4 3 2 4" xfId="32926" xr:uid="{00000000-0005-0000-0000-000099800000}"/>
    <cellStyle name="Input 8 2 2 4 3 2 5" xfId="32927" xr:uid="{00000000-0005-0000-0000-00009A800000}"/>
    <cellStyle name="Input 8 2 2 4 3 2 6" xfId="32928" xr:uid="{00000000-0005-0000-0000-00009B800000}"/>
    <cellStyle name="Input 8 2 2 4 3 3" xfId="32929" xr:uid="{00000000-0005-0000-0000-00009C800000}"/>
    <cellStyle name="Input 8 2 2 4 3 4" xfId="32930" xr:uid="{00000000-0005-0000-0000-00009D800000}"/>
    <cellStyle name="Input 8 2 2 4 3 5" xfId="32931" xr:uid="{00000000-0005-0000-0000-00009E800000}"/>
    <cellStyle name="Input 8 2 2 4 3 6" xfId="32932" xr:uid="{00000000-0005-0000-0000-00009F800000}"/>
    <cellStyle name="Input 8 2 2 4 4" xfId="32933" xr:uid="{00000000-0005-0000-0000-0000A0800000}"/>
    <cellStyle name="Input 8 2 2 4 4 2" xfId="32934" xr:uid="{00000000-0005-0000-0000-0000A1800000}"/>
    <cellStyle name="Input 8 2 2 4 4 3" xfId="32935" xr:uid="{00000000-0005-0000-0000-0000A2800000}"/>
    <cellStyle name="Input 8 2 2 4 4 4" xfId="32936" xr:uid="{00000000-0005-0000-0000-0000A3800000}"/>
    <cellStyle name="Input 8 2 2 4 4 5" xfId="32937" xr:uid="{00000000-0005-0000-0000-0000A4800000}"/>
    <cellStyle name="Input 8 2 2 4 4 6" xfId="32938" xr:uid="{00000000-0005-0000-0000-0000A5800000}"/>
    <cellStyle name="Input 8 2 2 4 5" xfId="32939" xr:uid="{00000000-0005-0000-0000-0000A6800000}"/>
    <cellStyle name="Input 8 2 2 4 6" xfId="32940" xr:uid="{00000000-0005-0000-0000-0000A7800000}"/>
    <cellStyle name="Input 8 2 2 4 7" xfId="32941" xr:uid="{00000000-0005-0000-0000-0000A8800000}"/>
    <cellStyle name="Input 8 2 2 4 8" xfId="32942" xr:uid="{00000000-0005-0000-0000-0000A9800000}"/>
    <cellStyle name="Input 8 2 2 5" xfId="32943" xr:uid="{00000000-0005-0000-0000-0000AA800000}"/>
    <cellStyle name="Input 8 2 2 5 2" xfId="32944" xr:uid="{00000000-0005-0000-0000-0000AB800000}"/>
    <cellStyle name="Input 8 2 2 5 2 2" xfId="32945" xr:uid="{00000000-0005-0000-0000-0000AC800000}"/>
    <cellStyle name="Input 8 2 2 5 2 2 2" xfId="32946" xr:uid="{00000000-0005-0000-0000-0000AD800000}"/>
    <cellStyle name="Input 8 2 2 5 2 2 3" xfId="32947" xr:uid="{00000000-0005-0000-0000-0000AE800000}"/>
    <cellStyle name="Input 8 2 2 5 2 2 4" xfId="32948" xr:uid="{00000000-0005-0000-0000-0000AF800000}"/>
    <cellStyle name="Input 8 2 2 5 2 2 5" xfId="32949" xr:uid="{00000000-0005-0000-0000-0000B0800000}"/>
    <cellStyle name="Input 8 2 2 5 2 2 6" xfId="32950" xr:uid="{00000000-0005-0000-0000-0000B1800000}"/>
    <cellStyle name="Input 8 2 2 5 2 3" xfId="32951" xr:uid="{00000000-0005-0000-0000-0000B2800000}"/>
    <cellStyle name="Input 8 2 2 5 2 4" xfId="32952" xr:uid="{00000000-0005-0000-0000-0000B3800000}"/>
    <cellStyle name="Input 8 2 2 5 2 5" xfId="32953" xr:uid="{00000000-0005-0000-0000-0000B4800000}"/>
    <cellStyle name="Input 8 2 2 5 2 6" xfId="32954" xr:uid="{00000000-0005-0000-0000-0000B5800000}"/>
    <cellStyle name="Input 8 2 2 5 3" xfId="32955" xr:uid="{00000000-0005-0000-0000-0000B6800000}"/>
    <cellStyle name="Input 8 2 2 5 3 2" xfId="32956" xr:uid="{00000000-0005-0000-0000-0000B7800000}"/>
    <cellStyle name="Input 8 2 2 5 3 2 2" xfId="32957" xr:uid="{00000000-0005-0000-0000-0000B8800000}"/>
    <cellStyle name="Input 8 2 2 5 3 2 3" xfId="32958" xr:uid="{00000000-0005-0000-0000-0000B9800000}"/>
    <cellStyle name="Input 8 2 2 5 3 2 4" xfId="32959" xr:uid="{00000000-0005-0000-0000-0000BA800000}"/>
    <cellStyle name="Input 8 2 2 5 3 2 5" xfId="32960" xr:uid="{00000000-0005-0000-0000-0000BB800000}"/>
    <cellStyle name="Input 8 2 2 5 3 2 6" xfId="32961" xr:uid="{00000000-0005-0000-0000-0000BC800000}"/>
    <cellStyle name="Input 8 2 2 5 3 3" xfId="32962" xr:uid="{00000000-0005-0000-0000-0000BD800000}"/>
    <cellStyle name="Input 8 2 2 5 3 4" xfId="32963" xr:uid="{00000000-0005-0000-0000-0000BE800000}"/>
    <cellStyle name="Input 8 2 2 5 3 5" xfId="32964" xr:uid="{00000000-0005-0000-0000-0000BF800000}"/>
    <cellStyle name="Input 8 2 2 5 3 6" xfId="32965" xr:uid="{00000000-0005-0000-0000-0000C0800000}"/>
    <cellStyle name="Input 8 2 2 5 4" xfId="32966" xr:uid="{00000000-0005-0000-0000-0000C1800000}"/>
    <cellStyle name="Input 8 2 2 5 4 2" xfId="32967" xr:uid="{00000000-0005-0000-0000-0000C2800000}"/>
    <cellStyle name="Input 8 2 2 5 4 3" xfId="32968" xr:uid="{00000000-0005-0000-0000-0000C3800000}"/>
    <cellStyle name="Input 8 2 2 5 4 4" xfId="32969" xr:uid="{00000000-0005-0000-0000-0000C4800000}"/>
    <cellStyle name="Input 8 2 2 5 4 5" xfId="32970" xr:uid="{00000000-0005-0000-0000-0000C5800000}"/>
    <cellStyle name="Input 8 2 2 5 4 6" xfId="32971" xr:uid="{00000000-0005-0000-0000-0000C6800000}"/>
    <cellStyle name="Input 8 2 2 5 5" xfId="32972" xr:uid="{00000000-0005-0000-0000-0000C7800000}"/>
    <cellStyle name="Input 8 2 2 5 6" xfId="32973" xr:uid="{00000000-0005-0000-0000-0000C8800000}"/>
    <cellStyle name="Input 8 2 2 5 7" xfId="32974" xr:uid="{00000000-0005-0000-0000-0000C9800000}"/>
    <cellStyle name="Input 8 2 2 5 8" xfId="32975" xr:uid="{00000000-0005-0000-0000-0000CA800000}"/>
    <cellStyle name="Input 8 2 2 6" xfId="32976" xr:uid="{00000000-0005-0000-0000-0000CB800000}"/>
    <cellStyle name="Input 8 2 2 6 2" xfId="32977" xr:uid="{00000000-0005-0000-0000-0000CC800000}"/>
    <cellStyle name="Input 8 2 2 6 2 2" xfId="32978" xr:uid="{00000000-0005-0000-0000-0000CD800000}"/>
    <cellStyle name="Input 8 2 2 6 2 2 2" xfId="32979" xr:uid="{00000000-0005-0000-0000-0000CE800000}"/>
    <cellStyle name="Input 8 2 2 6 2 2 3" xfId="32980" xr:uid="{00000000-0005-0000-0000-0000CF800000}"/>
    <cellStyle name="Input 8 2 2 6 2 2 4" xfId="32981" xr:uid="{00000000-0005-0000-0000-0000D0800000}"/>
    <cellStyle name="Input 8 2 2 6 2 2 5" xfId="32982" xr:uid="{00000000-0005-0000-0000-0000D1800000}"/>
    <cellStyle name="Input 8 2 2 6 2 2 6" xfId="32983" xr:uid="{00000000-0005-0000-0000-0000D2800000}"/>
    <cellStyle name="Input 8 2 2 6 2 3" xfId="32984" xr:uid="{00000000-0005-0000-0000-0000D3800000}"/>
    <cellStyle name="Input 8 2 2 6 2 4" xfId="32985" xr:uid="{00000000-0005-0000-0000-0000D4800000}"/>
    <cellStyle name="Input 8 2 2 6 2 5" xfId="32986" xr:uid="{00000000-0005-0000-0000-0000D5800000}"/>
    <cellStyle name="Input 8 2 2 6 2 6" xfId="32987" xr:uid="{00000000-0005-0000-0000-0000D6800000}"/>
    <cellStyle name="Input 8 2 2 6 3" xfId="32988" xr:uid="{00000000-0005-0000-0000-0000D7800000}"/>
    <cellStyle name="Input 8 2 2 6 3 2" xfId="32989" xr:uid="{00000000-0005-0000-0000-0000D8800000}"/>
    <cellStyle name="Input 8 2 2 6 3 2 2" xfId="32990" xr:uid="{00000000-0005-0000-0000-0000D9800000}"/>
    <cellStyle name="Input 8 2 2 6 3 2 3" xfId="32991" xr:uid="{00000000-0005-0000-0000-0000DA800000}"/>
    <cellStyle name="Input 8 2 2 6 3 2 4" xfId="32992" xr:uid="{00000000-0005-0000-0000-0000DB800000}"/>
    <cellStyle name="Input 8 2 2 6 3 2 5" xfId="32993" xr:uid="{00000000-0005-0000-0000-0000DC800000}"/>
    <cellStyle name="Input 8 2 2 6 3 2 6" xfId="32994" xr:uid="{00000000-0005-0000-0000-0000DD800000}"/>
    <cellStyle name="Input 8 2 2 6 3 3" xfId="32995" xr:uid="{00000000-0005-0000-0000-0000DE800000}"/>
    <cellStyle name="Input 8 2 2 6 3 4" xfId="32996" xr:uid="{00000000-0005-0000-0000-0000DF800000}"/>
    <cellStyle name="Input 8 2 2 6 3 5" xfId="32997" xr:uid="{00000000-0005-0000-0000-0000E0800000}"/>
    <cellStyle name="Input 8 2 2 6 3 6" xfId="32998" xr:uid="{00000000-0005-0000-0000-0000E1800000}"/>
    <cellStyle name="Input 8 2 2 6 4" xfId="32999" xr:uid="{00000000-0005-0000-0000-0000E2800000}"/>
    <cellStyle name="Input 8 2 2 6 4 2" xfId="33000" xr:uid="{00000000-0005-0000-0000-0000E3800000}"/>
    <cellStyle name="Input 8 2 2 6 4 3" xfId="33001" xr:uid="{00000000-0005-0000-0000-0000E4800000}"/>
    <cellStyle name="Input 8 2 2 6 4 4" xfId="33002" xr:uid="{00000000-0005-0000-0000-0000E5800000}"/>
    <cellStyle name="Input 8 2 2 6 4 5" xfId="33003" xr:uid="{00000000-0005-0000-0000-0000E6800000}"/>
    <cellStyle name="Input 8 2 2 6 4 6" xfId="33004" xr:uid="{00000000-0005-0000-0000-0000E7800000}"/>
    <cellStyle name="Input 8 2 2 6 5" xfId="33005" xr:uid="{00000000-0005-0000-0000-0000E8800000}"/>
    <cellStyle name="Input 8 2 2 6 6" xfId="33006" xr:uid="{00000000-0005-0000-0000-0000E9800000}"/>
    <cellStyle name="Input 8 2 2 6 7" xfId="33007" xr:uid="{00000000-0005-0000-0000-0000EA800000}"/>
    <cellStyle name="Input 8 2 2 6 8" xfId="33008" xr:uid="{00000000-0005-0000-0000-0000EB800000}"/>
    <cellStyle name="Input 8 2 2 7" xfId="33009" xr:uid="{00000000-0005-0000-0000-0000EC800000}"/>
    <cellStyle name="Input 8 2 2 7 2" xfId="33010" xr:uid="{00000000-0005-0000-0000-0000ED800000}"/>
    <cellStyle name="Input 8 2 2 7 2 2" xfId="33011" xr:uid="{00000000-0005-0000-0000-0000EE800000}"/>
    <cellStyle name="Input 8 2 2 7 2 2 2" xfId="33012" xr:uid="{00000000-0005-0000-0000-0000EF800000}"/>
    <cellStyle name="Input 8 2 2 7 2 2 3" xfId="33013" xr:uid="{00000000-0005-0000-0000-0000F0800000}"/>
    <cellStyle name="Input 8 2 2 7 2 2 4" xfId="33014" xr:uid="{00000000-0005-0000-0000-0000F1800000}"/>
    <cellStyle name="Input 8 2 2 7 2 2 5" xfId="33015" xr:uid="{00000000-0005-0000-0000-0000F2800000}"/>
    <cellStyle name="Input 8 2 2 7 2 2 6" xfId="33016" xr:uid="{00000000-0005-0000-0000-0000F3800000}"/>
    <cellStyle name="Input 8 2 2 7 2 3" xfId="33017" xr:uid="{00000000-0005-0000-0000-0000F4800000}"/>
    <cellStyle name="Input 8 2 2 7 2 4" xfId="33018" xr:uid="{00000000-0005-0000-0000-0000F5800000}"/>
    <cellStyle name="Input 8 2 2 7 2 5" xfId="33019" xr:uid="{00000000-0005-0000-0000-0000F6800000}"/>
    <cellStyle name="Input 8 2 2 7 2 6" xfId="33020" xr:uid="{00000000-0005-0000-0000-0000F7800000}"/>
    <cellStyle name="Input 8 2 2 7 3" xfId="33021" xr:uid="{00000000-0005-0000-0000-0000F8800000}"/>
    <cellStyle name="Input 8 2 2 7 3 2" xfId="33022" xr:uid="{00000000-0005-0000-0000-0000F9800000}"/>
    <cellStyle name="Input 8 2 2 7 3 2 2" xfId="33023" xr:uid="{00000000-0005-0000-0000-0000FA800000}"/>
    <cellStyle name="Input 8 2 2 7 3 2 3" xfId="33024" xr:uid="{00000000-0005-0000-0000-0000FB800000}"/>
    <cellStyle name="Input 8 2 2 7 3 2 4" xfId="33025" xr:uid="{00000000-0005-0000-0000-0000FC800000}"/>
    <cellStyle name="Input 8 2 2 7 3 2 5" xfId="33026" xr:uid="{00000000-0005-0000-0000-0000FD800000}"/>
    <cellStyle name="Input 8 2 2 7 3 2 6" xfId="33027" xr:uid="{00000000-0005-0000-0000-0000FE800000}"/>
    <cellStyle name="Input 8 2 2 7 3 3" xfId="33028" xr:uid="{00000000-0005-0000-0000-0000FF800000}"/>
    <cellStyle name="Input 8 2 2 7 3 4" xfId="33029" xr:uid="{00000000-0005-0000-0000-000000810000}"/>
    <cellStyle name="Input 8 2 2 7 3 5" xfId="33030" xr:uid="{00000000-0005-0000-0000-000001810000}"/>
    <cellStyle name="Input 8 2 2 7 3 6" xfId="33031" xr:uid="{00000000-0005-0000-0000-000002810000}"/>
    <cellStyle name="Input 8 2 2 7 4" xfId="33032" xr:uid="{00000000-0005-0000-0000-000003810000}"/>
    <cellStyle name="Input 8 2 2 7 4 2" xfId="33033" xr:uid="{00000000-0005-0000-0000-000004810000}"/>
    <cellStyle name="Input 8 2 2 7 4 3" xfId="33034" xr:uid="{00000000-0005-0000-0000-000005810000}"/>
    <cellStyle name="Input 8 2 2 7 4 4" xfId="33035" xr:uid="{00000000-0005-0000-0000-000006810000}"/>
    <cellStyle name="Input 8 2 2 7 4 5" xfId="33036" xr:uid="{00000000-0005-0000-0000-000007810000}"/>
    <cellStyle name="Input 8 2 2 7 4 6" xfId="33037" xr:uid="{00000000-0005-0000-0000-000008810000}"/>
    <cellStyle name="Input 8 2 2 7 5" xfId="33038" xr:uid="{00000000-0005-0000-0000-000009810000}"/>
    <cellStyle name="Input 8 2 2 7 6" xfId="33039" xr:uid="{00000000-0005-0000-0000-00000A810000}"/>
    <cellStyle name="Input 8 2 2 7 7" xfId="33040" xr:uid="{00000000-0005-0000-0000-00000B810000}"/>
    <cellStyle name="Input 8 2 2 7 8" xfId="33041" xr:uid="{00000000-0005-0000-0000-00000C810000}"/>
    <cellStyle name="Input 8 2 2 8" xfId="33042" xr:uid="{00000000-0005-0000-0000-00000D810000}"/>
    <cellStyle name="Input 8 2 2 8 2" xfId="33043" xr:uid="{00000000-0005-0000-0000-00000E810000}"/>
    <cellStyle name="Input 8 2 2 8 2 2" xfId="33044" xr:uid="{00000000-0005-0000-0000-00000F810000}"/>
    <cellStyle name="Input 8 2 2 8 2 3" xfId="33045" xr:uid="{00000000-0005-0000-0000-000010810000}"/>
    <cellStyle name="Input 8 2 2 8 2 4" xfId="33046" xr:uid="{00000000-0005-0000-0000-000011810000}"/>
    <cellStyle name="Input 8 2 2 8 2 5" xfId="33047" xr:uid="{00000000-0005-0000-0000-000012810000}"/>
    <cellStyle name="Input 8 2 2 8 2 6" xfId="33048" xr:uid="{00000000-0005-0000-0000-000013810000}"/>
    <cellStyle name="Input 8 2 2 8 3" xfId="33049" xr:uid="{00000000-0005-0000-0000-000014810000}"/>
    <cellStyle name="Input 8 2 2 8 4" xfId="33050" xr:uid="{00000000-0005-0000-0000-000015810000}"/>
    <cellStyle name="Input 8 2 2 8 5" xfId="33051" xr:uid="{00000000-0005-0000-0000-000016810000}"/>
    <cellStyle name="Input 8 2 2 8 6" xfId="33052" xr:uid="{00000000-0005-0000-0000-000017810000}"/>
    <cellStyle name="Input 8 2 2 9" xfId="33053" xr:uid="{00000000-0005-0000-0000-000018810000}"/>
    <cellStyle name="Input 8 2 2 9 2" xfId="33054" xr:uid="{00000000-0005-0000-0000-000019810000}"/>
    <cellStyle name="Input 8 2 2 9 2 2" xfId="33055" xr:uid="{00000000-0005-0000-0000-00001A810000}"/>
    <cellStyle name="Input 8 2 2 9 2 3" xfId="33056" xr:uid="{00000000-0005-0000-0000-00001B810000}"/>
    <cellStyle name="Input 8 2 2 9 2 4" xfId="33057" xr:uid="{00000000-0005-0000-0000-00001C810000}"/>
    <cellStyle name="Input 8 2 2 9 2 5" xfId="33058" xr:uid="{00000000-0005-0000-0000-00001D810000}"/>
    <cellStyle name="Input 8 2 2 9 2 6" xfId="33059" xr:uid="{00000000-0005-0000-0000-00001E810000}"/>
    <cellStyle name="Input 8 2 2 9 3" xfId="33060" xr:uid="{00000000-0005-0000-0000-00001F810000}"/>
    <cellStyle name="Input 8 2 2 9 4" xfId="33061" xr:uid="{00000000-0005-0000-0000-000020810000}"/>
    <cellStyle name="Input 8 2 2 9 5" xfId="33062" xr:uid="{00000000-0005-0000-0000-000021810000}"/>
    <cellStyle name="Input 8 2 2 9 6" xfId="33063" xr:uid="{00000000-0005-0000-0000-000022810000}"/>
    <cellStyle name="Input 8 2 3" xfId="33064" xr:uid="{00000000-0005-0000-0000-000023810000}"/>
    <cellStyle name="Input 8 2 3 10" xfId="33065" xr:uid="{00000000-0005-0000-0000-000024810000}"/>
    <cellStyle name="Input 8 2 3 11" xfId="33066" xr:uid="{00000000-0005-0000-0000-000025810000}"/>
    <cellStyle name="Input 8 2 3 12" xfId="33067" xr:uid="{00000000-0005-0000-0000-000026810000}"/>
    <cellStyle name="Input 8 2 3 13" xfId="33068" xr:uid="{00000000-0005-0000-0000-000027810000}"/>
    <cellStyle name="Input 8 2 3 2" xfId="33069" xr:uid="{00000000-0005-0000-0000-000028810000}"/>
    <cellStyle name="Input 8 2 3 2 2" xfId="33070" xr:uid="{00000000-0005-0000-0000-000029810000}"/>
    <cellStyle name="Input 8 2 3 2 2 2" xfId="33071" xr:uid="{00000000-0005-0000-0000-00002A810000}"/>
    <cellStyle name="Input 8 2 3 2 2 2 2" xfId="33072" xr:uid="{00000000-0005-0000-0000-00002B810000}"/>
    <cellStyle name="Input 8 2 3 2 2 2 3" xfId="33073" xr:uid="{00000000-0005-0000-0000-00002C810000}"/>
    <cellStyle name="Input 8 2 3 2 2 2 4" xfId="33074" xr:uid="{00000000-0005-0000-0000-00002D810000}"/>
    <cellStyle name="Input 8 2 3 2 2 2 5" xfId="33075" xr:uid="{00000000-0005-0000-0000-00002E810000}"/>
    <cellStyle name="Input 8 2 3 2 2 2 6" xfId="33076" xr:uid="{00000000-0005-0000-0000-00002F810000}"/>
    <cellStyle name="Input 8 2 3 2 2 3" xfId="33077" xr:uid="{00000000-0005-0000-0000-000030810000}"/>
    <cellStyle name="Input 8 2 3 2 2 4" xfId="33078" xr:uid="{00000000-0005-0000-0000-000031810000}"/>
    <cellStyle name="Input 8 2 3 2 2 5" xfId="33079" xr:uid="{00000000-0005-0000-0000-000032810000}"/>
    <cellStyle name="Input 8 2 3 2 2 6" xfId="33080" xr:uid="{00000000-0005-0000-0000-000033810000}"/>
    <cellStyle name="Input 8 2 3 2 3" xfId="33081" xr:uid="{00000000-0005-0000-0000-000034810000}"/>
    <cellStyle name="Input 8 2 3 2 3 2" xfId="33082" xr:uid="{00000000-0005-0000-0000-000035810000}"/>
    <cellStyle name="Input 8 2 3 2 3 2 2" xfId="33083" xr:uid="{00000000-0005-0000-0000-000036810000}"/>
    <cellStyle name="Input 8 2 3 2 3 2 3" xfId="33084" xr:uid="{00000000-0005-0000-0000-000037810000}"/>
    <cellStyle name="Input 8 2 3 2 3 2 4" xfId="33085" xr:uid="{00000000-0005-0000-0000-000038810000}"/>
    <cellStyle name="Input 8 2 3 2 3 2 5" xfId="33086" xr:uid="{00000000-0005-0000-0000-000039810000}"/>
    <cellStyle name="Input 8 2 3 2 3 2 6" xfId="33087" xr:uid="{00000000-0005-0000-0000-00003A810000}"/>
    <cellStyle name="Input 8 2 3 2 3 3" xfId="33088" xr:uid="{00000000-0005-0000-0000-00003B810000}"/>
    <cellStyle name="Input 8 2 3 2 3 4" xfId="33089" xr:uid="{00000000-0005-0000-0000-00003C810000}"/>
    <cellStyle name="Input 8 2 3 2 3 5" xfId="33090" xr:uid="{00000000-0005-0000-0000-00003D810000}"/>
    <cellStyle name="Input 8 2 3 2 3 6" xfId="33091" xr:uid="{00000000-0005-0000-0000-00003E810000}"/>
    <cellStyle name="Input 8 2 3 2 4" xfId="33092" xr:uid="{00000000-0005-0000-0000-00003F810000}"/>
    <cellStyle name="Input 8 2 3 2 4 2" xfId="33093" xr:uid="{00000000-0005-0000-0000-000040810000}"/>
    <cellStyle name="Input 8 2 3 2 4 3" xfId="33094" xr:uid="{00000000-0005-0000-0000-000041810000}"/>
    <cellStyle name="Input 8 2 3 2 4 4" xfId="33095" xr:uid="{00000000-0005-0000-0000-000042810000}"/>
    <cellStyle name="Input 8 2 3 2 4 5" xfId="33096" xr:uid="{00000000-0005-0000-0000-000043810000}"/>
    <cellStyle name="Input 8 2 3 2 4 6" xfId="33097" xr:uid="{00000000-0005-0000-0000-000044810000}"/>
    <cellStyle name="Input 8 2 3 2 5" xfId="33098" xr:uid="{00000000-0005-0000-0000-000045810000}"/>
    <cellStyle name="Input 8 2 3 2 6" xfId="33099" xr:uid="{00000000-0005-0000-0000-000046810000}"/>
    <cellStyle name="Input 8 2 3 2 7" xfId="33100" xr:uid="{00000000-0005-0000-0000-000047810000}"/>
    <cellStyle name="Input 8 2 3 2 8" xfId="33101" xr:uid="{00000000-0005-0000-0000-000048810000}"/>
    <cellStyle name="Input 8 2 3 3" xfId="33102" xr:uid="{00000000-0005-0000-0000-000049810000}"/>
    <cellStyle name="Input 8 2 3 3 2" xfId="33103" xr:uid="{00000000-0005-0000-0000-00004A810000}"/>
    <cellStyle name="Input 8 2 3 3 2 2" xfId="33104" xr:uid="{00000000-0005-0000-0000-00004B810000}"/>
    <cellStyle name="Input 8 2 3 3 2 2 2" xfId="33105" xr:uid="{00000000-0005-0000-0000-00004C810000}"/>
    <cellStyle name="Input 8 2 3 3 2 2 3" xfId="33106" xr:uid="{00000000-0005-0000-0000-00004D810000}"/>
    <cellStyle name="Input 8 2 3 3 2 2 4" xfId="33107" xr:uid="{00000000-0005-0000-0000-00004E810000}"/>
    <cellStyle name="Input 8 2 3 3 2 2 5" xfId="33108" xr:uid="{00000000-0005-0000-0000-00004F810000}"/>
    <cellStyle name="Input 8 2 3 3 2 2 6" xfId="33109" xr:uid="{00000000-0005-0000-0000-000050810000}"/>
    <cellStyle name="Input 8 2 3 3 2 3" xfId="33110" xr:uid="{00000000-0005-0000-0000-000051810000}"/>
    <cellStyle name="Input 8 2 3 3 2 4" xfId="33111" xr:uid="{00000000-0005-0000-0000-000052810000}"/>
    <cellStyle name="Input 8 2 3 3 2 5" xfId="33112" xr:uid="{00000000-0005-0000-0000-000053810000}"/>
    <cellStyle name="Input 8 2 3 3 2 6" xfId="33113" xr:uid="{00000000-0005-0000-0000-000054810000}"/>
    <cellStyle name="Input 8 2 3 3 3" xfId="33114" xr:uid="{00000000-0005-0000-0000-000055810000}"/>
    <cellStyle name="Input 8 2 3 3 3 2" xfId="33115" xr:uid="{00000000-0005-0000-0000-000056810000}"/>
    <cellStyle name="Input 8 2 3 3 3 2 2" xfId="33116" xr:uid="{00000000-0005-0000-0000-000057810000}"/>
    <cellStyle name="Input 8 2 3 3 3 2 3" xfId="33117" xr:uid="{00000000-0005-0000-0000-000058810000}"/>
    <cellStyle name="Input 8 2 3 3 3 2 4" xfId="33118" xr:uid="{00000000-0005-0000-0000-000059810000}"/>
    <cellStyle name="Input 8 2 3 3 3 2 5" xfId="33119" xr:uid="{00000000-0005-0000-0000-00005A810000}"/>
    <cellStyle name="Input 8 2 3 3 3 2 6" xfId="33120" xr:uid="{00000000-0005-0000-0000-00005B810000}"/>
    <cellStyle name="Input 8 2 3 3 3 3" xfId="33121" xr:uid="{00000000-0005-0000-0000-00005C810000}"/>
    <cellStyle name="Input 8 2 3 3 3 4" xfId="33122" xr:uid="{00000000-0005-0000-0000-00005D810000}"/>
    <cellStyle name="Input 8 2 3 3 3 5" xfId="33123" xr:uid="{00000000-0005-0000-0000-00005E810000}"/>
    <cellStyle name="Input 8 2 3 3 3 6" xfId="33124" xr:uid="{00000000-0005-0000-0000-00005F810000}"/>
    <cellStyle name="Input 8 2 3 3 4" xfId="33125" xr:uid="{00000000-0005-0000-0000-000060810000}"/>
    <cellStyle name="Input 8 2 3 3 4 2" xfId="33126" xr:uid="{00000000-0005-0000-0000-000061810000}"/>
    <cellStyle name="Input 8 2 3 3 4 3" xfId="33127" xr:uid="{00000000-0005-0000-0000-000062810000}"/>
    <cellStyle name="Input 8 2 3 3 4 4" xfId="33128" xr:uid="{00000000-0005-0000-0000-000063810000}"/>
    <cellStyle name="Input 8 2 3 3 4 5" xfId="33129" xr:uid="{00000000-0005-0000-0000-000064810000}"/>
    <cellStyle name="Input 8 2 3 3 4 6" xfId="33130" xr:uid="{00000000-0005-0000-0000-000065810000}"/>
    <cellStyle name="Input 8 2 3 3 5" xfId="33131" xr:uid="{00000000-0005-0000-0000-000066810000}"/>
    <cellStyle name="Input 8 2 3 3 6" xfId="33132" xr:uid="{00000000-0005-0000-0000-000067810000}"/>
    <cellStyle name="Input 8 2 3 3 7" xfId="33133" xr:uid="{00000000-0005-0000-0000-000068810000}"/>
    <cellStyle name="Input 8 2 3 3 8" xfId="33134" xr:uid="{00000000-0005-0000-0000-000069810000}"/>
    <cellStyle name="Input 8 2 3 4" xfId="33135" xr:uid="{00000000-0005-0000-0000-00006A810000}"/>
    <cellStyle name="Input 8 2 3 4 2" xfId="33136" xr:uid="{00000000-0005-0000-0000-00006B810000}"/>
    <cellStyle name="Input 8 2 3 4 2 2" xfId="33137" xr:uid="{00000000-0005-0000-0000-00006C810000}"/>
    <cellStyle name="Input 8 2 3 4 2 2 2" xfId="33138" xr:uid="{00000000-0005-0000-0000-00006D810000}"/>
    <cellStyle name="Input 8 2 3 4 2 2 3" xfId="33139" xr:uid="{00000000-0005-0000-0000-00006E810000}"/>
    <cellStyle name="Input 8 2 3 4 2 2 4" xfId="33140" xr:uid="{00000000-0005-0000-0000-00006F810000}"/>
    <cellStyle name="Input 8 2 3 4 2 2 5" xfId="33141" xr:uid="{00000000-0005-0000-0000-000070810000}"/>
    <cellStyle name="Input 8 2 3 4 2 2 6" xfId="33142" xr:uid="{00000000-0005-0000-0000-000071810000}"/>
    <cellStyle name="Input 8 2 3 4 2 3" xfId="33143" xr:uid="{00000000-0005-0000-0000-000072810000}"/>
    <cellStyle name="Input 8 2 3 4 2 4" xfId="33144" xr:uid="{00000000-0005-0000-0000-000073810000}"/>
    <cellStyle name="Input 8 2 3 4 2 5" xfId="33145" xr:uid="{00000000-0005-0000-0000-000074810000}"/>
    <cellStyle name="Input 8 2 3 4 2 6" xfId="33146" xr:uid="{00000000-0005-0000-0000-000075810000}"/>
    <cellStyle name="Input 8 2 3 4 3" xfId="33147" xr:uid="{00000000-0005-0000-0000-000076810000}"/>
    <cellStyle name="Input 8 2 3 4 3 2" xfId="33148" xr:uid="{00000000-0005-0000-0000-000077810000}"/>
    <cellStyle name="Input 8 2 3 4 3 2 2" xfId="33149" xr:uid="{00000000-0005-0000-0000-000078810000}"/>
    <cellStyle name="Input 8 2 3 4 3 2 3" xfId="33150" xr:uid="{00000000-0005-0000-0000-000079810000}"/>
    <cellStyle name="Input 8 2 3 4 3 2 4" xfId="33151" xr:uid="{00000000-0005-0000-0000-00007A810000}"/>
    <cellStyle name="Input 8 2 3 4 3 2 5" xfId="33152" xr:uid="{00000000-0005-0000-0000-00007B810000}"/>
    <cellStyle name="Input 8 2 3 4 3 2 6" xfId="33153" xr:uid="{00000000-0005-0000-0000-00007C810000}"/>
    <cellStyle name="Input 8 2 3 4 3 3" xfId="33154" xr:uid="{00000000-0005-0000-0000-00007D810000}"/>
    <cellStyle name="Input 8 2 3 4 3 4" xfId="33155" xr:uid="{00000000-0005-0000-0000-00007E810000}"/>
    <cellStyle name="Input 8 2 3 4 3 5" xfId="33156" xr:uid="{00000000-0005-0000-0000-00007F810000}"/>
    <cellStyle name="Input 8 2 3 4 3 6" xfId="33157" xr:uid="{00000000-0005-0000-0000-000080810000}"/>
    <cellStyle name="Input 8 2 3 4 4" xfId="33158" xr:uid="{00000000-0005-0000-0000-000081810000}"/>
    <cellStyle name="Input 8 2 3 4 4 2" xfId="33159" xr:uid="{00000000-0005-0000-0000-000082810000}"/>
    <cellStyle name="Input 8 2 3 4 4 3" xfId="33160" xr:uid="{00000000-0005-0000-0000-000083810000}"/>
    <cellStyle name="Input 8 2 3 4 4 4" xfId="33161" xr:uid="{00000000-0005-0000-0000-000084810000}"/>
    <cellStyle name="Input 8 2 3 4 4 5" xfId="33162" xr:uid="{00000000-0005-0000-0000-000085810000}"/>
    <cellStyle name="Input 8 2 3 4 4 6" xfId="33163" xr:uid="{00000000-0005-0000-0000-000086810000}"/>
    <cellStyle name="Input 8 2 3 4 5" xfId="33164" xr:uid="{00000000-0005-0000-0000-000087810000}"/>
    <cellStyle name="Input 8 2 3 4 6" xfId="33165" xr:uid="{00000000-0005-0000-0000-000088810000}"/>
    <cellStyle name="Input 8 2 3 4 7" xfId="33166" xr:uid="{00000000-0005-0000-0000-000089810000}"/>
    <cellStyle name="Input 8 2 3 4 8" xfId="33167" xr:uid="{00000000-0005-0000-0000-00008A810000}"/>
    <cellStyle name="Input 8 2 3 5" xfId="33168" xr:uid="{00000000-0005-0000-0000-00008B810000}"/>
    <cellStyle name="Input 8 2 3 5 2" xfId="33169" xr:uid="{00000000-0005-0000-0000-00008C810000}"/>
    <cellStyle name="Input 8 2 3 5 2 2" xfId="33170" xr:uid="{00000000-0005-0000-0000-00008D810000}"/>
    <cellStyle name="Input 8 2 3 5 2 2 2" xfId="33171" xr:uid="{00000000-0005-0000-0000-00008E810000}"/>
    <cellStyle name="Input 8 2 3 5 2 2 3" xfId="33172" xr:uid="{00000000-0005-0000-0000-00008F810000}"/>
    <cellStyle name="Input 8 2 3 5 2 2 4" xfId="33173" xr:uid="{00000000-0005-0000-0000-000090810000}"/>
    <cellStyle name="Input 8 2 3 5 2 2 5" xfId="33174" xr:uid="{00000000-0005-0000-0000-000091810000}"/>
    <cellStyle name="Input 8 2 3 5 2 2 6" xfId="33175" xr:uid="{00000000-0005-0000-0000-000092810000}"/>
    <cellStyle name="Input 8 2 3 5 2 3" xfId="33176" xr:uid="{00000000-0005-0000-0000-000093810000}"/>
    <cellStyle name="Input 8 2 3 5 2 4" xfId="33177" xr:uid="{00000000-0005-0000-0000-000094810000}"/>
    <cellStyle name="Input 8 2 3 5 2 5" xfId="33178" xr:uid="{00000000-0005-0000-0000-000095810000}"/>
    <cellStyle name="Input 8 2 3 5 2 6" xfId="33179" xr:uid="{00000000-0005-0000-0000-000096810000}"/>
    <cellStyle name="Input 8 2 3 5 3" xfId="33180" xr:uid="{00000000-0005-0000-0000-000097810000}"/>
    <cellStyle name="Input 8 2 3 5 3 2" xfId="33181" xr:uid="{00000000-0005-0000-0000-000098810000}"/>
    <cellStyle name="Input 8 2 3 5 3 2 2" xfId="33182" xr:uid="{00000000-0005-0000-0000-000099810000}"/>
    <cellStyle name="Input 8 2 3 5 3 2 3" xfId="33183" xr:uid="{00000000-0005-0000-0000-00009A810000}"/>
    <cellStyle name="Input 8 2 3 5 3 2 4" xfId="33184" xr:uid="{00000000-0005-0000-0000-00009B810000}"/>
    <cellStyle name="Input 8 2 3 5 3 2 5" xfId="33185" xr:uid="{00000000-0005-0000-0000-00009C810000}"/>
    <cellStyle name="Input 8 2 3 5 3 2 6" xfId="33186" xr:uid="{00000000-0005-0000-0000-00009D810000}"/>
    <cellStyle name="Input 8 2 3 5 3 3" xfId="33187" xr:uid="{00000000-0005-0000-0000-00009E810000}"/>
    <cellStyle name="Input 8 2 3 5 3 4" xfId="33188" xr:uid="{00000000-0005-0000-0000-00009F810000}"/>
    <cellStyle name="Input 8 2 3 5 3 5" xfId="33189" xr:uid="{00000000-0005-0000-0000-0000A0810000}"/>
    <cellStyle name="Input 8 2 3 5 3 6" xfId="33190" xr:uid="{00000000-0005-0000-0000-0000A1810000}"/>
    <cellStyle name="Input 8 2 3 5 4" xfId="33191" xr:uid="{00000000-0005-0000-0000-0000A2810000}"/>
    <cellStyle name="Input 8 2 3 5 4 2" xfId="33192" xr:uid="{00000000-0005-0000-0000-0000A3810000}"/>
    <cellStyle name="Input 8 2 3 5 4 3" xfId="33193" xr:uid="{00000000-0005-0000-0000-0000A4810000}"/>
    <cellStyle name="Input 8 2 3 5 4 4" xfId="33194" xr:uid="{00000000-0005-0000-0000-0000A5810000}"/>
    <cellStyle name="Input 8 2 3 5 4 5" xfId="33195" xr:uid="{00000000-0005-0000-0000-0000A6810000}"/>
    <cellStyle name="Input 8 2 3 5 4 6" xfId="33196" xr:uid="{00000000-0005-0000-0000-0000A7810000}"/>
    <cellStyle name="Input 8 2 3 5 5" xfId="33197" xr:uid="{00000000-0005-0000-0000-0000A8810000}"/>
    <cellStyle name="Input 8 2 3 5 6" xfId="33198" xr:uid="{00000000-0005-0000-0000-0000A9810000}"/>
    <cellStyle name="Input 8 2 3 5 7" xfId="33199" xr:uid="{00000000-0005-0000-0000-0000AA810000}"/>
    <cellStyle name="Input 8 2 3 5 8" xfId="33200" xr:uid="{00000000-0005-0000-0000-0000AB810000}"/>
    <cellStyle name="Input 8 2 3 6" xfId="33201" xr:uid="{00000000-0005-0000-0000-0000AC810000}"/>
    <cellStyle name="Input 8 2 3 6 2" xfId="33202" xr:uid="{00000000-0005-0000-0000-0000AD810000}"/>
    <cellStyle name="Input 8 2 3 6 2 2" xfId="33203" xr:uid="{00000000-0005-0000-0000-0000AE810000}"/>
    <cellStyle name="Input 8 2 3 6 2 2 2" xfId="33204" xr:uid="{00000000-0005-0000-0000-0000AF810000}"/>
    <cellStyle name="Input 8 2 3 6 2 2 3" xfId="33205" xr:uid="{00000000-0005-0000-0000-0000B0810000}"/>
    <cellStyle name="Input 8 2 3 6 2 2 4" xfId="33206" xr:uid="{00000000-0005-0000-0000-0000B1810000}"/>
    <cellStyle name="Input 8 2 3 6 2 2 5" xfId="33207" xr:uid="{00000000-0005-0000-0000-0000B2810000}"/>
    <cellStyle name="Input 8 2 3 6 2 2 6" xfId="33208" xr:uid="{00000000-0005-0000-0000-0000B3810000}"/>
    <cellStyle name="Input 8 2 3 6 2 3" xfId="33209" xr:uid="{00000000-0005-0000-0000-0000B4810000}"/>
    <cellStyle name="Input 8 2 3 6 2 4" xfId="33210" xr:uid="{00000000-0005-0000-0000-0000B5810000}"/>
    <cellStyle name="Input 8 2 3 6 2 5" xfId="33211" xr:uid="{00000000-0005-0000-0000-0000B6810000}"/>
    <cellStyle name="Input 8 2 3 6 2 6" xfId="33212" xr:uid="{00000000-0005-0000-0000-0000B7810000}"/>
    <cellStyle name="Input 8 2 3 6 3" xfId="33213" xr:uid="{00000000-0005-0000-0000-0000B8810000}"/>
    <cellStyle name="Input 8 2 3 6 3 2" xfId="33214" xr:uid="{00000000-0005-0000-0000-0000B9810000}"/>
    <cellStyle name="Input 8 2 3 6 3 2 2" xfId="33215" xr:uid="{00000000-0005-0000-0000-0000BA810000}"/>
    <cellStyle name="Input 8 2 3 6 3 2 3" xfId="33216" xr:uid="{00000000-0005-0000-0000-0000BB810000}"/>
    <cellStyle name="Input 8 2 3 6 3 2 4" xfId="33217" xr:uid="{00000000-0005-0000-0000-0000BC810000}"/>
    <cellStyle name="Input 8 2 3 6 3 2 5" xfId="33218" xr:uid="{00000000-0005-0000-0000-0000BD810000}"/>
    <cellStyle name="Input 8 2 3 6 3 2 6" xfId="33219" xr:uid="{00000000-0005-0000-0000-0000BE810000}"/>
    <cellStyle name="Input 8 2 3 6 3 3" xfId="33220" xr:uid="{00000000-0005-0000-0000-0000BF810000}"/>
    <cellStyle name="Input 8 2 3 6 3 4" xfId="33221" xr:uid="{00000000-0005-0000-0000-0000C0810000}"/>
    <cellStyle name="Input 8 2 3 6 3 5" xfId="33222" xr:uid="{00000000-0005-0000-0000-0000C1810000}"/>
    <cellStyle name="Input 8 2 3 6 3 6" xfId="33223" xr:uid="{00000000-0005-0000-0000-0000C2810000}"/>
    <cellStyle name="Input 8 2 3 6 4" xfId="33224" xr:uid="{00000000-0005-0000-0000-0000C3810000}"/>
    <cellStyle name="Input 8 2 3 6 4 2" xfId="33225" xr:uid="{00000000-0005-0000-0000-0000C4810000}"/>
    <cellStyle name="Input 8 2 3 6 4 3" xfId="33226" xr:uid="{00000000-0005-0000-0000-0000C5810000}"/>
    <cellStyle name="Input 8 2 3 6 4 4" xfId="33227" xr:uid="{00000000-0005-0000-0000-0000C6810000}"/>
    <cellStyle name="Input 8 2 3 6 4 5" xfId="33228" xr:uid="{00000000-0005-0000-0000-0000C7810000}"/>
    <cellStyle name="Input 8 2 3 6 4 6" xfId="33229" xr:uid="{00000000-0005-0000-0000-0000C8810000}"/>
    <cellStyle name="Input 8 2 3 6 5" xfId="33230" xr:uid="{00000000-0005-0000-0000-0000C9810000}"/>
    <cellStyle name="Input 8 2 3 6 6" xfId="33231" xr:uid="{00000000-0005-0000-0000-0000CA810000}"/>
    <cellStyle name="Input 8 2 3 6 7" xfId="33232" xr:uid="{00000000-0005-0000-0000-0000CB810000}"/>
    <cellStyle name="Input 8 2 3 6 8" xfId="33233" xr:uid="{00000000-0005-0000-0000-0000CC810000}"/>
    <cellStyle name="Input 8 2 3 7" xfId="33234" xr:uid="{00000000-0005-0000-0000-0000CD810000}"/>
    <cellStyle name="Input 8 2 3 7 2" xfId="33235" xr:uid="{00000000-0005-0000-0000-0000CE810000}"/>
    <cellStyle name="Input 8 2 3 7 2 2" xfId="33236" xr:uid="{00000000-0005-0000-0000-0000CF810000}"/>
    <cellStyle name="Input 8 2 3 7 2 3" xfId="33237" xr:uid="{00000000-0005-0000-0000-0000D0810000}"/>
    <cellStyle name="Input 8 2 3 7 2 4" xfId="33238" xr:uid="{00000000-0005-0000-0000-0000D1810000}"/>
    <cellStyle name="Input 8 2 3 7 2 5" xfId="33239" xr:uid="{00000000-0005-0000-0000-0000D2810000}"/>
    <cellStyle name="Input 8 2 3 7 2 6" xfId="33240" xr:uid="{00000000-0005-0000-0000-0000D3810000}"/>
    <cellStyle name="Input 8 2 3 7 3" xfId="33241" xr:uid="{00000000-0005-0000-0000-0000D4810000}"/>
    <cellStyle name="Input 8 2 3 7 4" xfId="33242" xr:uid="{00000000-0005-0000-0000-0000D5810000}"/>
    <cellStyle name="Input 8 2 3 7 5" xfId="33243" xr:uid="{00000000-0005-0000-0000-0000D6810000}"/>
    <cellStyle name="Input 8 2 3 7 6" xfId="33244" xr:uid="{00000000-0005-0000-0000-0000D7810000}"/>
    <cellStyle name="Input 8 2 3 8" xfId="33245" xr:uid="{00000000-0005-0000-0000-0000D8810000}"/>
    <cellStyle name="Input 8 2 3 8 2" xfId="33246" xr:uid="{00000000-0005-0000-0000-0000D9810000}"/>
    <cellStyle name="Input 8 2 3 8 2 2" xfId="33247" xr:uid="{00000000-0005-0000-0000-0000DA810000}"/>
    <cellStyle name="Input 8 2 3 8 2 3" xfId="33248" xr:uid="{00000000-0005-0000-0000-0000DB810000}"/>
    <cellStyle name="Input 8 2 3 8 2 4" xfId="33249" xr:uid="{00000000-0005-0000-0000-0000DC810000}"/>
    <cellStyle name="Input 8 2 3 8 2 5" xfId="33250" xr:uid="{00000000-0005-0000-0000-0000DD810000}"/>
    <cellStyle name="Input 8 2 3 8 2 6" xfId="33251" xr:uid="{00000000-0005-0000-0000-0000DE810000}"/>
    <cellStyle name="Input 8 2 3 8 3" xfId="33252" xr:uid="{00000000-0005-0000-0000-0000DF810000}"/>
    <cellStyle name="Input 8 2 3 8 4" xfId="33253" xr:uid="{00000000-0005-0000-0000-0000E0810000}"/>
    <cellStyle name="Input 8 2 3 8 5" xfId="33254" xr:uid="{00000000-0005-0000-0000-0000E1810000}"/>
    <cellStyle name="Input 8 2 3 8 6" xfId="33255" xr:uid="{00000000-0005-0000-0000-0000E2810000}"/>
    <cellStyle name="Input 8 2 3 9" xfId="33256" xr:uid="{00000000-0005-0000-0000-0000E3810000}"/>
    <cellStyle name="Input 8 2 3 9 2" xfId="33257" xr:uid="{00000000-0005-0000-0000-0000E4810000}"/>
    <cellStyle name="Input 8 2 3 9 3" xfId="33258" xr:uid="{00000000-0005-0000-0000-0000E5810000}"/>
    <cellStyle name="Input 8 2 3 9 4" xfId="33259" xr:uid="{00000000-0005-0000-0000-0000E6810000}"/>
    <cellStyle name="Input 8 2 3 9 5" xfId="33260" xr:uid="{00000000-0005-0000-0000-0000E7810000}"/>
    <cellStyle name="Input 8 2 3 9 6" xfId="33261" xr:uid="{00000000-0005-0000-0000-0000E8810000}"/>
    <cellStyle name="Input 8 2 4" xfId="33262" xr:uid="{00000000-0005-0000-0000-0000E9810000}"/>
    <cellStyle name="Input 8 2 4 2" xfId="33263" xr:uid="{00000000-0005-0000-0000-0000EA810000}"/>
    <cellStyle name="Input 8 2 4 2 2" xfId="33264" xr:uid="{00000000-0005-0000-0000-0000EB810000}"/>
    <cellStyle name="Input 8 2 4 2 2 2" xfId="33265" xr:uid="{00000000-0005-0000-0000-0000EC810000}"/>
    <cellStyle name="Input 8 2 4 2 2 3" xfId="33266" xr:uid="{00000000-0005-0000-0000-0000ED810000}"/>
    <cellStyle name="Input 8 2 4 2 2 4" xfId="33267" xr:uid="{00000000-0005-0000-0000-0000EE810000}"/>
    <cellStyle name="Input 8 2 4 2 2 5" xfId="33268" xr:uid="{00000000-0005-0000-0000-0000EF810000}"/>
    <cellStyle name="Input 8 2 4 2 2 6" xfId="33269" xr:uid="{00000000-0005-0000-0000-0000F0810000}"/>
    <cellStyle name="Input 8 2 4 2 3" xfId="33270" xr:uid="{00000000-0005-0000-0000-0000F1810000}"/>
    <cellStyle name="Input 8 2 4 2 4" xfId="33271" xr:uid="{00000000-0005-0000-0000-0000F2810000}"/>
    <cellStyle name="Input 8 2 4 2 5" xfId="33272" xr:uid="{00000000-0005-0000-0000-0000F3810000}"/>
    <cellStyle name="Input 8 2 4 2 6" xfId="33273" xr:uid="{00000000-0005-0000-0000-0000F4810000}"/>
    <cellStyle name="Input 8 2 4 3" xfId="33274" xr:uid="{00000000-0005-0000-0000-0000F5810000}"/>
    <cellStyle name="Input 8 2 4 3 2" xfId="33275" xr:uid="{00000000-0005-0000-0000-0000F6810000}"/>
    <cellStyle name="Input 8 2 4 3 2 2" xfId="33276" xr:uid="{00000000-0005-0000-0000-0000F7810000}"/>
    <cellStyle name="Input 8 2 4 3 2 3" xfId="33277" xr:uid="{00000000-0005-0000-0000-0000F8810000}"/>
    <cellStyle name="Input 8 2 4 3 2 4" xfId="33278" xr:uid="{00000000-0005-0000-0000-0000F9810000}"/>
    <cellStyle name="Input 8 2 4 3 2 5" xfId="33279" xr:uid="{00000000-0005-0000-0000-0000FA810000}"/>
    <cellStyle name="Input 8 2 4 3 2 6" xfId="33280" xr:uid="{00000000-0005-0000-0000-0000FB810000}"/>
    <cellStyle name="Input 8 2 4 3 3" xfId="33281" xr:uid="{00000000-0005-0000-0000-0000FC810000}"/>
    <cellStyle name="Input 8 2 4 3 4" xfId="33282" xr:uid="{00000000-0005-0000-0000-0000FD810000}"/>
    <cellStyle name="Input 8 2 4 3 5" xfId="33283" xr:uid="{00000000-0005-0000-0000-0000FE810000}"/>
    <cellStyle name="Input 8 2 4 3 6" xfId="33284" xr:uid="{00000000-0005-0000-0000-0000FF810000}"/>
    <cellStyle name="Input 8 2 4 4" xfId="33285" xr:uid="{00000000-0005-0000-0000-000000820000}"/>
    <cellStyle name="Input 8 2 4 4 2" xfId="33286" xr:uid="{00000000-0005-0000-0000-000001820000}"/>
    <cellStyle name="Input 8 2 4 4 3" xfId="33287" xr:uid="{00000000-0005-0000-0000-000002820000}"/>
    <cellStyle name="Input 8 2 4 4 4" xfId="33288" xr:uid="{00000000-0005-0000-0000-000003820000}"/>
    <cellStyle name="Input 8 2 4 4 5" xfId="33289" xr:uid="{00000000-0005-0000-0000-000004820000}"/>
    <cellStyle name="Input 8 2 4 4 6" xfId="33290" xr:uid="{00000000-0005-0000-0000-000005820000}"/>
    <cellStyle name="Input 8 2 4 5" xfId="33291" xr:uid="{00000000-0005-0000-0000-000006820000}"/>
    <cellStyle name="Input 8 2 4 6" xfId="33292" xr:uid="{00000000-0005-0000-0000-000007820000}"/>
    <cellStyle name="Input 8 2 4 7" xfId="33293" xr:uid="{00000000-0005-0000-0000-000008820000}"/>
    <cellStyle name="Input 8 2 4 8" xfId="33294" xr:uid="{00000000-0005-0000-0000-000009820000}"/>
    <cellStyle name="Input 8 2 5" xfId="33295" xr:uid="{00000000-0005-0000-0000-00000A820000}"/>
    <cellStyle name="Input 8 2 5 2" xfId="33296" xr:uid="{00000000-0005-0000-0000-00000B820000}"/>
    <cellStyle name="Input 8 2 5 2 2" xfId="33297" xr:uid="{00000000-0005-0000-0000-00000C820000}"/>
    <cellStyle name="Input 8 2 5 2 2 2" xfId="33298" xr:uid="{00000000-0005-0000-0000-00000D820000}"/>
    <cellStyle name="Input 8 2 5 2 2 3" xfId="33299" xr:uid="{00000000-0005-0000-0000-00000E820000}"/>
    <cellStyle name="Input 8 2 5 2 2 4" xfId="33300" xr:uid="{00000000-0005-0000-0000-00000F820000}"/>
    <cellStyle name="Input 8 2 5 2 2 5" xfId="33301" xr:uid="{00000000-0005-0000-0000-000010820000}"/>
    <cellStyle name="Input 8 2 5 2 2 6" xfId="33302" xr:uid="{00000000-0005-0000-0000-000011820000}"/>
    <cellStyle name="Input 8 2 5 2 3" xfId="33303" xr:uid="{00000000-0005-0000-0000-000012820000}"/>
    <cellStyle name="Input 8 2 5 2 4" xfId="33304" xr:uid="{00000000-0005-0000-0000-000013820000}"/>
    <cellStyle name="Input 8 2 5 2 5" xfId="33305" xr:uid="{00000000-0005-0000-0000-000014820000}"/>
    <cellStyle name="Input 8 2 5 2 6" xfId="33306" xr:uid="{00000000-0005-0000-0000-000015820000}"/>
    <cellStyle name="Input 8 2 5 3" xfId="33307" xr:uid="{00000000-0005-0000-0000-000016820000}"/>
    <cellStyle name="Input 8 2 5 3 2" xfId="33308" xr:uid="{00000000-0005-0000-0000-000017820000}"/>
    <cellStyle name="Input 8 2 5 3 2 2" xfId="33309" xr:uid="{00000000-0005-0000-0000-000018820000}"/>
    <cellStyle name="Input 8 2 5 3 2 3" xfId="33310" xr:uid="{00000000-0005-0000-0000-000019820000}"/>
    <cellStyle name="Input 8 2 5 3 2 4" xfId="33311" xr:uid="{00000000-0005-0000-0000-00001A820000}"/>
    <cellStyle name="Input 8 2 5 3 2 5" xfId="33312" xr:uid="{00000000-0005-0000-0000-00001B820000}"/>
    <cellStyle name="Input 8 2 5 3 2 6" xfId="33313" xr:uid="{00000000-0005-0000-0000-00001C820000}"/>
    <cellStyle name="Input 8 2 5 3 3" xfId="33314" xr:uid="{00000000-0005-0000-0000-00001D820000}"/>
    <cellStyle name="Input 8 2 5 3 4" xfId="33315" xr:uid="{00000000-0005-0000-0000-00001E820000}"/>
    <cellStyle name="Input 8 2 5 3 5" xfId="33316" xr:uid="{00000000-0005-0000-0000-00001F820000}"/>
    <cellStyle name="Input 8 2 5 3 6" xfId="33317" xr:uid="{00000000-0005-0000-0000-000020820000}"/>
    <cellStyle name="Input 8 2 5 4" xfId="33318" xr:uid="{00000000-0005-0000-0000-000021820000}"/>
    <cellStyle name="Input 8 2 5 4 2" xfId="33319" xr:uid="{00000000-0005-0000-0000-000022820000}"/>
    <cellStyle name="Input 8 2 5 4 3" xfId="33320" xr:uid="{00000000-0005-0000-0000-000023820000}"/>
    <cellStyle name="Input 8 2 5 4 4" xfId="33321" xr:uid="{00000000-0005-0000-0000-000024820000}"/>
    <cellStyle name="Input 8 2 5 4 5" xfId="33322" xr:uid="{00000000-0005-0000-0000-000025820000}"/>
    <cellStyle name="Input 8 2 5 4 6" xfId="33323" xr:uid="{00000000-0005-0000-0000-000026820000}"/>
    <cellStyle name="Input 8 2 5 5" xfId="33324" xr:uid="{00000000-0005-0000-0000-000027820000}"/>
    <cellStyle name="Input 8 2 5 6" xfId="33325" xr:uid="{00000000-0005-0000-0000-000028820000}"/>
    <cellStyle name="Input 8 2 5 7" xfId="33326" xr:uid="{00000000-0005-0000-0000-000029820000}"/>
    <cellStyle name="Input 8 2 5 8" xfId="33327" xr:uid="{00000000-0005-0000-0000-00002A820000}"/>
    <cellStyle name="Input 8 2 6" xfId="33328" xr:uid="{00000000-0005-0000-0000-00002B820000}"/>
    <cellStyle name="Input 8 2 6 2" xfId="33329" xr:uid="{00000000-0005-0000-0000-00002C820000}"/>
    <cellStyle name="Input 8 2 6 2 2" xfId="33330" xr:uid="{00000000-0005-0000-0000-00002D820000}"/>
    <cellStyle name="Input 8 2 6 2 2 2" xfId="33331" xr:uid="{00000000-0005-0000-0000-00002E820000}"/>
    <cellStyle name="Input 8 2 6 2 2 3" xfId="33332" xr:uid="{00000000-0005-0000-0000-00002F820000}"/>
    <cellStyle name="Input 8 2 6 2 2 4" xfId="33333" xr:uid="{00000000-0005-0000-0000-000030820000}"/>
    <cellStyle name="Input 8 2 6 2 2 5" xfId="33334" xr:uid="{00000000-0005-0000-0000-000031820000}"/>
    <cellStyle name="Input 8 2 6 2 2 6" xfId="33335" xr:uid="{00000000-0005-0000-0000-000032820000}"/>
    <cellStyle name="Input 8 2 6 2 3" xfId="33336" xr:uid="{00000000-0005-0000-0000-000033820000}"/>
    <cellStyle name="Input 8 2 6 2 4" xfId="33337" xr:uid="{00000000-0005-0000-0000-000034820000}"/>
    <cellStyle name="Input 8 2 6 2 5" xfId="33338" xr:uid="{00000000-0005-0000-0000-000035820000}"/>
    <cellStyle name="Input 8 2 6 2 6" xfId="33339" xr:uid="{00000000-0005-0000-0000-000036820000}"/>
    <cellStyle name="Input 8 2 6 3" xfId="33340" xr:uid="{00000000-0005-0000-0000-000037820000}"/>
    <cellStyle name="Input 8 2 6 3 2" xfId="33341" xr:uid="{00000000-0005-0000-0000-000038820000}"/>
    <cellStyle name="Input 8 2 6 3 2 2" xfId="33342" xr:uid="{00000000-0005-0000-0000-000039820000}"/>
    <cellStyle name="Input 8 2 6 3 2 3" xfId="33343" xr:uid="{00000000-0005-0000-0000-00003A820000}"/>
    <cellStyle name="Input 8 2 6 3 2 4" xfId="33344" xr:uid="{00000000-0005-0000-0000-00003B820000}"/>
    <cellStyle name="Input 8 2 6 3 2 5" xfId="33345" xr:uid="{00000000-0005-0000-0000-00003C820000}"/>
    <cellStyle name="Input 8 2 6 3 2 6" xfId="33346" xr:uid="{00000000-0005-0000-0000-00003D820000}"/>
    <cellStyle name="Input 8 2 6 3 3" xfId="33347" xr:uid="{00000000-0005-0000-0000-00003E820000}"/>
    <cellStyle name="Input 8 2 6 3 4" xfId="33348" xr:uid="{00000000-0005-0000-0000-00003F820000}"/>
    <cellStyle name="Input 8 2 6 3 5" xfId="33349" xr:uid="{00000000-0005-0000-0000-000040820000}"/>
    <cellStyle name="Input 8 2 6 3 6" xfId="33350" xr:uid="{00000000-0005-0000-0000-000041820000}"/>
    <cellStyle name="Input 8 2 6 4" xfId="33351" xr:uid="{00000000-0005-0000-0000-000042820000}"/>
    <cellStyle name="Input 8 2 6 4 2" xfId="33352" xr:uid="{00000000-0005-0000-0000-000043820000}"/>
    <cellStyle name="Input 8 2 6 4 3" xfId="33353" xr:uid="{00000000-0005-0000-0000-000044820000}"/>
    <cellStyle name="Input 8 2 6 4 4" xfId="33354" xr:uid="{00000000-0005-0000-0000-000045820000}"/>
    <cellStyle name="Input 8 2 6 4 5" xfId="33355" xr:uid="{00000000-0005-0000-0000-000046820000}"/>
    <cellStyle name="Input 8 2 6 4 6" xfId="33356" xr:uid="{00000000-0005-0000-0000-000047820000}"/>
    <cellStyle name="Input 8 2 6 5" xfId="33357" xr:uid="{00000000-0005-0000-0000-000048820000}"/>
    <cellStyle name="Input 8 2 6 6" xfId="33358" xr:uid="{00000000-0005-0000-0000-000049820000}"/>
    <cellStyle name="Input 8 2 6 7" xfId="33359" xr:uid="{00000000-0005-0000-0000-00004A820000}"/>
    <cellStyle name="Input 8 2 6 8" xfId="33360" xr:uid="{00000000-0005-0000-0000-00004B820000}"/>
    <cellStyle name="Input 8 2 7" xfId="33361" xr:uid="{00000000-0005-0000-0000-00004C820000}"/>
    <cellStyle name="Input 8 2 7 2" xfId="33362" xr:uid="{00000000-0005-0000-0000-00004D820000}"/>
    <cellStyle name="Input 8 2 7 2 2" xfId="33363" xr:uid="{00000000-0005-0000-0000-00004E820000}"/>
    <cellStyle name="Input 8 2 7 2 3" xfId="33364" xr:uid="{00000000-0005-0000-0000-00004F820000}"/>
    <cellStyle name="Input 8 2 7 2 4" xfId="33365" xr:uid="{00000000-0005-0000-0000-000050820000}"/>
    <cellStyle name="Input 8 2 7 2 5" xfId="33366" xr:uid="{00000000-0005-0000-0000-000051820000}"/>
    <cellStyle name="Input 8 2 7 2 6" xfId="33367" xr:uid="{00000000-0005-0000-0000-000052820000}"/>
    <cellStyle name="Input 8 2 7 3" xfId="33368" xr:uid="{00000000-0005-0000-0000-000053820000}"/>
    <cellStyle name="Input 8 2 7 4" xfId="33369" xr:uid="{00000000-0005-0000-0000-000054820000}"/>
    <cellStyle name="Input 8 2 7 5" xfId="33370" xr:uid="{00000000-0005-0000-0000-000055820000}"/>
    <cellStyle name="Input 8 2 7 6" xfId="33371" xr:uid="{00000000-0005-0000-0000-000056820000}"/>
    <cellStyle name="Input 8 2 8" xfId="33372" xr:uid="{00000000-0005-0000-0000-000057820000}"/>
    <cellStyle name="Input 8 2 8 2" xfId="33373" xr:uid="{00000000-0005-0000-0000-000058820000}"/>
    <cellStyle name="Input 8 2 8 2 2" xfId="33374" xr:uid="{00000000-0005-0000-0000-000059820000}"/>
    <cellStyle name="Input 8 2 8 2 3" xfId="33375" xr:uid="{00000000-0005-0000-0000-00005A820000}"/>
    <cellStyle name="Input 8 2 8 2 4" xfId="33376" xr:uid="{00000000-0005-0000-0000-00005B820000}"/>
    <cellStyle name="Input 8 2 8 2 5" xfId="33377" xr:uid="{00000000-0005-0000-0000-00005C820000}"/>
    <cellStyle name="Input 8 2 8 2 6" xfId="33378" xr:uid="{00000000-0005-0000-0000-00005D820000}"/>
    <cellStyle name="Input 8 2 8 3" xfId="33379" xr:uid="{00000000-0005-0000-0000-00005E820000}"/>
    <cellStyle name="Input 8 2 8 4" xfId="33380" xr:uid="{00000000-0005-0000-0000-00005F820000}"/>
    <cellStyle name="Input 8 2 8 5" xfId="33381" xr:uid="{00000000-0005-0000-0000-000060820000}"/>
    <cellStyle name="Input 8 2 8 6" xfId="33382" xr:uid="{00000000-0005-0000-0000-000061820000}"/>
    <cellStyle name="Input 8 2 9" xfId="33383" xr:uid="{00000000-0005-0000-0000-000062820000}"/>
    <cellStyle name="Input 8 2 9 2" xfId="33384" xr:uid="{00000000-0005-0000-0000-000063820000}"/>
    <cellStyle name="Input 8 2 9 3" xfId="33385" xr:uid="{00000000-0005-0000-0000-000064820000}"/>
    <cellStyle name="Input 8 2 9 4" xfId="33386" xr:uid="{00000000-0005-0000-0000-000065820000}"/>
    <cellStyle name="Input 8 2 9 5" xfId="33387" xr:uid="{00000000-0005-0000-0000-000066820000}"/>
    <cellStyle name="Input 8 2 9 6" xfId="33388" xr:uid="{00000000-0005-0000-0000-000067820000}"/>
    <cellStyle name="Input 9" xfId="33389" xr:uid="{00000000-0005-0000-0000-000068820000}"/>
    <cellStyle name="Input 9 10" xfId="33390" xr:uid="{00000000-0005-0000-0000-000069820000}"/>
    <cellStyle name="Input 9 11" xfId="33391" xr:uid="{00000000-0005-0000-0000-00006A820000}"/>
    <cellStyle name="Input 9 12" xfId="33392" xr:uid="{00000000-0005-0000-0000-00006B820000}"/>
    <cellStyle name="Input 9 13" xfId="33393" xr:uid="{00000000-0005-0000-0000-00006C820000}"/>
    <cellStyle name="Input 9 2" xfId="33394" xr:uid="{00000000-0005-0000-0000-00006D820000}"/>
    <cellStyle name="Input 9 2 10" xfId="33395" xr:uid="{00000000-0005-0000-0000-00006E820000}"/>
    <cellStyle name="Input 9 2 10 2" xfId="33396" xr:uid="{00000000-0005-0000-0000-00006F820000}"/>
    <cellStyle name="Input 9 2 10 3" xfId="33397" xr:uid="{00000000-0005-0000-0000-000070820000}"/>
    <cellStyle name="Input 9 2 10 4" xfId="33398" xr:uid="{00000000-0005-0000-0000-000071820000}"/>
    <cellStyle name="Input 9 2 10 5" xfId="33399" xr:uid="{00000000-0005-0000-0000-000072820000}"/>
    <cellStyle name="Input 9 2 10 6" xfId="33400" xr:uid="{00000000-0005-0000-0000-000073820000}"/>
    <cellStyle name="Input 9 2 11" xfId="33401" xr:uid="{00000000-0005-0000-0000-000074820000}"/>
    <cellStyle name="Input 9 2 12" xfId="33402" xr:uid="{00000000-0005-0000-0000-000075820000}"/>
    <cellStyle name="Input 9 2 13" xfId="33403" xr:uid="{00000000-0005-0000-0000-000076820000}"/>
    <cellStyle name="Input 9 2 14" xfId="33404" xr:uid="{00000000-0005-0000-0000-000077820000}"/>
    <cellStyle name="Input 9 2 2" xfId="33405" xr:uid="{00000000-0005-0000-0000-000078820000}"/>
    <cellStyle name="Input 9 2 2 10" xfId="33406" xr:uid="{00000000-0005-0000-0000-000079820000}"/>
    <cellStyle name="Input 9 2 2 11" xfId="33407" xr:uid="{00000000-0005-0000-0000-00007A820000}"/>
    <cellStyle name="Input 9 2 2 12" xfId="33408" xr:uid="{00000000-0005-0000-0000-00007B820000}"/>
    <cellStyle name="Input 9 2 2 13" xfId="33409" xr:uid="{00000000-0005-0000-0000-00007C820000}"/>
    <cellStyle name="Input 9 2 2 2" xfId="33410" xr:uid="{00000000-0005-0000-0000-00007D820000}"/>
    <cellStyle name="Input 9 2 2 2 2" xfId="33411" xr:uid="{00000000-0005-0000-0000-00007E820000}"/>
    <cellStyle name="Input 9 2 2 2 2 2" xfId="33412" xr:uid="{00000000-0005-0000-0000-00007F820000}"/>
    <cellStyle name="Input 9 2 2 2 2 2 2" xfId="33413" xr:uid="{00000000-0005-0000-0000-000080820000}"/>
    <cellStyle name="Input 9 2 2 2 2 2 3" xfId="33414" xr:uid="{00000000-0005-0000-0000-000081820000}"/>
    <cellStyle name="Input 9 2 2 2 2 2 4" xfId="33415" xr:uid="{00000000-0005-0000-0000-000082820000}"/>
    <cellStyle name="Input 9 2 2 2 2 2 5" xfId="33416" xr:uid="{00000000-0005-0000-0000-000083820000}"/>
    <cellStyle name="Input 9 2 2 2 2 2 6" xfId="33417" xr:uid="{00000000-0005-0000-0000-000084820000}"/>
    <cellStyle name="Input 9 2 2 2 2 3" xfId="33418" xr:uid="{00000000-0005-0000-0000-000085820000}"/>
    <cellStyle name="Input 9 2 2 2 2 4" xfId="33419" xr:uid="{00000000-0005-0000-0000-000086820000}"/>
    <cellStyle name="Input 9 2 2 2 2 5" xfId="33420" xr:uid="{00000000-0005-0000-0000-000087820000}"/>
    <cellStyle name="Input 9 2 2 2 2 6" xfId="33421" xr:uid="{00000000-0005-0000-0000-000088820000}"/>
    <cellStyle name="Input 9 2 2 2 3" xfId="33422" xr:uid="{00000000-0005-0000-0000-000089820000}"/>
    <cellStyle name="Input 9 2 2 2 3 2" xfId="33423" xr:uid="{00000000-0005-0000-0000-00008A820000}"/>
    <cellStyle name="Input 9 2 2 2 3 2 2" xfId="33424" xr:uid="{00000000-0005-0000-0000-00008B820000}"/>
    <cellStyle name="Input 9 2 2 2 3 2 3" xfId="33425" xr:uid="{00000000-0005-0000-0000-00008C820000}"/>
    <cellStyle name="Input 9 2 2 2 3 2 4" xfId="33426" xr:uid="{00000000-0005-0000-0000-00008D820000}"/>
    <cellStyle name="Input 9 2 2 2 3 2 5" xfId="33427" xr:uid="{00000000-0005-0000-0000-00008E820000}"/>
    <cellStyle name="Input 9 2 2 2 3 2 6" xfId="33428" xr:uid="{00000000-0005-0000-0000-00008F820000}"/>
    <cellStyle name="Input 9 2 2 2 3 3" xfId="33429" xr:uid="{00000000-0005-0000-0000-000090820000}"/>
    <cellStyle name="Input 9 2 2 2 3 4" xfId="33430" xr:uid="{00000000-0005-0000-0000-000091820000}"/>
    <cellStyle name="Input 9 2 2 2 3 5" xfId="33431" xr:uid="{00000000-0005-0000-0000-000092820000}"/>
    <cellStyle name="Input 9 2 2 2 3 6" xfId="33432" xr:uid="{00000000-0005-0000-0000-000093820000}"/>
    <cellStyle name="Input 9 2 2 2 4" xfId="33433" xr:uid="{00000000-0005-0000-0000-000094820000}"/>
    <cellStyle name="Input 9 2 2 2 4 2" xfId="33434" xr:uid="{00000000-0005-0000-0000-000095820000}"/>
    <cellStyle name="Input 9 2 2 2 4 3" xfId="33435" xr:uid="{00000000-0005-0000-0000-000096820000}"/>
    <cellStyle name="Input 9 2 2 2 4 4" xfId="33436" xr:uid="{00000000-0005-0000-0000-000097820000}"/>
    <cellStyle name="Input 9 2 2 2 4 5" xfId="33437" xr:uid="{00000000-0005-0000-0000-000098820000}"/>
    <cellStyle name="Input 9 2 2 2 4 6" xfId="33438" xr:uid="{00000000-0005-0000-0000-000099820000}"/>
    <cellStyle name="Input 9 2 2 2 5" xfId="33439" xr:uid="{00000000-0005-0000-0000-00009A820000}"/>
    <cellStyle name="Input 9 2 2 2 6" xfId="33440" xr:uid="{00000000-0005-0000-0000-00009B820000}"/>
    <cellStyle name="Input 9 2 2 2 7" xfId="33441" xr:uid="{00000000-0005-0000-0000-00009C820000}"/>
    <cellStyle name="Input 9 2 2 2 8" xfId="33442" xr:uid="{00000000-0005-0000-0000-00009D820000}"/>
    <cellStyle name="Input 9 2 2 3" xfId="33443" xr:uid="{00000000-0005-0000-0000-00009E820000}"/>
    <cellStyle name="Input 9 2 2 3 2" xfId="33444" xr:uid="{00000000-0005-0000-0000-00009F820000}"/>
    <cellStyle name="Input 9 2 2 3 2 2" xfId="33445" xr:uid="{00000000-0005-0000-0000-0000A0820000}"/>
    <cellStyle name="Input 9 2 2 3 2 2 2" xfId="33446" xr:uid="{00000000-0005-0000-0000-0000A1820000}"/>
    <cellStyle name="Input 9 2 2 3 2 2 3" xfId="33447" xr:uid="{00000000-0005-0000-0000-0000A2820000}"/>
    <cellStyle name="Input 9 2 2 3 2 2 4" xfId="33448" xr:uid="{00000000-0005-0000-0000-0000A3820000}"/>
    <cellStyle name="Input 9 2 2 3 2 2 5" xfId="33449" xr:uid="{00000000-0005-0000-0000-0000A4820000}"/>
    <cellStyle name="Input 9 2 2 3 2 2 6" xfId="33450" xr:uid="{00000000-0005-0000-0000-0000A5820000}"/>
    <cellStyle name="Input 9 2 2 3 2 3" xfId="33451" xr:uid="{00000000-0005-0000-0000-0000A6820000}"/>
    <cellStyle name="Input 9 2 2 3 2 4" xfId="33452" xr:uid="{00000000-0005-0000-0000-0000A7820000}"/>
    <cellStyle name="Input 9 2 2 3 2 5" xfId="33453" xr:uid="{00000000-0005-0000-0000-0000A8820000}"/>
    <cellStyle name="Input 9 2 2 3 2 6" xfId="33454" xr:uid="{00000000-0005-0000-0000-0000A9820000}"/>
    <cellStyle name="Input 9 2 2 3 3" xfId="33455" xr:uid="{00000000-0005-0000-0000-0000AA820000}"/>
    <cellStyle name="Input 9 2 2 3 3 2" xfId="33456" xr:uid="{00000000-0005-0000-0000-0000AB820000}"/>
    <cellStyle name="Input 9 2 2 3 3 2 2" xfId="33457" xr:uid="{00000000-0005-0000-0000-0000AC820000}"/>
    <cellStyle name="Input 9 2 2 3 3 2 3" xfId="33458" xr:uid="{00000000-0005-0000-0000-0000AD820000}"/>
    <cellStyle name="Input 9 2 2 3 3 2 4" xfId="33459" xr:uid="{00000000-0005-0000-0000-0000AE820000}"/>
    <cellStyle name="Input 9 2 2 3 3 2 5" xfId="33460" xr:uid="{00000000-0005-0000-0000-0000AF820000}"/>
    <cellStyle name="Input 9 2 2 3 3 2 6" xfId="33461" xr:uid="{00000000-0005-0000-0000-0000B0820000}"/>
    <cellStyle name="Input 9 2 2 3 3 3" xfId="33462" xr:uid="{00000000-0005-0000-0000-0000B1820000}"/>
    <cellStyle name="Input 9 2 2 3 3 4" xfId="33463" xr:uid="{00000000-0005-0000-0000-0000B2820000}"/>
    <cellStyle name="Input 9 2 2 3 3 5" xfId="33464" xr:uid="{00000000-0005-0000-0000-0000B3820000}"/>
    <cellStyle name="Input 9 2 2 3 3 6" xfId="33465" xr:uid="{00000000-0005-0000-0000-0000B4820000}"/>
    <cellStyle name="Input 9 2 2 3 4" xfId="33466" xr:uid="{00000000-0005-0000-0000-0000B5820000}"/>
    <cellStyle name="Input 9 2 2 3 4 2" xfId="33467" xr:uid="{00000000-0005-0000-0000-0000B6820000}"/>
    <cellStyle name="Input 9 2 2 3 4 3" xfId="33468" xr:uid="{00000000-0005-0000-0000-0000B7820000}"/>
    <cellStyle name="Input 9 2 2 3 4 4" xfId="33469" xr:uid="{00000000-0005-0000-0000-0000B8820000}"/>
    <cellStyle name="Input 9 2 2 3 4 5" xfId="33470" xr:uid="{00000000-0005-0000-0000-0000B9820000}"/>
    <cellStyle name="Input 9 2 2 3 4 6" xfId="33471" xr:uid="{00000000-0005-0000-0000-0000BA820000}"/>
    <cellStyle name="Input 9 2 2 3 5" xfId="33472" xr:uid="{00000000-0005-0000-0000-0000BB820000}"/>
    <cellStyle name="Input 9 2 2 3 6" xfId="33473" xr:uid="{00000000-0005-0000-0000-0000BC820000}"/>
    <cellStyle name="Input 9 2 2 3 7" xfId="33474" xr:uid="{00000000-0005-0000-0000-0000BD820000}"/>
    <cellStyle name="Input 9 2 2 3 8" xfId="33475" xr:uid="{00000000-0005-0000-0000-0000BE820000}"/>
    <cellStyle name="Input 9 2 2 4" xfId="33476" xr:uid="{00000000-0005-0000-0000-0000BF820000}"/>
    <cellStyle name="Input 9 2 2 4 2" xfId="33477" xr:uid="{00000000-0005-0000-0000-0000C0820000}"/>
    <cellStyle name="Input 9 2 2 4 2 2" xfId="33478" xr:uid="{00000000-0005-0000-0000-0000C1820000}"/>
    <cellStyle name="Input 9 2 2 4 2 2 2" xfId="33479" xr:uid="{00000000-0005-0000-0000-0000C2820000}"/>
    <cellStyle name="Input 9 2 2 4 2 2 3" xfId="33480" xr:uid="{00000000-0005-0000-0000-0000C3820000}"/>
    <cellStyle name="Input 9 2 2 4 2 2 4" xfId="33481" xr:uid="{00000000-0005-0000-0000-0000C4820000}"/>
    <cellStyle name="Input 9 2 2 4 2 2 5" xfId="33482" xr:uid="{00000000-0005-0000-0000-0000C5820000}"/>
    <cellStyle name="Input 9 2 2 4 2 2 6" xfId="33483" xr:uid="{00000000-0005-0000-0000-0000C6820000}"/>
    <cellStyle name="Input 9 2 2 4 2 3" xfId="33484" xr:uid="{00000000-0005-0000-0000-0000C7820000}"/>
    <cellStyle name="Input 9 2 2 4 2 4" xfId="33485" xr:uid="{00000000-0005-0000-0000-0000C8820000}"/>
    <cellStyle name="Input 9 2 2 4 2 5" xfId="33486" xr:uid="{00000000-0005-0000-0000-0000C9820000}"/>
    <cellStyle name="Input 9 2 2 4 2 6" xfId="33487" xr:uid="{00000000-0005-0000-0000-0000CA820000}"/>
    <cellStyle name="Input 9 2 2 4 3" xfId="33488" xr:uid="{00000000-0005-0000-0000-0000CB820000}"/>
    <cellStyle name="Input 9 2 2 4 3 2" xfId="33489" xr:uid="{00000000-0005-0000-0000-0000CC820000}"/>
    <cellStyle name="Input 9 2 2 4 3 2 2" xfId="33490" xr:uid="{00000000-0005-0000-0000-0000CD820000}"/>
    <cellStyle name="Input 9 2 2 4 3 2 3" xfId="33491" xr:uid="{00000000-0005-0000-0000-0000CE820000}"/>
    <cellStyle name="Input 9 2 2 4 3 2 4" xfId="33492" xr:uid="{00000000-0005-0000-0000-0000CF820000}"/>
    <cellStyle name="Input 9 2 2 4 3 2 5" xfId="33493" xr:uid="{00000000-0005-0000-0000-0000D0820000}"/>
    <cellStyle name="Input 9 2 2 4 3 2 6" xfId="33494" xr:uid="{00000000-0005-0000-0000-0000D1820000}"/>
    <cellStyle name="Input 9 2 2 4 3 3" xfId="33495" xr:uid="{00000000-0005-0000-0000-0000D2820000}"/>
    <cellStyle name="Input 9 2 2 4 3 4" xfId="33496" xr:uid="{00000000-0005-0000-0000-0000D3820000}"/>
    <cellStyle name="Input 9 2 2 4 3 5" xfId="33497" xr:uid="{00000000-0005-0000-0000-0000D4820000}"/>
    <cellStyle name="Input 9 2 2 4 3 6" xfId="33498" xr:uid="{00000000-0005-0000-0000-0000D5820000}"/>
    <cellStyle name="Input 9 2 2 4 4" xfId="33499" xr:uid="{00000000-0005-0000-0000-0000D6820000}"/>
    <cellStyle name="Input 9 2 2 4 4 2" xfId="33500" xr:uid="{00000000-0005-0000-0000-0000D7820000}"/>
    <cellStyle name="Input 9 2 2 4 4 3" xfId="33501" xr:uid="{00000000-0005-0000-0000-0000D8820000}"/>
    <cellStyle name="Input 9 2 2 4 4 4" xfId="33502" xr:uid="{00000000-0005-0000-0000-0000D9820000}"/>
    <cellStyle name="Input 9 2 2 4 4 5" xfId="33503" xr:uid="{00000000-0005-0000-0000-0000DA820000}"/>
    <cellStyle name="Input 9 2 2 4 4 6" xfId="33504" xr:uid="{00000000-0005-0000-0000-0000DB820000}"/>
    <cellStyle name="Input 9 2 2 4 5" xfId="33505" xr:uid="{00000000-0005-0000-0000-0000DC820000}"/>
    <cellStyle name="Input 9 2 2 4 6" xfId="33506" xr:uid="{00000000-0005-0000-0000-0000DD820000}"/>
    <cellStyle name="Input 9 2 2 4 7" xfId="33507" xr:uid="{00000000-0005-0000-0000-0000DE820000}"/>
    <cellStyle name="Input 9 2 2 4 8" xfId="33508" xr:uid="{00000000-0005-0000-0000-0000DF820000}"/>
    <cellStyle name="Input 9 2 2 5" xfId="33509" xr:uid="{00000000-0005-0000-0000-0000E0820000}"/>
    <cellStyle name="Input 9 2 2 5 2" xfId="33510" xr:uid="{00000000-0005-0000-0000-0000E1820000}"/>
    <cellStyle name="Input 9 2 2 5 2 2" xfId="33511" xr:uid="{00000000-0005-0000-0000-0000E2820000}"/>
    <cellStyle name="Input 9 2 2 5 2 2 2" xfId="33512" xr:uid="{00000000-0005-0000-0000-0000E3820000}"/>
    <cellStyle name="Input 9 2 2 5 2 2 3" xfId="33513" xr:uid="{00000000-0005-0000-0000-0000E4820000}"/>
    <cellStyle name="Input 9 2 2 5 2 2 4" xfId="33514" xr:uid="{00000000-0005-0000-0000-0000E5820000}"/>
    <cellStyle name="Input 9 2 2 5 2 2 5" xfId="33515" xr:uid="{00000000-0005-0000-0000-0000E6820000}"/>
    <cellStyle name="Input 9 2 2 5 2 2 6" xfId="33516" xr:uid="{00000000-0005-0000-0000-0000E7820000}"/>
    <cellStyle name="Input 9 2 2 5 2 3" xfId="33517" xr:uid="{00000000-0005-0000-0000-0000E8820000}"/>
    <cellStyle name="Input 9 2 2 5 2 4" xfId="33518" xr:uid="{00000000-0005-0000-0000-0000E9820000}"/>
    <cellStyle name="Input 9 2 2 5 2 5" xfId="33519" xr:uid="{00000000-0005-0000-0000-0000EA820000}"/>
    <cellStyle name="Input 9 2 2 5 2 6" xfId="33520" xr:uid="{00000000-0005-0000-0000-0000EB820000}"/>
    <cellStyle name="Input 9 2 2 5 3" xfId="33521" xr:uid="{00000000-0005-0000-0000-0000EC820000}"/>
    <cellStyle name="Input 9 2 2 5 3 2" xfId="33522" xr:uid="{00000000-0005-0000-0000-0000ED820000}"/>
    <cellStyle name="Input 9 2 2 5 3 2 2" xfId="33523" xr:uid="{00000000-0005-0000-0000-0000EE820000}"/>
    <cellStyle name="Input 9 2 2 5 3 2 3" xfId="33524" xr:uid="{00000000-0005-0000-0000-0000EF820000}"/>
    <cellStyle name="Input 9 2 2 5 3 2 4" xfId="33525" xr:uid="{00000000-0005-0000-0000-0000F0820000}"/>
    <cellStyle name="Input 9 2 2 5 3 2 5" xfId="33526" xr:uid="{00000000-0005-0000-0000-0000F1820000}"/>
    <cellStyle name="Input 9 2 2 5 3 2 6" xfId="33527" xr:uid="{00000000-0005-0000-0000-0000F2820000}"/>
    <cellStyle name="Input 9 2 2 5 3 3" xfId="33528" xr:uid="{00000000-0005-0000-0000-0000F3820000}"/>
    <cellStyle name="Input 9 2 2 5 3 4" xfId="33529" xr:uid="{00000000-0005-0000-0000-0000F4820000}"/>
    <cellStyle name="Input 9 2 2 5 3 5" xfId="33530" xr:uid="{00000000-0005-0000-0000-0000F5820000}"/>
    <cellStyle name="Input 9 2 2 5 3 6" xfId="33531" xr:uid="{00000000-0005-0000-0000-0000F6820000}"/>
    <cellStyle name="Input 9 2 2 5 4" xfId="33532" xr:uid="{00000000-0005-0000-0000-0000F7820000}"/>
    <cellStyle name="Input 9 2 2 5 4 2" xfId="33533" xr:uid="{00000000-0005-0000-0000-0000F8820000}"/>
    <cellStyle name="Input 9 2 2 5 4 3" xfId="33534" xr:uid="{00000000-0005-0000-0000-0000F9820000}"/>
    <cellStyle name="Input 9 2 2 5 4 4" xfId="33535" xr:uid="{00000000-0005-0000-0000-0000FA820000}"/>
    <cellStyle name="Input 9 2 2 5 4 5" xfId="33536" xr:uid="{00000000-0005-0000-0000-0000FB820000}"/>
    <cellStyle name="Input 9 2 2 5 4 6" xfId="33537" xr:uid="{00000000-0005-0000-0000-0000FC820000}"/>
    <cellStyle name="Input 9 2 2 5 5" xfId="33538" xr:uid="{00000000-0005-0000-0000-0000FD820000}"/>
    <cellStyle name="Input 9 2 2 5 6" xfId="33539" xr:uid="{00000000-0005-0000-0000-0000FE820000}"/>
    <cellStyle name="Input 9 2 2 5 7" xfId="33540" xr:uid="{00000000-0005-0000-0000-0000FF820000}"/>
    <cellStyle name="Input 9 2 2 5 8" xfId="33541" xr:uid="{00000000-0005-0000-0000-000000830000}"/>
    <cellStyle name="Input 9 2 2 6" xfId="33542" xr:uid="{00000000-0005-0000-0000-000001830000}"/>
    <cellStyle name="Input 9 2 2 6 2" xfId="33543" xr:uid="{00000000-0005-0000-0000-000002830000}"/>
    <cellStyle name="Input 9 2 2 6 2 2" xfId="33544" xr:uid="{00000000-0005-0000-0000-000003830000}"/>
    <cellStyle name="Input 9 2 2 6 2 2 2" xfId="33545" xr:uid="{00000000-0005-0000-0000-000004830000}"/>
    <cellStyle name="Input 9 2 2 6 2 2 3" xfId="33546" xr:uid="{00000000-0005-0000-0000-000005830000}"/>
    <cellStyle name="Input 9 2 2 6 2 2 4" xfId="33547" xr:uid="{00000000-0005-0000-0000-000006830000}"/>
    <cellStyle name="Input 9 2 2 6 2 2 5" xfId="33548" xr:uid="{00000000-0005-0000-0000-000007830000}"/>
    <cellStyle name="Input 9 2 2 6 2 2 6" xfId="33549" xr:uid="{00000000-0005-0000-0000-000008830000}"/>
    <cellStyle name="Input 9 2 2 6 2 3" xfId="33550" xr:uid="{00000000-0005-0000-0000-000009830000}"/>
    <cellStyle name="Input 9 2 2 6 2 4" xfId="33551" xr:uid="{00000000-0005-0000-0000-00000A830000}"/>
    <cellStyle name="Input 9 2 2 6 2 5" xfId="33552" xr:uid="{00000000-0005-0000-0000-00000B830000}"/>
    <cellStyle name="Input 9 2 2 6 2 6" xfId="33553" xr:uid="{00000000-0005-0000-0000-00000C830000}"/>
    <cellStyle name="Input 9 2 2 6 3" xfId="33554" xr:uid="{00000000-0005-0000-0000-00000D830000}"/>
    <cellStyle name="Input 9 2 2 6 3 2" xfId="33555" xr:uid="{00000000-0005-0000-0000-00000E830000}"/>
    <cellStyle name="Input 9 2 2 6 3 2 2" xfId="33556" xr:uid="{00000000-0005-0000-0000-00000F830000}"/>
    <cellStyle name="Input 9 2 2 6 3 2 3" xfId="33557" xr:uid="{00000000-0005-0000-0000-000010830000}"/>
    <cellStyle name="Input 9 2 2 6 3 2 4" xfId="33558" xr:uid="{00000000-0005-0000-0000-000011830000}"/>
    <cellStyle name="Input 9 2 2 6 3 2 5" xfId="33559" xr:uid="{00000000-0005-0000-0000-000012830000}"/>
    <cellStyle name="Input 9 2 2 6 3 2 6" xfId="33560" xr:uid="{00000000-0005-0000-0000-000013830000}"/>
    <cellStyle name="Input 9 2 2 6 3 3" xfId="33561" xr:uid="{00000000-0005-0000-0000-000014830000}"/>
    <cellStyle name="Input 9 2 2 6 3 4" xfId="33562" xr:uid="{00000000-0005-0000-0000-000015830000}"/>
    <cellStyle name="Input 9 2 2 6 3 5" xfId="33563" xr:uid="{00000000-0005-0000-0000-000016830000}"/>
    <cellStyle name="Input 9 2 2 6 3 6" xfId="33564" xr:uid="{00000000-0005-0000-0000-000017830000}"/>
    <cellStyle name="Input 9 2 2 6 4" xfId="33565" xr:uid="{00000000-0005-0000-0000-000018830000}"/>
    <cellStyle name="Input 9 2 2 6 4 2" xfId="33566" xr:uid="{00000000-0005-0000-0000-000019830000}"/>
    <cellStyle name="Input 9 2 2 6 4 3" xfId="33567" xr:uid="{00000000-0005-0000-0000-00001A830000}"/>
    <cellStyle name="Input 9 2 2 6 4 4" xfId="33568" xr:uid="{00000000-0005-0000-0000-00001B830000}"/>
    <cellStyle name="Input 9 2 2 6 4 5" xfId="33569" xr:uid="{00000000-0005-0000-0000-00001C830000}"/>
    <cellStyle name="Input 9 2 2 6 4 6" xfId="33570" xr:uid="{00000000-0005-0000-0000-00001D830000}"/>
    <cellStyle name="Input 9 2 2 6 5" xfId="33571" xr:uid="{00000000-0005-0000-0000-00001E830000}"/>
    <cellStyle name="Input 9 2 2 6 6" xfId="33572" xr:uid="{00000000-0005-0000-0000-00001F830000}"/>
    <cellStyle name="Input 9 2 2 6 7" xfId="33573" xr:uid="{00000000-0005-0000-0000-000020830000}"/>
    <cellStyle name="Input 9 2 2 6 8" xfId="33574" xr:uid="{00000000-0005-0000-0000-000021830000}"/>
    <cellStyle name="Input 9 2 2 7" xfId="33575" xr:uid="{00000000-0005-0000-0000-000022830000}"/>
    <cellStyle name="Input 9 2 2 7 2" xfId="33576" xr:uid="{00000000-0005-0000-0000-000023830000}"/>
    <cellStyle name="Input 9 2 2 7 2 2" xfId="33577" xr:uid="{00000000-0005-0000-0000-000024830000}"/>
    <cellStyle name="Input 9 2 2 7 2 3" xfId="33578" xr:uid="{00000000-0005-0000-0000-000025830000}"/>
    <cellStyle name="Input 9 2 2 7 2 4" xfId="33579" xr:uid="{00000000-0005-0000-0000-000026830000}"/>
    <cellStyle name="Input 9 2 2 7 2 5" xfId="33580" xr:uid="{00000000-0005-0000-0000-000027830000}"/>
    <cellStyle name="Input 9 2 2 7 2 6" xfId="33581" xr:uid="{00000000-0005-0000-0000-000028830000}"/>
    <cellStyle name="Input 9 2 2 7 3" xfId="33582" xr:uid="{00000000-0005-0000-0000-000029830000}"/>
    <cellStyle name="Input 9 2 2 7 4" xfId="33583" xr:uid="{00000000-0005-0000-0000-00002A830000}"/>
    <cellStyle name="Input 9 2 2 7 5" xfId="33584" xr:uid="{00000000-0005-0000-0000-00002B830000}"/>
    <cellStyle name="Input 9 2 2 7 6" xfId="33585" xr:uid="{00000000-0005-0000-0000-00002C830000}"/>
    <cellStyle name="Input 9 2 2 8" xfId="33586" xr:uid="{00000000-0005-0000-0000-00002D830000}"/>
    <cellStyle name="Input 9 2 2 8 2" xfId="33587" xr:uid="{00000000-0005-0000-0000-00002E830000}"/>
    <cellStyle name="Input 9 2 2 8 2 2" xfId="33588" xr:uid="{00000000-0005-0000-0000-00002F830000}"/>
    <cellStyle name="Input 9 2 2 8 2 3" xfId="33589" xr:uid="{00000000-0005-0000-0000-000030830000}"/>
    <cellStyle name="Input 9 2 2 8 2 4" xfId="33590" xr:uid="{00000000-0005-0000-0000-000031830000}"/>
    <cellStyle name="Input 9 2 2 8 2 5" xfId="33591" xr:uid="{00000000-0005-0000-0000-000032830000}"/>
    <cellStyle name="Input 9 2 2 8 2 6" xfId="33592" xr:uid="{00000000-0005-0000-0000-000033830000}"/>
    <cellStyle name="Input 9 2 2 8 3" xfId="33593" xr:uid="{00000000-0005-0000-0000-000034830000}"/>
    <cellStyle name="Input 9 2 2 8 4" xfId="33594" xr:uid="{00000000-0005-0000-0000-000035830000}"/>
    <cellStyle name="Input 9 2 2 8 5" xfId="33595" xr:uid="{00000000-0005-0000-0000-000036830000}"/>
    <cellStyle name="Input 9 2 2 8 6" xfId="33596" xr:uid="{00000000-0005-0000-0000-000037830000}"/>
    <cellStyle name="Input 9 2 2 9" xfId="33597" xr:uid="{00000000-0005-0000-0000-000038830000}"/>
    <cellStyle name="Input 9 2 2 9 2" xfId="33598" xr:uid="{00000000-0005-0000-0000-000039830000}"/>
    <cellStyle name="Input 9 2 2 9 3" xfId="33599" xr:uid="{00000000-0005-0000-0000-00003A830000}"/>
    <cellStyle name="Input 9 2 2 9 4" xfId="33600" xr:uid="{00000000-0005-0000-0000-00003B830000}"/>
    <cellStyle name="Input 9 2 2 9 5" xfId="33601" xr:uid="{00000000-0005-0000-0000-00003C830000}"/>
    <cellStyle name="Input 9 2 2 9 6" xfId="33602" xr:uid="{00000000-0005-0000-0000-00003D830000}"/>
    <cellStyle name="Input 9 2 3" xfId="33603" xr:uid="{00000000-0005-0000-0000-00003E830000}"/>
    <cellStyle name="Input 9 2 3 2" xfId="33604" xr:uid="{00000000-0005-0000-0000-00003F830000}"/>
    <cellStyle name="Input 9 2 3 2 2" xfId="33605" xr:uid="{00000000-0005-0000-0000-000040830000}"/>
    <cellStyle name="Input 9 2 3 2 2 2" xfId="33606" xr:uid="{00000000-0005-0000-0000-000041830000}"/>
    <cellStyle name="Input 9 2 3 2 2 3" xfId="33607" xr:uid="{00000000-0005-0000-0000-000042830000}"/>
    <cellStyle name="Input 9 2 3 2 2 4" xfId="33608" xr:uid="{00000000-0005-0000-0000-000043830000}"/>
    <cellStyle name="Input 9 2 3 2 2 5" xfId="33609" xr:uid="{00000000-0005-0000-0000-000044830000}"/>
    <cellStyle name="Input 9 2 3 2 2 6" xfId="33610" xr:uid="{00000000-0005-0000-0000-000045830000}"/>
    <cellStyle name="Input 9 2 3 2 3" xfId="33611" xr:uid="{00000000-0005-0000-0000-000046830000}"/>
    <cellStyle name="Input 9 2 3 2 4" xfId="33612" xr:uid="{00000000-0005-0000-0000-000047830000}"/>
    <cellStyle name="Input 9 2 3 2 5" xfId="33613" xr:uid="{00000000-0005-0000-0000-000048830000}"/>
    <cellStyle name="Input 9 2 3 2 6" xfId="33614" xr:uid="{00000000-0005-0000-0000-000049830000}"/>
    <cellStyle name="Input 9 2 3 3" xfId="33615" xr:uid="{00000000-0005-0000-0000-00004A830000}"/>
    <cellStyle name="Input 9 2 3 3 2" xfId="33616" xr:uid="{00000000-0005-0000-0000-00004B830000}"/>
    <cellStyle name="Input 9 2 3 3 2 2" xfId="33617" xr:uid="{00000000-0005-0000-0000-00004C830000}"/>
    <cellStyle name="Input 9 2 3 3 2 3" xfId="33618" xr:uid="{00000000-0005-0000-0000-00004D830000}"/>
    <cellStyle name="Input 9 2 3 3 2 4" xfId="33619" xr:uid="{00000000-0005-0000-0000-00004E830000}"/>
    <cellStyle name="Input 9 2 3 3 2 5" xfId="33620" xr:uid="{00000000-0005-0000-0000-00004F830000}"/>
    <cellStyle name="Input 9 2 3 3 2 6" xfId="33621" xr:uid="{00000000-0005-0000-0000-000050830000}"/>
    <cellStyle name="Input 9 2 3 3 3" xfId="33622" xr:uid="{00000000-0005-0000-0000-000051830000}"/>
    <cellStyle name="Input 9 2 3 3 4" xfId="33623" xr:uid="{00000000-0005-0000-0000-000052830000}"/>
    <cellStyle name="Input 9 2 3 3 5" xfId="33624" xr:uid="{00000000-0005-0000-0000-000053830000}"/>
    <cellStyle name="Input 9 2 3 3 6" xfId="33625" xr:uid="{00000000-0005-0000-0000-000054830000}"/>
    <cellStyle name="Input 9 2 3 4" xfId="33626" xr:uid="{00000000-0005-0000-0000-000055830000}"/>
    <cellStyle name="Input 9 2 3 4 2" xfId="33627" xr:uid="{00000000-0005-0000-0000-000056830000}"/>
    <cellStyle name="Input 9 2 3 4 3" xfId="33628" xr:uid="{00000000-0005-0000-0000-000057830000}"/>
    <cellStyle name="Input 9 2 3 4 4" xfId="33629" xr:uid="{00000000-0005-0000-0000-000058830000}"/>
    <cellStyle name="Input 9 2 3 4 5" xfId="33630" xr:uid="{00000000-0005-0000-0000-000059830000}"/>
    <cellStyle name="Input 9 2 3 4 6" xfId="33631" xr:uid="{00000000-0005-0000-0000-00005A830000}"/>
    <cellStyle name="Input 9 2 3 5" xfId="33632" xr:uid="{00000000-0005-0000-0000-00005B830000}"/>
    <cellStyle name="Input 9 2 3 6" xfId="33633" xr:uid="{00000000-0005-0000-0000-00005C830000}"/>
    <cellStyle name="Input 9 2 3 7" xfId="33634" xr:uid="{00000000-0005-0000-0000-00005D830000}"/>
    <cellStyle name="Input 9 2 3 8" xfId="33635" xr:uid="{00000000-0005-0000-0000-00005E830000}"/>
    <cellStyle name="Input 9 2 4" xfId="33636" xr:uid="{00000000-0005-0000-0000-00005F830000}"/>
    <cellStyle name="Input 9 2 4 2" xfId="33637" xr:uid="{00000000-0005-0000-0000-000060830000}"/>
    <cellStyle name="Input 9 2 4 2 2" xfId="33638" xr:uid="{00000000-0005-0000-0000-000061830000}"/>
    <cellStyle name="Input 9 2 4 2 2 2" xfId="33639" xr:uid="{00000000-0005-0000-0000-000062830000}"/>
    <cellStyle name="Input 9 2 4 2 2 3" xfId="33640" xr:uid="{00000000-0005-0000-0000-000063830000}"/>
    <cellStyle name="Input 9 2 4 2 2 4" xfId="33641" xr:uid="{00000000-0005-0000-0000-000064830000}"/>
    <cellStyle name="Input 9 2 4 2 2 5" xfId="33642" xr:uid="{00000000-0005-0000-0000-000065830000}"/>
    <cellStyle name="Input 9 2 4 2 2 6" xfId="33643" xr:uid="{00000000-0005-0000-0000-000066830000}"/>
    <cellStyle name="Input 9 2 4 2 3" xfId="33644" xr:uid="{00000000-0005-0000-0000-000067830000}"/>
    <cellStyle name="Input 9 2 4 2 4" xfId="33645" xr:uid="{00000000-0005-0000-0000-000068830000}"/>
    <cellStyle name="Input 9 2 4 2 5" xfId="33646" xr:uid="{00000000-0005-0000-0000-000069830000}"/>
    <cellStyle name="Input 9 2 4 2 6" xfId="33647" xr:uid="{00000000-0005-0000-0000-00006A830000}"/>
    <cellStyle name="Input 9 2 4 3" xfId="33648" xr:uid="{00000000-0005-0000-0000-00006B830000}"/>
    <cellStyle name="Input 9 2 4 3 2" xfId="33649" xr:uid="{00000000-0005-0000-0000-00006C830000}"/>
    <cellStyle name="Input 9 2 4 3 2 2" xfId="33650" xr:uid="{00000000-0005-0000-0000-00006D830000}"/>
    <cellStyle name="Input 9 2 4 3 2 3" xfId="33651" xr:uid="{00000000-0005-0000-0000-00006E830000}"/>
    <cellStyle name="Input 9 2 4 3 2 4" xfId="33652" xr:uid="{00000000-0005-0000-0000-00006F830000}"/>
    <cellStyle name="Input 9 2 4 3 2 5" xfId="33653" xr:uid="{00000000-0005-0000-0000-000070830000}"/>
    <cellStyle name="Input 9 2 4 3 2 6" xfId="33654" xr:uid="{00000000-0005-0000-0000-000071830000}"/>
    <cellStyle name="Input 9 2 4 3 3" xfId="33655" xr:uid="{00000000-0005-0000-0000-000072830000}"/>
    <cellStyle name="Input 9 2 4 3 4" xfId="33656" xr:uid="{00000000-0005-0000-0000-000073830000}"/>
    <cellStyle name="Input 9 2 4 3 5" xfId="33657" xr:uid="{00000000-0005-0000-0000-000074830000}"/>
    <cellStyle name="Input 9 2 4 3 6" xfId="33658" xr:uid="{00000000-0005-0000-0000-000075830000}"/>
    <cellStyle name="Input 9 2 4 4" xfId="33659" xr:uid="{00000000-0005-0000-0000-000076830000}"/>
    <cellStyle name="Input 9 2 4 4 2" xfId="33660" xr:uid="{00000000-0005-0000-0000-000077830000}"/>
    <cellStyle name="Input 9 2 4 4 3" xfId="33661" xr:uid="{00000000-0005-0000-0000-000078830000}"/>
    <cellStyle name="Input 9 2 4 4 4" xfId="33662" xr:uid="{00000000-0005-0000-0000-000079830000}"/>
    <cellStyle name="Input 9 2 4 4 5" xfId="33663" xr:uid="{00000000-0005-0000-0000-00007A830000}"/>
    <cellStyle name="Input 9 2 4 4 6" xfId="33664" xr:uid="{00000000-0005-0000-0000-00007B830000}"/>
    <cellStyle name="Input 9 2 4 5" xfId="33665" xr:uid="{00000000-0005-0000-0000-00007C830000}"/>
    <cellStyle name="Input 9 2 4 6" xfId="33666" xr:uid="{00000000-0005-0000-0000-00007D830000}"/>
    <cellStyle name="Input 9 2 4 7" xfId="33667" xr:uid="{00000000-0005-0000-0000-00007E830000}"/>
    <cellStyle name="Input 9 2 4 8" xfId="33668" xr:uid="{00000000-0005-0000-0000-00007F830000}"/>
    <cellStyle name="Input 9 2 5" xfId="33669" xr:uid="{00000000-0005-0000-0000-000080830000}"/>
    <cellStyle name="Input 9 2 5 2" xfId="33670" xr:uid="{00000000-0005-0000-0000-000081830000}"/>
    <cellStyle name="Input 9 2 5 2 2" xfId="33671" xr:uid="{00000000-0005-0000-0000-000082830000}"/>
    <cellStyle name="Input 9 2 5 2 2 2" xfId="33672" xr:uid="{00000000-0005-0000-0000-000083830000}"/>
    <cellStyle name="Input 9 2 5 2 2 3" xfId="33673" xr:uid="{00000000-0005-0000-0000-000084830000}"/>
    <cellStyle name="Input 9 2 5 2 2 4" xfId="33674" xr:uid="{00000000-0005-0000-0000-000085830000}"/>
    <cellStyle name="Input 9 2 5 2 2 5" xfId="33675" xr:uid="{00000000-0005-0000-0000-000086830000}"/>
    <cellStyle name="Input 9 2 5 2 2 6" xfId="33676" xr:uid="{00000000-0005-0000-0000-000087830000}"/>
    <cellStyle name="Input 9 2 5 2 3" xfId="33677" xr:uid="{00000000-0005-0000-0000-000088830000}"/>
    <cellStyle name="Input 9 2 5 2 4" xfId="33678" xr:uid="{00000000-0005-0000-0000-000089830000}"/>
    <cellStyle name="Input 9 2 5 2 5" xfId="33679" xr:uid="{00000000-0005-0000-0000-00008A830000}"/>
    <cellStyle name="Input 9 2 5 2 6" xfId="33680" xr:uid="{00000000-0005-0000-0000-00008B830000}"/>
    <cellStyle name="Input 9 2 5 3" xfId="33681" xr:uid="{00000000-0005-0000-0000-00008C830000}"/>
    <cellStyle name="Input 9 2 5 3 2" xfId="33682" xr:uid="{00000000-0005-0000-0000-00008D830000}"/>
    <cellStyle name="Input 9 2 5 3 2 2" xfId="33683" xr:uid="{00000000-0005-0000-0000-00008E830000}"/>
    <cellStyle name="Input 9 2 5 3 2 3" xfId="33684" xr:uid="{00000000-0005-0000-0000-00008F830000}"/>
    <cellStyle name="Input 9 2 5 3 2 4" xfId="33685" xr:uid="{00000000-0005-0000-0000-000090830000}"/>
    <cellStyle name="Input 9 2 5 3 2 5" xfId="33686" xr:uid="{00000000-0005-0000-0000-000091830000}"/>
    <cellStyle name="Input 9 2 5 3 2 6" xfId="33687" xr:uid="{00000000-0005-0000-0000-000092830000}"/>
    <cellStyle name="Input 9 2 5 3 3" xfId="33688" xr:uid="{00000000-0005-0000-0000-000093830000}"/>
    <cellStyle name="Input 9 2 5 3 4" xfId="33689" xr:uid="{00000000-0005-0000-0000-000094830000}"/>
    <cellStyle name="Input 9 2 5 3 5" xfId="33690" xr:uid="{00000000-0005-0000-0000-000095830000}"/>
    <cellStyle name="Input 9 2 5 3 6" xfId="33691" xr:uid="{00000000-0005-0000-0000-000096830000}"/>
    <cellStyle name="Input 9 2 5 4" xfId="33692" xr:uid="{00000000-0005-0000-0000-000097830000}"/>
    <cellStyle name="Input 9 2 5 4 2" xfId="33693" xr:uid="{00000000-0005-0000-0000-000098830000}"/>
    <cellStyle name="Input 9 2 5 4 3" xfId="33694" xr:uid="{00000000-0005-0000-0000-000099830000}"/>
    <cellStyle name="Input 9 2 5 4 4" xfId="33695" xr:uid="{00000000-0005-0000-0000-00009A830000}"/>
    <cellStyle name="Input 9 2 5 4 5" xfId="33696" xr:uid="{00000000-0005-0000-0000-00009B830000}"/>
    <cellStyle name="Input 9 2 5 4 6" xfId="33697" xr:uid="{00000000-0005-0000-0000-00009C830000}"/>
    <cellStyle name="Input 9 2 5 5" xfId="33698" xr:uid="{00000000-0005-0000-0000-00009D830000}"/>
    <cellStyle name="Input 9 2 5 6" xfId="33699" xr:uid="{00000000-0005-0000-0000-00009E830000}"/>
    <cellStyle name="Input 9 2 5 7" xfId="33700" xr:uid="{00000000-0005-0000-0000-00009F830000}"/>
    <cellStyle name="Input 9 2 5 8" xfId="33701" xr:uid="{00000000-0005-0000-0000-0000A0830000}"/>
    <cellStyle name="Input 9 2 6" xfId="33702" xr:uid="{00000000-0005-0000-0000-0000A1830000}"/>
    <cellStyle name="Input 9 2 6 2" xfId="33703" xr:uid="{00000000-0005-0000-0000-0000A2830000}"/>
    <cellStyle name="Input 9 2 6 2 2" xfId="33704" xr:uid="{00000000-0005-0000-0000-0000A3830000}"/>
    <cellStyle name="Input 9 2 6 2 2 2" xfId="33705" xr:uid="{00000000-0005-0000-0000-0000A4830000}"/>
    <cellStyle name="Input 9 2 6 2 2 3" xfId="33706" xr:uid="{00000000-0005-0000-0000-0000A5830000}"/>
    <cellStyle name="Input 9 2 6 2 2 4" xfId="33707" xr:uid="{00000000-0005-0000-0000-0000A6830000}"/>
    <cellStyle name="Input 9 2 6 2 2 5" xfId="33708" xr:uid="{00000000-0005-0000-0000-0000A7830000}"/>
    <cellStyle name="Input 9 2 6 2 2 6" xfId="33709" xr:uid="{00000000-0005-0000-0000-0000A8830000}"/>
    <cellStyle name="Input 9 2 6 2 3" xfId="33710" xr:uid="{00000000-0005-0000-0000-0000A9830000}"/>
    <cellStyle name="Input 9 2 6 2 4" xfId="33711" xr:uid="{00000000-0005-0000-0000-0000AA830000}"/>
    <cellStyle name="Input 9 2 6 2 5" xfId="33712" xr:uid="{00000000-0005-0000-0000-0000AB830000}"/>
    <cellStyle name="Input 9 2 6 2 6" xfId="33713" xr:uid="{00000000-0005-0000-0000-0000AC830000}"/>
    <cellStyle name="Input 9 2 6 3" xfId="33714" xr:uid="{00000000-0005-0000-0000-0000AD830000}"/>
    <cellStyle name="Input 9 2 6 3 2" xfId="33715" xr:uid="{00000000-0005-0000-0000-0000AE830000}"/>
    <cellStyle name="Input 9 2 6 3 2 2" xfId="33716" xr:uid="{00000000-0005-0000-0000-0000AF830000}"/>
    <cellStyle name="Input 9 2 6 3 2 3" xfId="33717" xr:uid="{00000000-0005-0000-0000-0000B0830000}"/>
    <cellStyle name="Input 9 2 6 3 2 4" xfId="33718" xr:uid="{00000000-0005-0000-0000-0000B1830000}"/>
    <cellStyle name="Input 9 2 6 3 2 5" xfId="33719" xr:uid="{00000000-0005-0000-0000-0000B2830000}"/>
    <cellStyle name="Input 9 2 6 3 2 6" xfId="33720" xr:uid="{00000000-0005-0000-0000-0000B3830000}"/>
    <cellStyle name="Input 9 2 6 3 3" xfId="33721" xr:uid="{00000000-0005-0000-0000-0000B4830000}"/>
    <cellStyle name="Input 9 2 6 3 4" xfId="33722" xr:uid="{00000000-0005-0000-0000-0000B5830000}"/>
    <cellStyle name="Input 9 2 6 3 5" xfId="33723" xr:uid="{00000000-0005-0000-0000-0000B6830000}"/>
    <cellStyle name="Input 9 2 6 3 6" xfId="33724" xr:uid="{00000000-0005-0000-0000-0000B7830000}"/>
    <cellStyle name="Input 9 2 6 4" xfId="33725" xr:uid="{00000000-0005-0000-0000-0000B8830000}"/>
    <cellStyle name="Input 9 2 6 4 2" xfId="33726" xr:uid="{00000000-0005-0000-0000-0000B9830000}"/>
    <cellStyle name="Input 9 2 6 4 3" xfId="33727" xr:uid="{00000000-0005-0000-0000-0000BA830000}"/>
    <cellStyle name="Input 9 2 6 4 4" xfId="33728" xr:uid="{00000000-0005-0000-0000-0000BB830000}"/>
    <cellStyle name="Input 9 2 6 4 5" xfId="33729" xr:uid="{00000000-0005-0000-0000-0000BC830000}"/>
    <cellStyle name="Input 9 2 6 4 6" xfId="33730" xr:uid="{00000000-0005-0000-0000-0000BD830000}"/>
    <cellStyle name="Input 9 2 6 5" xfId="33731" xr:uid="{00000000-0005-0000-0000-0000BE830000}"/>
    <cellStyle name="Input 9 2 6 6" xfId="33732" xr:uid="{00000000-0005-0000-0000-0000BF830000}"/>
    <cellStyle name="Input 9 2 6 7" xfId="33733" xr:uid="{00000000-0005-0000-0000-0000C0830000}"/>
    <cellStyle name="Input 9 2 6 8" xfId="33734" xr:uid="{00000000-0005-0000-0000-0000C1830000}"/>
    <cellStyle name="Input 9 2 7" xfId="33735" xr:uid="{00000000-0005-0000-0000-0000C2830000}"/>
    <cellStyle name="Input 9 2 7 2" xfId="33736" xr:uid="{00000000-0005-0000-0000-0000C3830000}"/>
    <cellStyle name="Input 9 2 7 2 2" xfId="33737" xr:uid="{00000000-0005-0000-0000-0000C4830000}"/>
    <cellStyle name="Input 9 2 7 2 2 2" xfId="33738" xr:uid="{00000000-0005-0000-0000-0000C5830000}"/>
    <cellStyle name="Input 9 2 7 2 2 3" xfId="33739" xr:uid="{00000000-0005-0000-0000-0000C6830000}"/>
    <cellStyle name="Input 9 2 7 2 2 4" xfId="33740" xr:uid="{00000000-0005-0000-0000-0000C7830000}"/>
    <cellStyle name="Input 9 2 7 2 2 5" xfId="33741" xr:uid="{00000000-0005-0000-0000-0000C8830000}"/>
    <cellStyle name="Input 9 2 7 2 2 6" xfId="33742" xr:uid="{00000000-0005-0000-0000-0000C9830000}"/>
    <cellStyle name="Input 9 2 7 2 3" xfId="33743" xr:uid="{00000000-0005-0000-0000-0000CA830000}"/>
    <cellStyle name="Input 9 2 7 2 4" xfId="33744" xr:uid="{00000000-0005-0000-0000-0000CB830000}"/>
    <cellStyle name="Input 9 2 7 2 5" xfId="33745" xr:uid="{00000000-0005-0000-0000-0000CC830000}"/>
    <cellStyle name="Input 9 2 7 2 6" xfId="33746" xr:uid="{00000000-0005-0000-0000-0000CD830000}"/>
    <cellStyle name="Input 9 2 7 3" xfId="33747" xr:uid="{00000000-0005-0000-0000-0000CE830000}"/>
    <cellStyle name="Input 9 2 7 3 2" xfId="33748" xr:uid="{00000000-0005-0000-0000-0000CF830000}"/>
    <cellStyle name="Input 9 2 7 3 2 2" xfId="33749" xr:uid="{00000000-0005-0000-0000-0000D0830000}"/>
    <cellStyle name="Input 9 2 7 3 2 3" xfId="33750" xr:uid="{00000000-0005-0000-0000-0000D1830000}"/>
    <cellStyle name="Input 9 2 7 3 2 4" xfId="33751" xr:uid="{00000000-0005-0000-0000-0000D2830000}"/>
    <cellStyle name="Input 9 2 7 3 2 5" xfId="33752" xr:uid="{00000000-0005-0000-0000-0000D3830000}"/>
    <cellStyle name="Input 9 2 7 3 2 6" xfId="33753" xr:uid="{00000000-0005-0000-0000-0000D4830000}"/>
    <cellStyle name="Input 9 2 7 3 3" xfId="33754" xr:uid="{00000000-0005-0000-0000-0000D5830000}"/>
    <cellStyle name="Input 9 2 7 3 4" xfId="33755" xr:uid="{00000000-0005-0000-0000-0000D6830000}"/>
    <cellStyle name="Input 9 2 7 3 5" xfId="33756" xr:uid="{00000000-0005-0000-0000-0000D7830000}"/>
    <cellStyle name="Input 9 2 7 3 6" xfId="33757" xr:uid="{00000000-0005-0000-0000-0000D8830000}"/>
    <cellStyle name="Input 9 2 7 4" xfId="33758" xr:uid="{00000000-0005-0000-0000-0000D9830000}"/>
    <cellStyle name="Input 9 2 7 4 2" xfId="33759" xr:uid="{00000000-0005-0000-0000-0000DA830000}"/>
    <cellStyle name="Input 9 2 7 4 3" xfId="33760" xr:uid="{00000000-0005-0000-0000-0000DB830000}"/>
    <cellStyle name="Input 9 2 7 4 4" xfId="33761" xr:uid="{00000000-0005-0000-0000-0000DC830000}"/>
    <cellStyle name="Input 9 2 7 4 5" xfId="33762" xr:uid="{00000000-0005-0000-0000-0000DD830000}"/>
    <cellStyle name="Input 9 2 7 4 6" xfId="33763" xr:uid="{00000000-0005-0000-0000-0000DE830000}"/>
    <cellStyle name="Input 9 2 7 5" xfId="33764" xr:uid="{00000000-0005-0000-0000-0000DF830000}"/>
    <cellStyle name="Input 9 2 7 6" xfId="33765" xr:uid="{00000000-0005-0000-0000-0000E0830000}"/>
    <cellStyle name="Input 9 2 7 7" xfId="33766" xr:uid="{00000000-0005-0000-0000-0000E1830000}"/>
    <cellStyle name="Input 9 2 7 8" xfId="33767" xr:uid="{00000000-0005-0000-0000-0000E2830000}"/>
    <cellStyle name="Input 9 2 8" xfId="33768" xr:uid="{00000000-0005-0000-0000-0000E3830000}"/>
    <cellStyle name="Input 9 2 8 2" xfId="33769" xr:uid="{00000000-0005-0000-0000-0000E4830000}"/>
    <cellStyle name="Input 9 2 8 2 2" xfId="33770" xr:uid="{00000000-0005-0000-0000-0000E5830000}"/>
    <cellStyle name="Input 9 2 8 2 3" xfId="33771" xr:uid="{00000000-0005-0000-0000-0000E6830000}"/>
    <cellStyle name="Input 9 2 8 2 4" xfId="33772" xr:uid="{00000000-0005-0000-0000-0000E7830000}"/>
    <cellStyle name="Input 9 2 8 2 5" xfId="33773" xr:uid="{00000000-0005-0000-0000-0000E8830000}"/>
    <cellStyle name="Input 9 2 8 2 6" xfId="33774" xr:uid="{00000000-0005-0000-0000-0000E9830000}"/>
    <cellStyle name="Input 9 2 8 3" xfId="33775" xr:uid="{00000000-0005-0000-0000-0000EA830000}"/>
    <cellStyle name="Input 9 2 8 4" xfId="33776" xr:uid="{00000000-0005-0000-0000-0000EB830000}"/>
    <cellStyle name="Input 9 2 8 5" xfId="33777" xr:uid="{00000000-0005-0000-0000-0000EC830000}"/>
    <cellStyle name="Input 9 2 8 6" xfId="33778" xr:uid="{00000000-0005-0000-0000-0000ED830000}"/>
    <cellStyle name="Input 9 2 9" xfId="33779" xr:uid="{00000000-0005-0000-0000-0000EE830000}"/>
    <cellStyle name="Input 9 2 9 2" xfId="33780" xr:uid="{00000000-0005-0000-0000-0000EF830000}"/>
    <cellStyle name="Input 9 2 9 2 2" xfId="33781" xr:uid="{00000000-0005-0000-0000-0000F0830000}"/>
    <cellStyle name="Input 9 2 9 2 3" xfId="33782" xr:uid="{00000000-0005-0000-0000-0000F1830000}"/>
    <cellStyle name="Input 9 2 9 2 4" xfId="33783" xr:uid="{00000000-0005-0000-0000-0000F2830000}"/>
    <cellStyle name="Input 9 2 9 2 5" xfId="33784" xr:uid="{00000000-0005-0000-0000-0000F3830000}"/>
    <cellStyle name="Input 9 2 9 2 6" xfId="33785" xr:uid="{00000000-0005-0000-0000-0000F4830000}"/>
    <cellStyle name="Input 9 2 9 3" xfId="33786" xr:uid="{00000000-0005-0000-0000-0000F5830000}"/>
    <cellStyle name="Input 9 2 9 4" xfId="33787" xr:uid="{00000000-0005-0000-0000-0000F6830000}"/>
    <cellStyle name="Input 9 2 9 5" xfId="33788" xr:uid="{00000000-0005-0000-0000-0000F7830000}"/>
    <cellStyle name="Input 9 2 9 6" xfId="33789" xr:uid="{00000000-0005-0000-0000-0000F8830000}"/>
    <cellStyle name="Input 9 3" xfId="33790" xr:uid="{00000000-0005-0000-0000-0000F9830000}"/>
    <cellStyle name="Input 9 3 10" xfId="33791" xr:uid="{00000000-0005-0000-0000-0000FA830000}"/>
    <cellStyle name="Input 9 3 11" xfId="33792" xr:uid="{00000000-0005-0000-0000-0000FB830000}"/>
    <cellStyle name="Input 9 3 12" xfId="33793" xr:uid="{00000000-0005-0000-0000-0000FC830000}"/>
    <cellStyle name="Input 9 3 13" xfId="33794" xr:uid="{00000000-0005-0000-0000-0000FD830000}"/>
    <cellStyle name="Input 9 3 2" xfId="33795" xr:uid="{00000000-0005-0000-0000-0000FE830000}"/>
    <cellStyle name="Input 9 3 2 2" xfId="33796" xr:uid="{00000000-0005-0000-0000-0000FF830000}"/>
    <cellStyle name="Input 9 3 2 2 2" xfId="33797" xr:uid="{00000000-0005-0000-0000-000000840000}"/>
    <cellStyle name="Input 9 3 2 2 2 2" xfId="33798" xr:uid="{00000000-0005-0000-0000-000001840000}"/>
    <cellStyle name="Input 9 3 2 2 2 3" xfId="33799" xr:uid="{00000000-0005-0000-0000-000002840000}"/>
    <cellStyle name="Input 9 3 2 2 2 4" xfId="33800" xr:uid="{00000000-0005-0000-0000-000003840000}"/>
    <cellStyle name="Input 9 3 2 2 2 5" xfId="33801" xr:uid="{00000000-0005-0000-0000-000004840000}"/>
    <cellStyle name="Input 9 3 2 2 2 6" xfId="33802" xr:uid="{00000000-0005-0000-0000-000005840000}"/>
    <cellStyle name="Input 9 3 2 2 3" xfId="33803" xr:uid="{00000000-0005-0000-0000-000006840000}"/>
    <cellStyle name="Input 9 3 2 2 4" xfId="33804" xr:uid="{00000000-0005-0000-0000-000007840000}"/>
    <cellStyle name="Input 9 3 2 2 5" xfId="33805" xr:uid="{00000000-0005-0000-0000-000008840000}"/>
    <cellStyle name="Input 9 3 2 2 6" xfId="33806" xr:uid="{00000000-0005-0000-0000-000009840000}"/>
    <cellStyle name="Input 9 3 2 3" xfId="33807" xr:uid="{00000000-0005-0000-0000-00000A840000}"/>
    <cellStyle name="Input 9 3 2 3 2" xfId="33808" xr:uid="{00000000-0005-0000-0000-00000B840000}"/>
    <cellStyle name="Input 9 3 2 3 2 2" xfId="33809" xr:uid="{00000000-0005-0000-0000-00000C840000}"/>
    <cellStyle name="Input 9 3 2 3 2 3" xfId="33810" xr:uid="{00000000-0005-0000-0000-00000D840000}"/>
    <cellStyle name="Input 9 3 2 3 2 4" xfId="33811" xr:uid="{00000000-0005-0000-0000-00000E840000}"/>
    <cellStyle name="Input 9 3 2 3 2 5" xfId="33812" xr:uid="{00000000-0005-0000-0000-00000F840000}"/>
    <cellStyle name="Input 9 3 2 3 2 6" xfId="33813" xr:uid="{00000000-0005-0000-0000-000010840000}"/>
    <cellStyle name="Input 9 3 2 3 3" xfId="33814" xr:uid="{00000000-0005-0000-0000-000011840000}"/>
    <cellStyle name="Input 9 3 2 3 4" xfId="33815" xr:uid="{00000000-0005-0000-0000-000012840000}"/>
    <cellStyle name="Input 9 3 2 3 5" xfId="33816" xr:uid="{00000000-0005-0000-0000-000013840000}"/>
    <cellStyle name="Input 9 3 2 3 6" xfId="33817" xr:uid="{00000000-0005-0000-0000-000014840000}"/>
    <cellStyle name="Input 9 3 2 4" xfId="33818" xr:uid="{00000000-0005-0000-0000-000015840000}"/>
    <cellStyle name="Input 9 3 2 4 2" xfId="33819" xr:uid="{00000000-0005-0000-0000-000016840000}"/>
    <cellStyle name="Input 9 3 2 4 3" xfId="33820" xr:uid="{00000000-0005-0000-0000-000017840000}"/>
    <cellStyle name="Input 9 3 2 4 4" xfId="33821" xr:uid="{00000000-0005-0000-0000-000018840000}"/>
    <cellStyle name="Input 9 3 2 4 5" xfId="33822" xr:uid="{00000000-0005-0000-0000-000019840000}"/>
    <cellStyle name="Input 9 3 2 4 6" xfId="33823" xr:uid="{00000000-0005-0000-0000-00001A840000}"/>
    <cellStyle name="Input 9 3 2 5" xfId="33824" xr:uid="{00000000-0005-0000-0000-00001B840000}"/>
    <cellStyle name="Input 9 3 2 6" xfId="33825" xr:uid="{00000000-0005-0000-0000-00001C840000}"/>
    <cellStyle name="Input 9 3 2 7" xfId="33826" xr:uid="{00000000-0005-0000-0000-00001D840000}"/>
    <cellStyle name="Input 9 3 2 8" xfId="33827" xr:uid="{00000000-0005-0000-0000-00001E840000}"/>
    <cellStyle name="Input 9 3 3" xfId="33828" xr:uid="{00000000-0005-0000-0000-00001F840000}"/>
    <cellStyle name="Input 9 3 3 2" xfId="33829" xr:uid="{00000000-0005-0000-0000-000020840000}"/>
    <cellStyle name="Input 9 3 3 2 2" xfId="33830" xr:uid="{00000000-0005-0000-0000-000021840000}"/>
    <cellStyle name="Input 9 3 3 2 2 2" xfId="33831" xr:uid="{00000000-0005-0000-0000-000022840000}"/>
    <cellStyle name="Input 9 3 3 2 2 3" xfId="33832" xr:uid="{00000000-0005-0000-0000-000023840000}"/>
    <cellStyle name="Input 9 3 3 2 2 4" xfId="33833" xr:uid="{00000000-0005-0000-0000-000024840000}"/>
    <cellStyle name="Input 9 3 3 2 2 5" xfId="33834" xr:uid="{00000000-0005-0000-0000-000025840000}"/>
    <cellStyle name="Input 9 3 3 2 2 6" xfId="33835" xr:uid="{00000000-0005-0000-0000-000026840000}"/>
    <cellStyle name="Input 9 3 3 2 3" xfId="33836" xr:uid="{00000000-0005-0000-0000-000027840000}"/>
    <cellStyle name="Input 9 3 3 2 4" xfId="33837" xr:uid="{00000000-0005-0000-0000-000028840000}"/>
    <cellStyle name="Input 9 3 3 2 5" xfId="33838" xr:uid="{00000000-0005-0000-0000-000029840000}"/>
    <cellStyle name="Input 9 3 3 2 6" xfId="33839" xr:uid="{00000000-0005-0000-0000-00002A840000}"/>
    <cellStyle name="Input 9 3 3 3" xfId="33840" xr:uid="{00000000-0005-0000-0000-00002B840000}"/>
    <cellStyle name="Input 9 3 3 3 2" xfId="33841" xr:uid="{00000000-0005-0000-0000-00002C840000}"/>
    <cellStyle name="Input 9 3 3 3 2 2" xfId="33842" xr:uid="{00000000-0005-0000-0000-00002D840000}"/>
    <cellStyle name="Input 9 3 3 3 2 3" xfId="33843" xr:uid="{00000000-0005-0000-0000-00002E840000}"/>
    <cellStyle name="Input 9 3 3 3 2 4" xfId="33844" xr:uid="{00000000-0005-0000-0000-00002F840000}"/>
    <cellStyle name="Input 9 3 3 3 2 5" xfId="33845" xr:uid="{00000000-0005-0000-0000-000030840000}"/>
    <cellStyle name="Input 9 3 3 3 2 6" xfId="33846" xr:uid="{00000000-0005-0000-0000-000031840000}"/>
    <cellStyle name="Input 9 3 3 3 3" xfId="33847" xr:uid="{00000000-0005-0000-0000-000032840000}"/>
    <cellStyle name="Input 9 3 3 3 4" xfId="33848" xr:uid="{00000000-0005-0000-0000-000033840000}"/>
    <cellStyle name="Input 9 3 3 3 5" xfId="33849" xr:uid="{00000000-0005-0000-0000-000034840000}"/>
    <cellStyle name="Input 9 3 3 3 6" xfId="33850" xr:uid="{00000000-0005-0000-0000-000035840000}"/>
    <cellStyle name="Input 9 3 3 4" xfId="33851" xr:uid="{00000000-0005-0000-0000-000036840000}"/>
    <cellStyle name="Input 9 3 3 4 2" xfId="33852" xr:uid="{00000000-0005-0000-0000-000037840000}"/>
    <cellStyle name="Input 9 3 3 4 3" xfId="33853" xr:uid="{00000000-0005-0000-0000-000038840000}"/>
    <cellStyle name="Input 9 3 3 4 4" xfId="33854" xr:uid="{00000000-0005-0000-0000-000039840000}"/>
    <cellStyle name="Input 9 3 3 4 5" xfId="33855" xr:uid="{00000000-0005-0000-0000-00003A840000}"/>
    <cellStyle name="Input 9 3 3 4 6" xfId="33856" xr:uid="{00000000-0005-0000-0000-00003B840000}"/>
    <cellStyle name="Input 9 3 3 5" xfId="33857" xr:uid="{00000000-0005-0000-0000-00003C840000}"/>
    <cellStyle name="Input 9 3 3 6" xfId="33858" xr:uid="{00000000-0005-0000-0000-00003D840000}"/>
    <cellStyle name="Input 9 3 3 7" xfId="33859" xr:uid="{00000000-0005-0000-0000-00003E840000}"/>
    <cellStyle name="Input 9 3 3 8" xfId="33860" xr:uid="{00000000-0005-0000-0000-00003F840000}"/>
    <cellStyle name="Input 9 3 4" xfId="33861" xr:uid="{00000000-0005-0000-0000-000040840000}"/>
    <cellStyle name="Input 9 3 4 2" xfId="33862" xr:uid="{00000000-0005-0000-0000-000041840000}"/>
    <cellStyle name="Input 9 3 4 2 2" xfId="33863" xr:uid="{00000000-0005-0000-0000-000042840000}"/>
    <cellStyle name="Input 9 3 4 2 2 2" xfId="33864" xr:uid="{00000000-0005-0000-0000-000043840000}"/>
    <cellStyle name="Input 9 3 4 2 2 3" xfId="33865" xr:uid="{00000000-0005-0000-0000-000044840000}"/>
    <cellStyle name="Input 9 3 4 2 2 4" xfId="33866" xr:uid="{00000000-0005-0000-0000-000045840000}"/>
    <cellStyle name="Input 9 3 4 2 2 5" xfId="33867" xr:uid="{00000000-0005-0000-0000-000046840000}"/>
    <cellStyle name="Input 9 3 4 2 2 6" xfId="33868" xr:uid="{00000000-0005-0000-0000-000047840000}"/>
    <cellStyle name="Input 9 3 4 2 3" xfId="33869" xr:uid="{00000000-0005-0000-0000-000048840000}"/>
    <cellStyle name="Input 9 3 4 2 4" xfId="33870" xr:uid="{00000000-0005-0000-0000-000049840000}"/>
    <cellStyle name="Input 9 3 4 2 5" xfId="33871" xr:uid="{00000000-0005-0000-0000-00004A840000}"/>
    <cellStyle name="Input 9 3 4 2 6" xfId="33872" xr:uid="{00000000-0005-0000-0000-00004B840000}"/>
    <cellStyle name="Input 9 3 4 3" xfId="33873" xr:uid="{00000000-0005-0000-0000-00004C840000}"/>
    <cellStyle name="Input 9 3 4 3 2" xfId="33874" xr:uid="{00000000-0005-0000-0000-00004D840000}"/>
    <cellStyle name="Input 9 3 4 3 2 2" xfId="33875" xr:uid="{00000000-0005-0000-0000-00004E840000}"/>
    <cellStyle name="Input 9 3 4 3 2 3" xfId="33876" xr:uid="{00000000-0005-0000-0000-00004F840000}"/>
    <cellStyle name="Input 9 3 4 3 2 4" xfId="33877" xr:uid="{00000000-0005-0000-0000-000050840000}"/>
    <cellStyle name="Input 9 3 4 3 2 5" xfId="33878" xr:uid="{00000000-0005-0000-0000-000051840000}"/>
    <cellStyle name="Input 9 3 4 3 2 6" xfId="33879" xr:uid="{00000000-0005-0000-0000-000052840000}"/>
    <cellStyle name="Input 9 3 4 3 3" xfId="33880" xr:uid="{00000000-0005-0000-0000-000053840000}"/>
    <cellStyle name="Input 9 3 4 3 4" xfId="33881" xr:uid="{00000000-0005-0000-0000-000054840000}"/>
    <cellStyle name="Input 9 3 4 3 5" xfId="33882" xr:uid="{00000000-0005-0000-0000-000055840000}"/>
    <cellStyle name="Input 9 3 4 3 6" xfId="33883" xr:uid="{00000000-0005-0000-0000-000056840000}"/>
    <cellStyle name="Input 9 3 4 4" xfId="33884" xr:uid="{00000000-0005-0000-0000-000057840000}"/>
    <cellStyle name="Input 9 3 4 4 2" xfId="33885" xr:uid="{00000000-0005-0000-0000-000058840000}"/>
    <cellStyle name="Input 9 3 4 4 3" xfId="33886" xr:uid="{00000000-0005-0000-0000-000059840000}"/>
    <cellStyle name="Input 9 3 4 4 4" xfId="33887" xr:uid="{00000000-0005-0000-0000-00005A840000}"/>
    <cellStyle name="Input 9 3 4 4 5" xfId="33888" xr:uid="{00000000-0005-0000-0000-00005B840000}"/>
    <cellStyle name="Input 9 3 4 4 6" xfId="33889" xr:uid="{00000000-0005-0000-0000-00005C840000}"/>
    <cellStyle name="Input 9 3 4 5" xfId="33890" xr:uid="{00000000-0005-0000-0000-00005D840000}"/>
    <cellStyle name="Input 9 3 4 6" xfId="33891" xr:uid="{00000000-0005-0000-0000-00005E840000}"/>
    <cellStyle name="Input 9 3 4 7" xfId="33892" xr:uid="{00000000-0005-0000-0000-00005F840000}"/>
    <cellStyle name="Input 9 3 4 8" xfId="33893" xr:uid="{00000000-0005-0000-0000-000060840000}"/>
    <cellStyle name="Input 9 3 5" xfId="33894" xr:uid="{00000000-0005-0000-0000-000061840000}"/>
    <cellStyle name="Input 9 3 5 2" xfId="33895" xr:uid="{00000000-0005-0000-0000-000062840000}"/>
    <cellStyle name="Input 9 3 5 2 2" xfId="33896" xr:uid="{00000000-0005-0000-0000-000063840000}"/>
    <cellStyle name="Input 9 3 5 2 2 2" xfId="33897" xr:uid="{00000000-0005-0000-0000-000064840000}"/>
    <cellStyle name="Input 9 3 5 2 2 3" xfId="33898" xr:uid="{00000000-0005-0000-0000-000065840000}"/>
    <cellStyle name="Input 9 3 5 2 2 4" xfId="33899" xr:uid="{00000000-0005-0000-0000-000066840000}"/>
    <cellStyle name="Input 9 3 5 2 2 5" xfId="33900" xr:uid="{00000000-0005-0000-0000-000067840000}"/>
    <cellStyle name="Input 9 3 5 2 2 6" xfId="33901" xr:uid="{00000000-0005-0000-0000-000068840000}"/>
    <cellStyle name="Input 9 3 5 2 3" xfId="33902" xr:uid="{00000000-0005-0000-0000-000069840000}"/>
    <cellStyle name="Input 9 3 5 2 4" xfId="33903" xr:uid="{00000000-0005-0000-0000-00006A840000}"/>
    <cellStyle name="Input 9 3 5 2 5" xfId="33904" xr:uid="{00000000-0005-0000-0000-00006B840000}"/>
    <cellStyle name="Input 9 3 5 2 6" xfId="33905" xr:uid="{00000000-0005-0000-0000-00006C840000}"/>
    <cellStyle name="Input 9 3 5 3" xfId="33906" xr:uid="{00000000-0005-0000-0000-00006D840000}"/>
    <cellStyle name="Input 9 3 5 3 2" xfId="33907" xr:uid="{00000000-0005-0000-0000-00006E840000}"/>
    <cellStyle name="Input 9 3 5 3 2 2" xfId="33908" xr:uid="{00000000-0005-0000-0000-00006F840000}"/>
    <cellStyle name="Input 9 3 5 3 2 3" xfId="33909" xr:uid="{00000000-0005-0000-0000-000070840000}"/>
    <cellStyle name="Input 9 3 5 3 2 4" xfId="33910" xr:uid="{00000000-0005-0000-0000-000071840000}"/>
    <cellStyle name="Input 9 3 5 3 2 5" xfId="33911" xr:uid="{00000000-0005-0000-0000-000072840000}"/>
    <cellStyle name="Input 9 3 5 3 2 6" xfId="33912" xr:uid="{00000000-0005-0000-0000-000073840000}"/>
    <cellStyle name="Input 9 3 5 3 3" xfId="33913" xr:uid="{00000000-0005-0000-0000-000074840000}"/>
    <cellStyle name="Input 9 3 5 3 4" xfId="33914" xr:uid="{00000000-0005-0000-0000-000075840000}"/>
    <cellStyle name="Input 9 3 5 3 5" xfId="33915" xr:uid="{00000000-0005-0000-0000-000076840000}"/>
    <cellStyle name="Input 9 3 5 3 6" xfId="33916" xr:uid="{00000000-0005-0000-0000-000077840000}"/>
    <cellStyle name="Input 9 3 5 4" xfId="33917" xr:uid="{00000000-0005-0000-0000-000078840000}"/>
    <cellStyle name="Input 9 3 5 4 2" xfId="33918" xr:uid="{00000000-0005-0000-0000-000079840000}"/>
    <cellStyle name="Input 9 3 5 4 3" xfId="33919" xr:uid="{00000000-0005-0000-0000-00007A840000}"/>
    <cellStyle name="Input 9 3 5 4 4" xfId="33920" xr:uid="{00000000-0005-0000-0000-00007B840000}"/>
    <cellStyle name="Input 9 3 5 4 5" xfId="33921" xr:uid="{00000000-0005-0000-0000-00007C840000}"/>
    <cellStyle name="Input 9 3 5 4 6" xfId="33922" xr:uid="{00000000-0005-0000-0000-00007D840000}"/>
    <cellStyle name="Input 9 3 5 5" xfId="33923" xr:uid="{00000000-0005-0000-0000-00007E840000}"/>
    <cellStyle name="Input 9 3 5 6" xfId="33924" xr:uid="{00000000-0005-0000-0000-00007F840000}"/>
    <cellStyle name="Input 9 3 5 7" xfId="33925" xr:uid="{00000000-0005-0000-0000-000080840000}"/>
    <cellStyle name="Input 9 3 5 8" xfId="33926" xr:uid="{00000000-0005-0000-0000-000081840000}"/>
    <cellStyle name="Input 9 3 6" xfId="33927" xr:uid="{00000000-0005-0000-0000-000082840000}"/>
    <cellStyle name="Input 9 3 6 2" xfId="33928" xr:uid="{00000000-0005-0000-0000-000083840000}"/>
    <cellStyle name="Input 9 3 6 2 2" xfId="33929" xr:uid="{00000000-0005-0000-0000-000084840000}"/>
    <cellStyle name="Input 9 3 6 2 2 2" xfId="33930" xr:uid="{00000000-0005-0000-0000-000085840000}"/>
    <cellStyle name="Input 9 3 6 2 2 3" xfId="33931" xr:uid="{00000000-0005-0000-0000-000086840000}"/>
    <cellStyle name="Input 9 3 6 2 2 4" xfId="33932" xr:uid="{00000000-0005-0000-0000-000087840000}"/>
    <cellStyle name="Input 9 3 6 2 2 5" xfId="33933" xr:uid="{00000000-0005-0000-0000-000088840000}"/>
    <cellStyle name="Input 9 3 6 2 2 6" xfId="33934" xr:uid="{00000000-0005-0000-0000-000089840000}"/>
    <cellStyle name="Input 9 3 6 2 3" xfId="33935" xr:uid="{00000000-0005-0000-0000-00008A840000}"/>
    <cellStyle name="Input 9 3 6 2 4" xfId="33936" xr:uid="{00000000-0005-0000-0000-00008B840000}"/>
    <cellStyle name="Input 9 3 6 2 5" xfId="33937" xr:uid="{00000000-0005-0000-0000-00008C840000}"/>
    <cellStyle name="Input 9 3 6 2 6" xfId="33938" xr:uid="{00000000-0005-0000-0000-00008D840000}"/>
    <cellStyle name="Input 9 3 6 3" xfId="33939" xr:uid="{00000000-0005-0000-0000-00008E840000}"/>
    <cellStyle name="Input 9 3 6 3 2" xfId="33940" xr:uid="{00000000-0005-0000-0000-00008F840000}"/>
    <cellStyle name="Input 9 3 6 3 2 2" xfId="33941" xr:uid="{00000000-0005-0000-0000-000090840000}"/>
    <cellStyle name="Input 9 3 6 3 2 3" xfId="33942" xr:uid="{00000000-0005-0000-0000-000091840000}"/>
    <cellStyle name="Input 9 3 6 3 2 4" xfId="33943" xr:uid="{00000000-0005-0000-0000-000092840000}"/>
    <cellStyle name="Input 9 3 6 3 2 5" xfId="33944" xr:uid="{00000000-0005-0000-0000-000093840000}"/>
    <cellStyle name="Input 9 3 6 3 2 6" xfId="33945" xr:uid="{00000000-0005-0000-0000-000094840000}"/>
    <cellStyle name="Input 9 3 6 3 3" xfId="33946" xr:uid="{00000000-0005-0000-0000-000095840000}"/>
    <cellStyle name="Input 9 3 6 3 4" xfId="33947" xr:uid="{00000000-0005-0000-0000-000096840000}"/>
    <cellStyle name="Input 9 3 6 3 5" xfId="33948" xr:uid="{00000000-0005-0000-0000-000097840000}"/>
    <cellStyle name="Input 9 3 6 3 6" xfId="33949" xr:uid="{00000000-0005-0000-0000-000098840000}"/>
    <cellStyle name="Input 9 3 6 4" xfId="33950" xr:uid="{00000000-0005-0000-0000-000099840000}"/>
    <cellStyle name="Input 9 3 6 4 2" xfId="33951" xr:uid="{00000000-0005-0000-0000-00009A840000}"/>
    <cellStyle name="Input 9 3 6 4 3" xfId="33952" xr:uid="{00000000-0005-0000-0000-00009B840000}"/>
    <cellStyle name="Input 9 3 6 4 4" xfId="33953" xr:uid="{00000000-0005-0000-0000-00009C840000}"/>
    <cellStyle name="Input 9 3 6 4 5" xfId="33954" xr:uid="{00000000-0005-0000-0000-00009D840000}"/>
    <cellStyle name="Input 9 3 6 4 6" xfId="33955" xr:uid="{00000000-0005-0000-0000-00009E840000}"/>
    <cellStyle name="Input 9 3 6 5" xfId="33956" xr:uid="{00000000-0005-0000-0000-00009F840000}"/>
    <cellStyle name="Input 9 3 6 6" xfId="33957" xr:uid="{00000000-0005-0000-0000-0000A0840000}"/>
    <cellStyle name="Input 9 3 6 7" xfId="33958" xr:uid="{00000000-0005-0000-0000-0000A1840000}"/>
    <cellStyle name="Input 9 3 6 8" xfId="33959" xr:uid="{00000000-0005-0000-0000-0000A2840000}"/>
    <cellStyle name="Input 9 3 7" xfId="33960" xr:uid="{00000000-0005-0000-0000-0000A3840000}"/>
    <cellStyle name="Input 9 3 7 2" xfId="33961" xr:uid="{00000000-0005-0000-0000-0000A4840000}"/>
    <cellStyle name="Input 9 3 7 2 2" xfId="33962" xr:uid="{00000000-0005-0000-0000-0000A5840000}"/>
    <cellStyle name="Input 9 3 7 2 3" xfId="33963" xr:uid="{00000000-0005-0000-0000-0000A6840000}"/>
    <cellStyle name="Input 9 3 7 2 4" xfId="33964" xr:uid="{00000000-0005-0000-0000-0000A7840000}"/>
    <cellStyle name="Input 9 3 7 2 5" xfId="33965" xr:uid="{00000000-0005-0000-0000-0000A8840000}"/>
    <cellStyle name="Input 9 3 7 2 6" xfId="33966" xr:uid="{00000000-0005-0000-0000-0000A9840000}"/>
    <cellStyle name="Input 9 3 7 3" xfId="33967" xr:uid="{00000000-0005-0000-0000-0000AA840000}"/>
    <cellStyle name="Input 9 3 7 4" xfId="33968" xr:uid="{00000000-0005-0000-0000-0000AB840000}"/>
    <cellStyle name="Input 9 3 7 5" xfId="33969" xr:uid="{00000000-0005-0000-0000-0000AC840000}"/>
    <cellStyle name="Input 9 3 7 6" xfId="33970" xr:uid="{00000000-0005-0000-0000-0000AD840000}"/>
    <cellStyle name="Input 9 3 8" xfId="33971" xr:uid="{00000000-0005-0000-0000-0000AE840000}"/>
    <cellStyle name="Input 9 3 8 2" xfId="33972" xr:uid="{00000000-0005-0000-0000-0000AF840000}"/>
    <cellStyle name="Input 9 3 8 2 2" xfId="33973" xr:uid="{00000000-0005-0000-0000-0000B0840000}"/>
    <cellStyle name="Input 9 3 8 2 3" xfId="33974" xr:uid="{00000000-0005-0000-0000-0000B1840000}"/>
    <cellStyle name="Input 9 3 8 2 4" xfId="33975" xr:uid="{00000000-0005-0000-0000-0000B2840000}"/>
    <cellStyle name="Input 9 3 8 2 5" xfId="33976" xr:uid="{00000000-0005-0000-0000-0000B3840000}"/>
    <cellStyle name="Input 9 3 8 2 6" xfId="33977" xr:uid="{00000000-0005-0000-0000-0000B4840000}"/>
    <cellStyle name="Input 9 3 8 3" xfId="33978" xr:uid="{00000000-0005-0000-0000-0000B5840000}"/>
    <cellStyle name="Input 9 3 8 4" xfId="33979" xr:uid="{00000000-0005-0000-0000-0000B6840000}"/>
    <cellStyle name="Input 9 3 8 5" xfId="33980" xr:uid="{00000000-0005-0000-0000-0000B7840000}"/>
    <cellStyle name="Input 9 3 8 6" xfId="33981" xr:uid="{00000000-0005-0000-0000-0000B8840000}"/>
    <cellStyle name="Input 9 3 9" xfId="33982" xr:uid="{00000000-0005-0000-0000-0000B9840000}"/>
    <cellStyle name="Input 9 3 9 2" xfId="33983" xr:uid="{00000000-0005-0000-0000-0000BA840000}"/>
    <cellStyle name="Input 9 3 9 3" xfId="33984" xr:uid="{00000000-0005-0000-0000-0000BB840000}"/>
    <cellStyle name="Input 9 3 9 4" xfId="33985" xr:uid="{00000000-0005-0000-0000-0000BC840000}"/>
    <cellStyle name="Input 9 3 9 5" xfId="33986" xr:uid="{00000000-0005-0000-0000-0000BD840000}"/>
    <cellStyle name="Input 9 3 9 6" xfId="33987" xr:uid="{00000000-0005-0000-0000-0000BE840000}"/>
    <cellStyle name="Input 9 4" xfId="33988" xr:uid="{00000000-0005-0000-0000-0000BF840000}"/>
    <cellStyle name="Input 9 4 2" xfId="33989" xr:uid="{00000000-0005-0000-0000-0000C0840000}"/>
    <cellStyle name="Input 9 4 2 2" xfId="33990" xr:uid="{00000000-0005-0000-0000-0000C1840000}"/>
    <cellStyle name="Input 9 4 2 2 2" xfId="33991" xr:uid="{00000000-0005-0000-0000-0000C2840000}"/>
    <cellStyle name="Input 9 4 2 2 3" xfId="33992" xr:uid="{00000000-0005-0000-0000-0000C3840000}"/>
    <cellStyle name="Input 9 4 2 2 4" xfId="33993" xr:uid="{00000000-0005-0000-0000-0000C4840000}"/>
    <cellStyle name="Input 9 4 2 2 5" xfId="33994" xr:uid="{00000000-0005-0000-0000-0000C5840000}"/>
    <cellStyle name="Input 9 4 2 2 6" xfId="33995" xr:uid="{00000000-0005-0000-0000-0000C6840000}"/>
    <cellStyle name="Input 9 4 2 3" xfId="33996" xr:uid="{00000000-0005-0000-0000-0000C7840000}"/>
    <cellStyle name="Input 9 4 2 4" xfId="33997" xr:uid="{00000000-0005-0000-0000-0000C8840000}"/>
    <cellStyle name="Input 9 4 2 5" xfId="33998" xr:uid="{00000000-0005-0000-0000-0000C9840000}"/>
    <cellStyle name="Input 9 4 2 6" xfId="33999" xr:uid="{00000000-0005-0000-0000-0000CA840000}"/>
    <cellStyle name="Input 9 4 3" xfId="34000" xr:uid="{00000000-0005-0000-0000-0000CB840000}"/>
    <cellStyle name="Input 9 4 3 2" xfId="34001" xr:uid="{00000000-0005-0000-0000-0000CC840000}"/>
    <cellStyle name="Input 9 4 3 2 2" xfId="34002" xr:uid="{00000000-0005-0000-0000-0000CD840000}"/>
    <cellStyle name="Input 9 4 3 2 3" xfId="34003" xr:uid="{00000000-0005-0000-0000-0000CE840000}"/>
    <cellStyle name="Input 9 4 3 2 4" xfId="34004" xr:uid="{00000000-0005-0000-0000-0000CF840000}"/>
    <cellStyle name="Input 9 4 3 2 5" xfId="34005" xr:uid="{00000000-0005-0000-0000-0000D0840000}"/>
    <cellStyle name="Input 9 4 3 2 6" xfId="34006" xr:uid="{00000000-0005-0000-0000-0000D1840000}"/>
    <cellStyle name="Input 9 4 3 3" xfId="34007" xr:uid="{00000000-0005-0000-0000-0000D2840000}"/>
    <cellStyle name="Input 9 4 3 4" xfId="34008" xr:uid="{00000000-0005-0000-0000-0000D3840000}"/>
    <cellStyle name="Input 9 4 3 5" xfId="34009" xr:uid="{00000000-0005-0000-0000-0000D4840000}"/>
    <cellStyle name="Input 9 4 3 6" xfId="34010" xr:uid="{00000000-0005-0000-0000-0000D5840000}"/>
    <cellStyle name="Input 9 4 4" xfId="34011" xr:uid="{00000000-0005-0000-0000-0000D6840000}"/>
    <cellStyle name="Input 9 4 4 2" xfId="34012" xr:uid="{00000000-0005-0000-0000-0000D7840000}"/>
    <cellStyle name="Input 9 4 4 3" xfId="34013" xr:uid="{00000000-0005-0000-0000-0000D8840000}"/>
    <cellStyle name="Input 9 4 4 4" xfId="34014" xr:uid="{00000000-0005-0000-0000-0000D9840000}"/>
    <cellStyle name="Input 9 4 4 5" xfId="34015" xr:uid="{00000000-0005-0000-0000-0000DA840000}"/>
    <cellStyle name="Input 9 4 4 6" xfId="34016" xr:uid="{00000000-0005-0000-0000-0000DB840000}"/>
    <cellStyle name="Input 9 4 5" xfId="34017" xr:uid="{00000000-0005-0000-0000-0000DC840000}"/>
    <cellStyle name="Input 9 4 6" xfId="34018" xr:uid="{00000000-0005-0000-0000-0000DD840000}"/>
    <cellStyle name="Input 9 4 7" xfId="34019" xr:uid="{00000000-0005-0000-0000-0000DE840000}"/>
    <cellStyle name="Input 9 4 8" xfId="34020" xr:uid="{00000000-0005-0000-0000-0000DF840000}"/>
    <cellStyle name="Input 9 5" xfId="34021" xr:uid="{00000000-0005-0000-0000-0000E0840000}"/>
    <cellStyle name="Input 9 5 2" xfId="34022" xr:uid="{00000000-0005-0000-0000-0000E1840000}"/>
    <cellStyle name="Input 9 5 2 2" xfId="34023" xr:uid="{00000000-0005-0000-0000-0000E2840000}"/>
    <cellStyle name="Input 9 5 2 2 2" xfId="34024" xr:uid="{00000000-0005-0000-0000-0000E3840000}"/>
    <cellStyle name="Input 9 5 2 2 3" xfId="34025" xr:uid="{00000000-0005-0000-0000-0000E4840000}"/>
    <cellStyle name="Input 9 5 2 2 4" xfId="34026" xr:uid="{00000000-0005-0000-0000-0000E5840000}"/>
    <cellStyle name="Input 9 5 2 2 5" xfId="34027" xr:uid="{00000000-0005-0000-0000-0000E6840000}"/>
    <cellStyle name="Input 9 5 2 2 6" xfId="34028" xr:uid="{00000000-0005-0000-0000-0000E7840000}"/>
    <cellStyle name="Input 9 5 2 3" xfId="34029" xr:uid="{00000000-0005-0000-0000-0000E8840000}"/>
    <cellStyle name="Input 9 5 2 4" xfId="34030" xr:uid="{00000000-0005-0000-0000-0000E9840000}"/>
    <cellStyle name="Input 9 5 2 5" xfId="34031" xr:uid="{00000000-0005-0000-0000-0000EA840000}"/>
    <cellStyle name="Input 9 5 2 6" xfId="34032" xr:uid="{00000000-0005-0000-0000-0000EB840000}"/>
    <cellStyle name="Input 9 5 3" xfId="34033" xr:uid="{00000000-0005-0000-0000-0000EC840000}"/>
    <cellStyle name="Input 9 5 3 2" xfId="34034" xr:uid="{00000000-0005-0000-0000-0000ED840000}"/>
    <cellStyle name="Input 9 5 3 2 2" xfId="34035" xr:uid="{00000000-0005-0000-0000-0000EE840000}"/>
    <cellStyle name="Input 9 5 3 2 3" xfId="34036" xr:uid="{00000000-0005-0000-0000-0000EF840000}"/>
    <cellStyle name="Input 9 5 3 2 4" xfId="34037" xr:uid="{00000000-0005-0000-0000-0000F0840000}"/>
    <cellStyle name="Input 9 5 3 2 5" xfId="34038" xr:uid="{00000000-0005-0000-0000-0000F1840000}"/>
    <cellStyle name="Input 9 5 3 2 6" xfId="34039" xr:uid="{00000000-0005-0000-0000-0000F2840000}"/>
    <cellStyle name="Input 9 5 3 3" xfId="34040" xr:uid="{00000000-0005-0000-0000-0000F3840000}"/>
    <cellStyle name="Input 9 5 3 4" xfId="34041" xr:uid="{00000000-0005-0000-0000-0000F4840000}"/>
    <cellStyle name="Input 9 5 3 5" xfId="34042" xr:uid="{00000000-0005-0000-0000-0000F5840000}"/>
    <cellStyle name="Input 9 5 3 6" xfId="34043" xr:uid="{00000000-0005-0000-0000-0000F6840000}"/>
    <cellStyle name="Input 9 5 4" xfId="34044" xr:uid="{00000000-0005-0000-0000-0000F7840000}"/>
    <cellStyle name="Input 9 5 4 2" xfId="34045" xr:uid="{00000000-0005-0000-0000-0000F8840000}"/>
    <cellStyle name="Input 9 5 4 3" xfId="34046" xr:uid="{00000000-0005-0000-0000-0000F9840000}"/>
    <cellStyle name="Input 9 5 4 4" xfId="34047" xr:uid="{00000000-0005-0000-0000-0000FA840000}"/>
    <cellStyle name="Input 9 5 4 5" xfId="34048" xr:uid="{00000000-0005-0000-0000-0000FB840000}"/>
    <cellStyle name="Input 9 5 4 6" xfId="34049" xr:uid="{00000000-0005-0000-0000-0000FC840000}"/>
    <cellStyle name="Input 9 5 5" xfId="34050" xr:uid="{00000000-0005-0000-0000-0000FD840000}"/>
    <cellStyle name="Input 9 5 6" xfId="34051" xr:uid="{00000000-0005-0000-0000-0000FE840000}"/>
    <cellStyle name="Input 9 5 7" xfId="34052" xr:uid="{00000000-0005-0000-0000-0000FF840000}"/>
    <cellStyle name="Input 9 5 8" xfId="34053" xr:uid="{00000000-0005-0000-0000-000000850000}"/>
    <cellStyle name="Input 9 6" xfId="34054" xr:uid="{00000000-0005-0000-0000-000001850000}"/>
    <cellStyle name="Input 9 6 2" xfId="34055" xr:uid="{00000000-0005-0000-0000-000002850000}"/>
    <cellStyle name="Input 9 6 2 2" xfId="34056" xr:uid="{00000000-0005-0000-0000-000003850000}"/>
    <cellStyle name="Input 9 6 2 2 2" xfId="34057" xr:uid="{00000000-0005-0000-0000-000004850000}"/>
    <cellStyle name="Input 9 6 2 2 3" xfId="34058" xr:uid="{00000000-0005-0000-0000-000005850000}"/>
    <cellStyle name="Input 9 6 2 2 4" xfId="34059" xr:uid="{00000000-0005-0000-0000-000006850000}"/>
    <cellStyle name="Input 9 6 2 2 5" xfId="34060" xr:uid="{00000000-0005-0000-0000-000007850000}"/>
    <cellStyle name="Input 9 6 2 2 6" xfId="34061" xr:uid="{00000000-0005-0000-0000-000008850000}"/>
    <cellStyle name="Input 9 6 2 3" xfId="34062" xr:uid="{00000000-0005-0000-0000-000009850000}"/>
    <cellStyle name="Input 9 6 2 4" xfId="34063" xr:uid="{00000000-0005-0000-0000-00000A850000}"/>
    <cellStyle name="Input 9 6 2 5" xfId="34064" xr:uid="{00000000-0005-0000-0000-00000B850000}"/>
    <cellStyle name="Input 9 6 2 6" xfId="34065" xr:uid="{00000000-0005-0000-0000-00000C850000}"/>
    <cellStyle name="Input 9 6 3" xfId="34066" xr:uid="{00000000-0005-0000-0000-00000D850000}"/>
    <cellStyle name="Input 9 6 3 2" xfId="34067" xr:uid="{00000000-0005-0000-0000-00000E850000}"/>
    <cellStyle name="Input 9 6 3 2 2" xfId="34068" xr:uid="{00000000-0005-0000-0000-00000F850000}"/>
    <cellStyle name="Input 9 6 3 2 3" xfId="34069" xr:uid="{00000000-0005-0000-0000-000010850000}"/>
    <cellStyle name="Input 9 6 3 2 4" xfId="34070" xr:uid="{00000000-0005-0000-0000-000011850000}"/>
    <cellStyle name="Input 9 6 3 2 5" xfId="34071" xr:uid="{00000000-0005-0000-0000-000012850000}"/>
    <cellStyle name="Input 9 6 3 2 6" xfId="34072" xr:uid="{00000000-0005-0000-0000-000013850000}"/>
    <cellStyle name="Input 9 6 3 3" xfId="34073" xr:uid="{00000000-0005-0000-0000-000014850000}"/>
    <cellStyle name="Input 9 6 3 4" xfId="34074" xr:uid="{00000000-0005-0000-0000-000015850000}"/>
    <cellStyle name="Input 9 6 3 5" xfId="34075" xr:uid="{00000000-0005-0000-0000-000016850000}"/>
    <cellStyle name="Input 9 6 3 6" xfId="34076" xr:uid="{00000000-0005-0000-0000-000017850000}"/>
    <cellStyle name="Input 9 6 4" xfId="34077" xr:uid="{00000000-0005-0000-0000-000018850000}"/>
    <cellStyle name="Input 9 6 4 2" xfId="34078" xr:uid="{00000000-0005-0000-0000-000019850000}"/>
    <cellStyle name="Input 9 6 4 3" xfId="34079" xr:uid="{00000000-0005-0000-0000-00001A850000}"/>
    <cellStyle name="Input 9 6 4 4" xfId="34080" xr:uid="{00000000-0005-0000-0000-00001B850000}"/>
    <cellStyle name="Input 9 6 4 5" xfId="34081" xr:uid="{00000000-0005-0000-0000-00001C850000}"/>
    <cellStyle name="Input 9 6 4 6" xfId="34082" xr:uid="{00000000-0005-0000-0000-00001D850000}"/>
    <cellStyle name="Input 9 6 5" xfId="34083" xr:uid="{00000000-0005-0000-0000-00001E850000}"/>
    <cellStyle name="Input 9 6 6" xfId="34084" xr:uid="{00000000-0005-0000-0000-00001F850000}"/>
    <cellStyle name="Input 9 6 7" xfId="34085" xr:uid="{00000000-0005-0000-0000-000020850000}"/>
    <cellStyle name="Input 9 6 8" xfId="34086" xr:uid="{00000000-0005-0000-0000-000021850000}"/>
    <cellStyle name="Input 9 7" xfId="34087" xr:uid="{00000000-0005-0000-0000-000022850000}"/>
    <cellStyle name="Input 9 7 2" xfId="34088" xr:uid="{00000000-0005-0000-0000-000023850000}"/>
    <cellStyle name="Input 9 7 2 2" xfId="34089" xr:uid="{00000000-0005-0000-0000-000024850000}"/>
    <cellStyle name="Input 9 7 2 3" xfId="34090" xr:uid="{00000000-0005-0000-0000-000025850000}"/>
    <cellStyle name="Input 9 7 2 4" xfId="34091" xr:uid="{00000000-0005-0000-0000-000026850000}"/>
    <cellStyle name="Input 9 7 2 5" xfId="34092" xr:uid="{00000000-0005-0000-0000-000027850000}"/>
    <cellStyle name="Input 9 7 2 6" xfId="34093" xr:uid="{00000000-0005-0000-0000-000028850000}"/>
    <cellStyle name="Input 9 7 3" xfId="34094" xr:uid="{00000000-0005-0000-0000-000029850000}"/>
    <cellStyle name="Input 9 7 4" xfId="34095" xr:uid="{00000000-0005-0000-0000-00002A850000}"/>
    <cellStyle name="Input 9 7 5" xfId="34096" xr:uid="{00000000-0005-0000-0000-00002B850000}"/>
    <cellStyle name="Input 9 7 6" xfId="34097" xr:uid="{00000000-0005-0000-0000-00002C850000}"/>
    <cellStyle name="Input 9 8" xfId="34098" xr:uid="{00000000-0005-0000-0000-00002D850000}"/>
    <cellStyle name="Input 9 8 2" xfId="34099" xr:uid="{00000000-0005-0000-0000-00002E850000}"/>
    <cellStyle name="Input 9 8 2 2" xfId="34100" xr:uid="{00000000-0005-0000-0000-00002F850000}"/>
    <cellStyle name="Input 9 8 2 3" xfId="34101" xr:uid="{00000000-0005-0000-0000-000030850000}"/>
    <cellStyle name="Input 9 8 2 4" xfId="34102" xr:uid="{00000000-0005-0000-0000-000031850000}"/>
    <cellStyle name="Input 9 8 2 5" xfId="34103" xr:uid="{00000000-0005-0000-0000-000032850000}"/>
    <cellStyle name="Input 9 8 2 6" xfId="34104" xr:uid="{00000000-0005-0000-0000-000033850000}"/>
    <cellStyle name="Input 9 8 3" xfId="34105" xr:uid="{00000000-0005-0000-0000-000034850000}"/>
    <cellStyle name="Input 9 8 4" xfId="34106" xr:uid="{00000000-0005-0000-0000-000035850000}"/>
    <cellStyle name="Input 9 8 5" xfId="34107" xr:uid="{00000000-0005-0000-0000-000036850000}"/>
    <cellStyle name="Input 9 8 6" xfId="34108" xr:uid="{00000000-0005-0000-0000-000037850000}"/>
    <cellStyle name="Input 9 9" xfId="34109" xr:uid="{00000000-0005-0000-0000-000038850000}"/>
    <cellStyle name="Input 9 9 2" xfId="34110" xr:uid="{00000000-0005-0000-0000-000039850000}"/>
    <cellStyle name="Input 9 9 3" xfId="34111" xr:uid="{00000000-0005-0000-0000-00003A850000}"/>
    <cellStyle name="Input 9 9 4" xfId="34112" xr:uid="{00000000-0005-0000-0000-00003B850000}"/>
    <cellStyle name="Input 9 9 5" xfId="34113" xr:uid="{00000000-0005-0000-0000-00003C850000}"/>
    <cellStyle name="Input 9 9 6" xfId="34114" xr:uid="{00000000-0005-0000-0000-00003D850000}"/>
    <cellStyle name="InputCell" xfId="34115" xr:uid="{00000000-0005-0000-0000-00003E850000}"/>
    <cellStyle name="InputCell 2" xfId="34116" xr:uid="{00000000-0005-0000-0000-00003F850000}"/>
    <cellStyle name="Jim" xfId="34117" xr:uid="{00000000-0005-0000-0000-000040850000}"/>
    <cellStyle name="Label" xfId="34118" xr:uid="{00000000-0005-0000-0000-000041850000}"/>
    <cellStyle name="Label 2" xfId="34119" xr:uid="{00000000-0005-0000-0000-000042850000}"/>
    <cellStyle name="Link Currency (0)" xfId="34120" xr:uid="{00000000-0005-0000-0000-000043850000}"/>
    <cellStyle name="Link Currency (2)" xfId="34121" xr:uid="{00000000-0005-0000-0000-000044850000}"/>
    <cellStyle name="Link Units (0)" xfId="34122" xr:uid="{00000000-0005-0000-0000-000045850000}"/>
    <cellStyle name="Link Units (1)" xfId="34123" xr:uid="{00000000-0005-0000-0000-000046850000}"/>
    <cellStyle name="Link Units (2)" xfId="34124" xr:uid="{00000000-0005-0000-0000-000047850000}"/>
    <cellStyle name="Linked Cell 2" xfId="34125" xr:uid="{00000000-0005-0000-0000-000048850000}"/>
    <cellStyle name="Linked Cell 2 2" xfId="34126" xr:uid="{00000000-0005-0000-0000-000049850000}"/>
    <cellStyle name="Linked Cell 3" xfId="34127" xr:uid="{00000000-0005-0000-0000-00004A850000}"/>
    <cellStyle name="Linked Cell 4" xfId="34128" xr:uid="{00000000-0005-0000-0000-00004B850000}"/>
    <cellStyle name="Locked" xfId="34129" xr:uid="{00000000-0005-0000-0000-00004C850000}"/>
    <cellStyle name="Logical" xfId="34130" xr:uid="{00000000-0005-0000-0000-00004D850000}"/>
    <cellStyle name="Logical 10" xfId="34131" xr:uid="{00000000-0005-0000-0000-00004E850000}"/>
    <cellStyle name="Logical 11" xfId="34132" xr:uid="{00000000-0005-0000-0000-00004F850000}"/>
    <cellStyle name="Logical 12" xfId="34133" xr:uid="{00000000-0005-0000-0000-000050850000}"/>
    <cellStyle name="Logical 13" xfId="34134" xr:uid="{00000000-0005-0000-0000-000051850000}"/>
    <cellStyle name="Logical 2" xfId="34135" xr:uid="{00000000-0005-0000-0000-000052850000}"/>
    <cellStyle name="Logical 2 10" xfId="34136" xr:uid="{00000000-0005-0000-0000-000053850000}"/>
    <cellStyle name="Logical 2 10 2" xfId="34137" xr:uid="{00000000-0005-0000-0000-000054850000}"/>
    <cellStyle name="Logical 2 10 3" xfId="34138" xr:uid="{00000000-0005-0000-0000-000055850000}"/>
    <cellStyle name="Logical 2 10 4" xfId="34139" xr:uid="{00000000-0005-0000-0000-000056850000}"/>
    <cellStyle name="Logical 2 10 5" xfId="34140" xr:uid="{00000000-0005-0000-0000-000057850000}"/>
    <cellStyle name="Logical 2 10 6" xfId="34141" xr:uid="{00000000-0005-0000-0000-000058850000}"/>
    <cellStyle name="Logical 2 11" xfId="34142" xr:uid="{00000000-0005-0000-0000-000059850000}"/>
    <cellStyle name="Logical 2 12" xfId="34143" xr:uid="{00000000-0005-0000-0000-00005A850000}"/>
    <cellStyle name="Logical 2 13" xfId="34144" xr:uid="{00000000-0005-0000-0000-00005B850000}"/>
    <cellStyle name="Logical 2 14" xfId="34145" xr:uid="{00000000-0005-0000-0000-00005C850000}"/>
    <cellStyle name="Logical 2 2" xfId="34146" xr:uid="{00000000-0005-0000-0000-00005D850000}"/>
    <cellStyle name="Logical 2 2 10" xfId="34147" xr:uid="{00000000-0005-0000-0000-00005E850000}"/>
    <cellStyle name="Logical 2 2 11" xfId="34148" xr:uid="{00000000-0005-0000-0000-00005F850000}"/>
    <cellStyle name="Logical 2 2 12" xfId="34149" xr:uid="{00000000-0005-0000-0000-000060850000}"/>
    <cellStyle name="Logical 2 2 13" xfId="34150" xr:uid="{00000000-0005-0000-0000-000061850000}"/>
    <cellStyle name="Logical 2 2 2" xfId="34151" xr:uid="{00000000-0005-0000-0000-000062850000}"/>
    <cellStyle name="Logical 2 2 2 2" xfId="34152" xr:uid="{00000000-0005-0000-0000-000063850000}"/>
    <cellStyle name="Logical 2 2 2 2 2" xfId="34153" xr:uid="{00000000-0005-0000-0000-000064850000}"/>
    <cellStyle name="Logical 2 2 2 2 2 2" xfId="34154" xr:uid="{00000000-0005-0000-0000-000065850000}"/>
    <cellStyle name="Logical 2 2 2 2 2 3" xfId="34155" xr:uid="{00000000-0005-0000-0000-000066850000}"/>
    <cellStyle name="Logical 2 2 2 2 2 4" xfId="34156" xr:uid="{00000000-0005-0000-0000-000067850000}"/>
    <cellStyle name="Logical 2 2 2 2 2 5" xfId="34157" xr:uid="{00000000-0005-0000-0000-000068850000}"/>
    <cellStyle name="Logical 2 2 2 2 2 6" xfId="34158" xr:uid="{00000000-0005-0000-0000-000069850000}"/>
    <cellStyle name="Logical 2 2 2 2 3" xfId="34159" xr:uid="{00000000-0005-0000-0000-00006A850000}"/>
    <cellStyle name="Logical 2 2 2 2 4" xfId="34160" xr:uid="{00000000-0005-0000-0000-00006B850000}"/>
    <cellStyle name="Logical 2 2 2 2 5" xfId="34161" xr:uid="{00000000-0005-0000-0000-00006C850000}"/>
    <cellStyle name="Logical 2 2 2 2 6" xfId="34162" xr:uid="{00000000-0005-0000-0000-00006D850000}"/>
    <cellStyle name="Logical 2 2 2 3" xfId="34163" xr:uid="{00000000-0005-0000-0000-00006E850000}"/>
    <cellStyle name="Logical 2 2 2 3 2" xfId="34164" xr:uid="{00000000-0005-0000-0000-00006F850000}"/>
    <cellStyle name="Logical 2 2 2 3 2 2" xfId="34165" xr:uid="{00000000-0005-0000-0000-000070850000}"/>
    <cellStyle name="Logical 2 2 2 3 2 3" xfId="34166" xr:uid="{00000000-0005-0000-0000-000071850000}"/>
    <cellStyle name="Logical 2 2 2 3 2 4" xfId="34167" xr:uid="{00000000-0005-0000-0000-000072850000}"/>
    <cellStyle name="Logical 2 2 2 3 2 5" xfId="34168" xr:uid="{00000000-0005-0000-0000-000073850000}"/>
    <cellStyle name="Logical 2 2 2 3 2 6" xfId="34169" xr:uid="{00000000-0005-0000-0000-000074850000}"/>
    <cellStyle name="Logical 2 2 2 3 3" xfId="34170" xr:uid="{00000000-0005-0000-0000-000075850000}"/>
    <cellStyle name="Logical 2 2 2 3 4" xfId="34171" xr:uid="{00000000-0005-0000-0000-000076850000}"/>
    <cellStyle name="Logical 2 2 2 3 5" xfId="34172" xr:uid="{00000000-0005-0000-0000-000077850000}"/>
    <cellStyle name="Logical 2 2 2 3 6" xfId="34173" xr:uid="{00000000-0005-0000-0000-000078850000}"/>
    <cellStyle name="Logical 2 2 2 4" xfId="34174" xr:uid="{00000000-0005-0000-0000-000079850000}"/>
    <cellStyle name="Logical 2 2 2 4 2" xfId="34175" xr:uid="{00000000-0005-0000-0000-00007A850000}"/>
    <cellStyle name="Logical 2 2 2 4 3" xfId="34176" xr:uid="{00000000-0005-0000-0000-00007B850000}"/>
    <cellStyle name="Logical 2 2 2 4 4" xfId="34177" xr:uid="{00000000-0005-0000-0000-00007C850000}"/>
    <cellStyle name="Logical 2 2 2 4 5" xfId="34178" xr:uid="{00000000-0005-0000-0000-00007D850000}"/>
    <cellStyle name="Logical 2 2 2 4 6" xfId="34179" xr:uid="{00000000-0005-0000-0000-00007E850000}"/>
    <cellStyle name="Logical 2 2 2 5" xfId="34180" xr:uid="{00000000-0005-0000-0000-00007F850000}"/>
    <cellStyle name="Logical 2 2 2 6" xfId="34181" xr:uid="{00000000-0005-0000-0000-000080850000}"/>
    <cellStyle name="Logical 2 2 2 7" xfId="34182" xr:uid="{00000000-0005-0000-0000-000081850000}"/>
    <cellStyle name="Logical 2 2 2 8" xfId="34183" xr:uid="{00000000-0005-0000-0000-000082850000}"/>
    <cellStyle name="Logical 2 2 3" xfId="34184" xr:uid="{00000000-0005-0000-0000-000083850000}"/>
    <cellStyle name="Logical 2 2 3 2" xfId="34185" xr:uid="{00000000-0005-0000-0000-000084850000}"/>
    <cellStyle name="Logical 2 2 3 2 2" xfId="34186" xr:uid="{00000000-0005-0000-0000-000085850000}"/>
    <cellStyle name="Logical 2 2 3 2 2 2" xfId="34187" xr:uid="{00000000-0005-0000-0000-000086850000}"/>
    <cellStyle name="Logical 2 2 3 2 2 3" xfId="34188" xr:uid="{00000000-0005-0000-0000-000087850000}"/>
    <cellStyle name="Logical 2 2 3 2 2 4" xfId="34189" xr:uid="{00000000-0005-0000-0000-000088850000}"/>
    <cellStyle name="Logical 2 2 3 2 2 5" xfId="34190" xr:uid="{00000000-0005-0000-0000-000089850000}"/>
    <cellStyle name="Logical 2 2 3 2 2 6" xfId="34191" xr:uid="{00000000-0005-0000-0000-00008A850000}"/>
    <cellStyle name="Logical 2 2 3 2 3" xfId="34192" xr:uid="{00000000-0005-0000-0000-00008B850000}"/>
    <cellStyle name="Logical 2 2 3 2 4" xfId="34193" xr:uid="{00000000-0005-0000-0000-00008C850000}"/>
    <cellStyle name="Logical 2 2 3 2 5" xfId="34194" xr:uid="{00000000-0005-0000-0000-00008D850000}"/>
    <cellStyle name="Logical 2 2 3 2 6" xfId="34195" xr:uid="{00000000-0005-0000-0000-00008E850000}"/>
    <cellStyle name="Logical 2 2 3 3" xfId="34196" xr:uid="{00000000-0005-0000-0000-00008F850000}"/>
    <cellStyle name="Logical 2 2 3 3 2" xfId="34197" xr:uid="{00000000-0005-0000-0000-000090850000}"/>
    <cellStyle name="Logical 2 2 3 3 2 2" xfId="34198" xr:uid="{00000000-0005-0000-0000-000091850000}"/>
    <cellStyle name="Logical 2 2 3 3 2 3" xfId="34199" xr:uid="{00000000-0005-0000-0000-000092850000}"/>
    <cellStyle name="Logical 2 2 3 3 2 4" xfId="34200" xr:uid="{00000000-0005-0000-0000-000093850000}"/>
    <cellStyle name="Logical 2 2 3 3 2 5" xfId="34201" xr:uid="{00000000-0005-0000-0000-000094850000}"/>
    <cellStyle name="Logical 2 2 3 3 2 6" xfId="34202" xr:uid="{00000000-0005-0000-0000-000095850000}"/>
    <cellStyle name="Logical 2 2 3 3 3" xfId="34203" xr:uid="{00000000-0005-0000-0000-000096850000}"/>
    <cellStyle name="Logical 2 2 3 3 4" xfId="34204" xr:uid="{00000000-0005-0000-0000-000097850000}"/>
    <cellStyle name="Logical 2 2 3 3 5" xfId="34205" xr:uid="{00000000-0005-0000-0000-000098850000}"/>
    <cellStyle name="Logical 2 2 3 3 6" xfId="34206" xr:uid="{00000000-0005-0000-0000-000099850000}"/>
    <cellStyle name="Logical 2 2 3 4" xfId="34207" xr:uid="{00000000-0005-0000-0000-00009A850000}"/>
    <cellStyle name="Logical 2 2 3 4 2" xfId="34208" xr:uid="{00000000-0005-0000-0000-00009B850000}"/>
    <cellStyle name="Logical 2 2 3 4 3" xfId="34209" xr:uid="{00000000-0005-0000-0000-00009C850000}"/>
    <cellStyle name="Logical 2 2 3 4 4" xfId="34210" xr:uid="{00000000-0005-0000-0000-00009D850000}"/>
    <cellStyle name="Logical 2 2 3 4 5" xfId="34211" xr:uid="{00000000-0005-0000-0000-00009E850000}"/>
    <cellStyle name="Logical 2 2 3 4 6" xfId="34212" xr:uid="{00000000-0005-0000-0000-00009F850000}"/>
    <cellStyle name="Logical 2 2 3 5" xfId="34213" xr:uid="{00000000-0005-0000-0000-0000A0850000}"/>
    <cellStyle name="Logical 2 2 3 6" xfId="34214" xr:uid="{00000000-0005-0000-0000-0000A1850000}"/>
    <cellStyle name="Logical 2 2 3 7" xfId="34215" xr:uid="{00000000-0005-0000-0000-0000A2850000}"/>
    <cellStyle name="Logical 2 2 3 8" xfId="34216" xr:uid="{00000000-0005-0000-0000-0000A3850000}"/>
    <cellStyle name="Logical 2 2 4" xfId="34217" xr:uid="{00000000-0005-0000-0000-0000A4850000}"/>
    <cellStyle name="Logical 2 2 4 2" xfId="34218" xr:uid="{00000000-0005-0000-0000-0000A5850000}"/>
    <cellStyle name="Logical 2 2 4 2 2" xfId="34219" xr:uid="{00000000-0005-0000-0000-0000A6850000}"/>
    <cellStyle name="Logical 2 2 4 2 2 2" xfId="34220" xr:uid="{00000000-0005-0000-0000-0000A7850000}"/>
    <cellStyle name="Logical 2 2 4 2 2 3" xfId="34221" xr:uid="{00000000-0005-0000-0000-0000A8850000}"/>
    <cellStyle name="Logical 2 2 4 2 2 4" xfId="34222" xr:uid="{00000000-0005-0000-0000-0000A9850000}"/>
    <cellStyle name="Logical 2 2 4 2 2 5" xfId="34223" xr:uid="{00000000-0005-0000-0000-0000AA850000}"/>
    <cellStyle name="Logical 2 2 4 2 2 6" xfId="34224" xr:uid="{00000000-0005-0000-0000-0000AB850000}"/>
    <cellStyle name="Logical 2 2 4 2 3" xfId="34225" xr:uid="{00000000-0005-0000-0000-0000AC850000}"/>
    <cellStyle name="Logical 2 2 4 2 4" xfId="34226" xr:uid="{00000000-0005-0000-0000-0000AD850000}"/>
    <cellStyle name="Logical 2 2 4 2 5" xfId="34227" xr:uid="{00000000-0005-0000-0000-0000AE850000}"/>
    <cellStyle name="Logical 2 2 4 2 6" xfId="34228" xr:uid="{00000000-0005-0000-0000-0000AF850000}"/>
    <cellStyle name="Logical 2 2 4 3" xfId="34229" xr:uid="{00000000-0005-0000-0000-0000B0850000}"/>
    <cellStyle name="Logical 2 2 4 3 2" xfId="34230" xr:uid="{00000000-0005-0000-0000-0000B1850000}"/>
    <cellStyle name="Logical 2 2 4 3 2 2" xfId="34231" xr:uid="{00000000-0005-0000-0000-0000B2850000}"/>
    <cellStyle name="Logical 2 2 4 3 2 3" xfId="34232" xr:uid="{00000000-0005-0000-0000-0000B3850000}"/>
    <cellStyle name="Logical 2 2 4 3 2 4" xfId="34233" xr:uid="{00000000-0005-0000-0000-0000B4850000}"/>
    <cellStyle name="Logical 2 2 4 3 2 5" xfId="34234" xr:uid="{00000000-0005-0000-0000-0000B5850000}"/>
    <cellStyle name="Logical 2 2 4 3 2 6" xfId="34235" xr:uid="{00000000-0005-0000-0000-0000B6850000}"/>
    <cellStyle name="Logical 2 2 4 3 3" xfId="34236" xr:uid="{00000000-0005-0000-0000-0000B7850000}"/>
    <cellStyle name="Logical 2 2 4 3 4" xfId="34237" xr:uid="{00000000-0005-0000-0000-0000B8850000}"/>
    <cellStyle name="Logical 2 2 4 3 5" xfId="34238" xr:uid="{00000000-0005-0000-0000-0000B9850000}"/>
    <cellStyle name="Logical 2 2 4 3 6" xfId="34239" xr:uid="{00000000-0005-0000-0000-0000BA850000}"/>
    <cellStyle name="Logical 2 2 4 4" xfId="34240" xr:uid="{00000000-0005-0000-0000-0000BB850000}"/>
    <cellStyle name="Logical 2 2 4 4 2" xfId="34241" xr:uid="{00000000-0005-0000-0000-0000BC850000}"/>
    <cellStyle name="Logical 2 2 4 4 3" xfId="34242" xr:uid="{00000000-0005-0000-0000-0000BD850000}"/>
    <cellStyle name="Logical 2 2 4 4 4" xfId="34243" xr:uid="{00000000-0005-0000-0000-0000BE850000}"/>
    <cellStyle name="Logical 2 2 4 4 5" xfId="34244" xr:uid="{00000000-0005-0000-0000-0000BF850000}"/>
    <cellStyle name="Logical 2 2 4 4 6" xfId="34245" xr:uid="{00000000-0005-0000-0000-0000C0850000}"/>
    <cellStyle name="Logical 2 2 4 5" xfId="34246" xr:uid="{00000000-0005-0000-0000-0000C1850000}"/>
    <cellStyle name="Logical 2 2 4 6" xfId="34247" xr:uid="{00000000-0005-0000-0000-0000C2850000}"/>
    <cellStyle name="Logical 2 2 4 7" xfId="34248" xr:uid="{00000000-0005-0000-0000-0000C3850000}"/>
    <cellStyle name="Logical 2 2 4 8" xfId="34249" xr:uid="{00000000-0005-0000-0000-0000C4850000}"/>
    <cellStyle name="Logical 2 2 5" xfId="34250" xr:uid="{00000000-0005-0000-0000-0000C5850000}"/>
    <cellStyle name="Logical 2 2 5 2" xfId="34251" xr:uid="{00000000-0005-0000-0000-0000C6850000}"/>
    <cellStyle name="Logical 2 2 5 2 2" xfId="34252" xr:uid="{00000000-0005-0000-0000-0000C7850000}"/>
    <cellStyle name="Logical 2 2 5 2 2 2" xfId="34253" xr:uid="{00000000-0005-0000-0000-0000C8850000}"/>
    <cellStyle name="Logical 2 2 5 2 2 3" xfId="34254" xr:uid="{00000000-0005-0000-0000-0000C9850000}"/>
    <cellStyle name="Logical 2 2 5 2 2 4" xfId="34255" xr:uid="{00000000-0005-0000-0000-0000CA850000}"/>
    <cellStyle name="Logical 2 2 5 2 2 5" xfId="34256" xr:uid="{00000000-0005-0000-0000-0000CB850000}"/>
    <cellStyle name="Logical 2 2 5 2 2 6" xfId="34257" xr:uid="{00000000-0005-0000-0000-0000CC850000}"/>
    <cellStyle name="Logical 2 2 5 2 3" xfId="34258" xr:uid="{00000000-0005-0000-0000-0000CD850000}"/>
    <cellStyle name="Logical 2 2 5 2 4" xfId="34259" xr:uid="{00000000-0005-0000-0000-0000CE850000}"/>
    <cellStyle name="Logical 2 2 5 2 5" xfId="34260" xr:uid="{00000000-0005-0000-0000-0000CF850000}"/>
    <cellStyle name="Logical 2 2 5 2 6" xfId="34261" xr:uid="{00000000-0005-0000-0000-0000D0850000}"/>
    <cellStyle name="Logical 2 2 5 3" xfId="34262" xr:uid="{00000000-0005-0000-0000-0000D1850000}"/>
    <cellStyle name="Logical 2 2 5 3 2" xfId="34263" xr:uid="{00000000-0005-0000-0000-0000D2850000}"/>
    <cellStyle name="Logical 2 2 5 3 2 2" xfId="34264" xr:uid="{00000000-0005-0000-0000-0000D3850000}"/>
    <cellStyle name="Logical 2 2 5 3 2 3" xfId="34265" xr:uid="{00000000-0005-0000-0000-0000D4850000}"/>
    <cellStyle name="Logical 2 2 5 3 2 4" xfId="34266" xr:uid="{00000000-0005-0000-0000-0000D5850000}"/>
    <cellStyle name="Logical 2 2 5 3 2 5" xfId="34267" xr:uid="{00000000-0005-0000-0000-0000D6850000}"/>
    <cellStyle name="Logical 2 2 5 3 2 6" xfId="34268" xr:uid="{00000000-0005-0000-0000-0000D7850000}"/>
    <cellStyle name="Logical 2 2 5 3 3" xfId="34269" xr:uid="{00000000-0005-0000-0000-0000D8850000}"/>
    <cellStyle name="Logical 2 2 5 3 4" xfId="34270" xr:uid="{00000000-0005-0000-0000-0000D9850000}"/>
    <cellStyle name="Logical 2 2 5 3 5" xfId="34271" xr:uid="{00000000-0005-0000-0000-0000DA850000}"/>
    <cellStyle name="Logical 2 2 5 3 6" xfId="34272" xr:uid="{00000000-0005-0000-0000-0000DB850000}"/>
    <cellStyle name="Logical 2 2 5 4" xfId="34273" xr:uid="{00000000-0005-0000-0000-0000DC850000}"/>
    <cellStyle name="Logical 2 2 5 4 2" xfId="34274" xr:uid="{00000000-0005-0000-0000-0000DD850000}"/>
    <cellStyle name="Logical 2 2 5 4 3" xfId="34275" xr:uid="{00000000-0005-0000-0000-0000DE850000}"/>
    <cellStyle name="Logical 2 2 5 4 4" xfId="34276" xr:uid="{00000000-0005-0000-0000-0000DF850000}"/>
    <cellStyle name="Logical 2 2 5 4 5" xfId="34277" xr:uid="{00000000-0005-0000-0000-0000E0850000}"/>
    <cellStyle name="Logical 2 2 5 4 6" xfId="34278" xr:uid="{00000000-0005-0000-0000-0000E1850000}"/>
    <cellStyle name="Logical 2 2 5 5" xfId="34279" xr:uid="{00000000-0005-0000-0000-0000E2850000}"/>
    <cellStyle name="Logical 2 2 5 6" xfId="34280" xr:uid="{00000000-0005-0000-0000-0000E3850000}"/>
    <cellStyle name="Logical 2 2 5 7" xfId="34281" xr:uid="{00000000-0005-0000-0000-0000E4850000}"/>
    <cellStyle name="Logical 2 2 5 8" xfId="34282" xr:uid="{00000000-0005-0000-0000-0000E5850000}"/>
    <cellStyle name="Logical 2 2 6" xfId="34283" xr:uid="{00000000-0005-0000-0000-0000E6850000}"/>
    <cellStyle name="Logical 2 2 6 2" xfId="34284" xr:uid="{00000000-0005-0000-0000-0000E7850000}"/>
    <cellStyle name="Logical 2 2 6 2 2" xfId="34285" xr:uid="{00000000-0005-0000-0000-0000E8850000}"/>
    <cellStyle name="Logical 2 2 6 2 2 2" xfId="34286" xr:uid="{00000000-0005-0000-0000-0000E9850000}"/>
    <cellStyle name="Logical 2 2 6 2 2 3" xfId="34287" xr:uid="{00000000-0005-0000-0000-0000EA850000}"/>
    <cellStyle name="Logical 2 2 6 2 2 4" xfId="34288" xr:uid="{00000000-0005-0000-0000-0000EB850000}"/>
    <cellStyle name="Logical 2 2 6 2 2 5" xfId="34289" xr:uid="{00000000-0005-0000-0000-0000EC850000}"/>
    <cellStyle name="Logical 2 2 6 2 2 6" xfId="34290" xr:uid="{00000000-0005-0000-0000-0000ED850000}"/>
    <cellStyle name="Logical 2 2 6 2 3" xfId="34291" xr:uid="{00000000-0005-0000-0000-0000EE850000}"/>
    <cellStyle name="Logical 2 2 6 2 4" xfId="34292" xr:uid="{00000000-0005-0000-0000-0000EF850000}"/>
    <cellStyle name="Logical 2 2 6 2 5" xfId="34293" xr:uid="{00000000-0005-0000-0000-0000F0850000}"/>
    <cellStyle name="Logical 2 2 6 2 6" xfId="34294" xr:uid="{00000000-0005-0000-0000-0000F1850000}"/>
    <cellStyle name="Logical 2 2 6 3" xfId="34295" xr:uid="{00000000-0005-0000-0000-0000F2850000}"/>
    <cellStyle name="Logical 2 2 6 3 2" xfId="34296" xr:uid="{00000000-0005-0000-0000-0000F3850000}"/>
    <cellStyle name="Logical 2 2 6 3 2 2" xfId="34297" xr:uid="{00000000-0005-0000-0000-0000F4850000}"/>
    <cellStyle name="Logical 2 2 6 3 2 3" xfId="34298" xr:uid="{00000000-0005-0000-0000-0000F5850000}"/>
    <cellStyle name="Logical 2 2 6 3 2 4" xfId="34299" xr:uid="{00000000-0005-0000-0000-0000F6850000}"/>
    <cellStyle name="Logical 2 2 6 3 2 5" xfId="34300" xr:uid="{00000000-0005-0000-0000-0000F7850000}"/>
    <cellStyle name="Logical 2 2 6 3 2 6" xfId="34301" xr:uid="{00000000-0005-0000-0000-0000F8850000}"/>
    <cellStyle name="Logical 2 2 6 3 3" xfId="34302" xr:uid="{00000000-0005-0000-0000-0000F9850000}"/>
    <cellStyle name="Logical 2 2 6 3 4" xfId="34303" xr:uid="{00000000-0005-0000-0000-0000FA850000}"/>
    <cellStyle name="Logical 2 2 6 3 5" xfId="34304" xr:uid="{00000000-0005-0000-0000-0000FB850000}"/>
    <cellStyle name="Logical 2 2 6 3 6" xfId="34305" xr:uid="{00000000-0005-0000-0000-0000FC850000}"/>
    <cellStyle name="Logical 2 2 6 4" xfId="34306" xr:uid="{00000000-0005-0000-0000-0000FD850000}"/>
    <cellStyle name="Logical 2 2 6 4 2" xfId="34307" xr:uid="{00000000-0005-0000-0000-0000FE850000}"/>
    <cellStyle name="Logical 2 2 6 4 3" xfId="34308" xr:uid="{00000000-0005-0000-0000-0000FF850000}"/>
    <cellStyle name="Logical 2 2 6 4 4" xfId="34309" xr:uid="{00000000-0005-0000-0000-000000860000}"/>
    <cellStyle name="Logical 2 2 6 4 5" xfId="34310" xr:uid="{00000000-0005-0000-0000-000001860000}"/>
    <cellStyle name="Logical 2 2 6 4 6" xfId="34311" xr:uid="{00000000-0005-0000-0000-000002860000}"/>
    <cellStyle name="Logical 2 2 6 5" xfId="34312" xr:uid="{00000000-0005-0000-0000-000003860000}"/>
    <cellStyle name="Logical 2 2 6 6" xfId="34313" xr:uid="{00000000-0005-0000-0000-000004860000}"/>
    <cellStyle name="Logical 2 2 6 7" xfId="34314" xr:uid="{00000000-0005-0000-0000-000005860000}"/>
    <cellStyle name="Logical 2 2 6 8" xfId="34315" xr:uid="{00000000-0005-0000-0000-000006860000}"/>
    <cellStyle name="Logical 2 2 7" xfId="34316" xr:uid="{00000000-0005-0000-0000-000007860000}"/>
    <cellStyle name="Logical 2 2 7 2" xfId="34317" xr:uid="{00000000-0005-0000-0000-000008860000}"/>
    <cellStyle name="Logical 2 2 7 2 2" xfId="34318" xr:uid="{00000000-0005-0000-0000-000009860000}"/>
    <cellStyle name="Logical 2 2 7 2 3" xfId="34319" xr:uid="{00000000-0005-0000-0000-00000A860000}"/>
    <cellStyle name="Logical 2 2 7 2 4" xfId="34320" xr:uid="{00000000-0005-0000-0000-00000B860000}"/>
    <cellStyle name="Logical 2 2 7 2 5" xfId="34321" xr:uid="{00000000-0005-0000-0000-00000C860000}"/>
    <cellStyle name="Logical 2 2 7 2 6" xfId="34322" xr:uid="{00000000-0005-0000-0000-00000D860000}"/>
    <cellStyle name="Logical 2 2 7 3" xfId="34323" xr:uid="{00000000-0005-0000-0000-00000E860000}"/>
    <cellStyle name="Logical 2 2 7 4" xfId="34324" xr:uid="{00000000-0005-0000-0000-00000F860000}"/>
    <cellStyle name="Logical 2 2 7 5" xfId="34325" xr:uid="{00000000-0005-0000-0000-000010860000}"/>
    <cellStyle name="Logical 2 2 7 6" xfId="34326" xr:uid="{00000000-0005-0000-0000-000011860000}"/>
    <cellStyle name="Logical 2 2 8" xfId="34327" xr:uid="{00000000-0005-0000-0000-000012860000}"/>
    <cellStyle name="Logical 2 2 8 2" xfId="34328" xr:uid="{00000000-0005-0000-0000-000013860000}"/>
    <cellStyle name="Logical 2 2 8 2 2" xfId="34329" xr:uid="{00000000-0005-0000-0000-000014860000}"/>
    <cellStyle name="Logical 2 2 8 2 3" xfId="34330" xr:uid="{00000000-0005-0000-0000-000015860000}"/>
    <cellStyle name="Logical 2 2 8 2 4" xfId="34331" xr:uid="{00000000-0005-0000-0000-000016860000}"/>
    <cellStyle name="Logical 2 2 8 2 5" xfId="34332" xr:uid="{00000000-0005-0000-0000-000017860000}"/>
    <cellStyle name="Logical 2 2 8 2 6" xfId="34333" xr:uid="{00000000-0005-0000-0000-000018860000}"/>
    <cellStyle name="Logical 2 2 8 3" xfId="34334" xr:uid="{00000000-0005-0000-0000-000019860000}"/>
    <cellStyle name="Logical 2 2 8 4" xfId="34335" xr:uid="{00000000-0005-0000-0000-00001A860000}"/>
    <cellStyle name="Logical 2 2 8 5" xfId="34336" xr:uid="{00000000-0005-0000-0000-00001B860000}"/>
    <cellStyle name="Logical 2 2 8 6" xfId="34337" xr:uid="{00000000-0005-0000-0000-00001C860000}"/>
    <cellStyle name="Logical 2 2 9" xfId="34338" xr:uid="{00000000-0005-0000-0000-00001D860000}"/>
    <cellStyle name="Logical 2 2 9 2" xfId="34339" xr:uid="{00000000-0005-0000-0000-00001E860000}"/>
    <cellStyle name="Logical 2 2 9 3" xfId="34340" xr:uid="{00000000-0005-0000-0000-00001F860000}"/>
    <cellStyle name="Logical 2 2 9 4" xfId="34341" xr:uid="{00000000-0005-0000-0000-000020860000}"/>
    <cellStyle name="Logical 2 2 9 5" xfId="34342" xr:uid="{00000000-0005-0000-0000-000021860000}"/>
    <cellStyle name="Logical 2 2 9 6" xfId="34343" xr:uid="{00000000-0005-0000-0000-000022860000}"/>
    <cellStyle name="Logical 2 3" xfId="34344" xr:uid="{00000000-0005-0000-0000-000023860000}"/>
    <cellStyle name="Logical 2 3 2" xfId="34345" xr:uid="{00000000-0005-0000-0000-000024860000}"/>
    <cellStyle name="Logical 2 3 2 2" xfId="34346" xr:uid="{00000000-0005-0000-0000-000025860000}"/>
    <cellStyle name="Logical 2 3 2 2 2" xfId="34347" xr:uid="{00000000-0005-0000-0000-000026860000}"/>
    <cellStyle name="Logical 2 3 2 2 3" xfId="34348" xr:uid="{00000000-0005-0000-0000-000027860000}"/>
    <cellStyle name="Logical 2 3 2 2 4" xfId="34349" xr:uid="{00000000-0005-0000-0000-000028860000}"/>
    <cellStyle name="Logical 2 3 2 2 5" xfId="34350" xr:uid="{00000000-0005-0000-0000-000029860000}"/>
    <cellStyle name="Logical 2 3 2 2 6" xfId="34351" xr:uid="{00000000-0005-0000-0000-00002A860000}"/>
    <cellStyle name="Logical 2 3 2 3" xfId="34352" xr:uid="{00000000-0005-0000-0000-00002B860000}"/>
    <cellStyle name="Logical 2 3 2 4" xfId="34353" xr:uid="{00000000-0005-0000-0000-00002C860000}"/>
    <cellStyle name="Logical 2 3 2 5" xfId="34354" xr:uid="{00000000-0005-0000-0000-00002D860000}"/>
    <cellStyle name="Logical 2 3 2 6" xfId="34355" xr:uid="{00000000-0005-0000-0000-00002E860000}"/>
    <cellStyle name="Logical 2 3 3" xfId="34356" xr:uid="{00000000-0005-0000-0000-00002F860000}"/>
    <cellStyle name="Logical 2 3 3 2" xfId="34357" xr:uid="{00000000-0005-0000-0000-000030860000}"/>
    <cellStyle name="Logical 2 3 3 2 2" xfId="34358" xr:uid="{00000000-0005-0000-0000-000031860000}"/>
    <cellStyle name="Logical 2 3 3 2 3" xfId="34359" xr:uid="{00000000-0005-0000-0000-000032860000}"/>
    <cellStyle name="Logical 2 3 3 2 4" xfId="34360" xr:uid="{00000000-0005-0000-0000-000033860000}"/>
    <cellStyle name="Logical 2 3 3 2 5" xfId="34361" xr:uid="{00000000-0005-0000-0000-000034860000}"/>
    <cellStyle name="Logical 2 3 3 2 6" xfId="34362" xr:uid="{00000000-0005-0000-0000-000035860000}"/>
    <cellStyle name="Logical 2 3 3 3" xfId="34363" xr:uid="{00000000-0005-0000-0000-000036860000}"/>
    <cellStyle name="Logical 2 3 3 4" xfId="34364" xr:uid="{00000000-0005-0000-0000-000037860000}"/>
    <cellStyle name="Logical 2 3 3 5" xfId="34365" xr:uid="{00000000-0005-0000-0000-000038860000}"/>
    <cellStyle name="Logical 2 3 3 6" xfId="34366" xr:uid="{00000000-0005-0000-0000-000039860000}"/>
    <cellStyle name="Logical 2 3 4" xfId="34367" xr:uid="{00000000-0005-0000-0000-00003A860000}"/>
    <cellStyle name="Logical 2 3 4 2" xfId="34368" xr:uid="{00000000-0005-0000-0000-00003B860000}"/>
    <cellStyle name="Logical 2 3 4 3" xfId="34369" xr:uid="{00000000-0005-0000-0000-00003C860000}"/>
    <cellStyle name="Logical 2 3 4 4" xfId="34370" xr:uid="{00000000-0005-0000-0000-00003D860000}"/>
    <cellStyle name="Logical 2 3 4 5" xfId="34371" xr:uid="{00000000-0005-0000-0000-00003E860000}"/>
    <cellStyle name="Logical 2 3 4 6" xfId="34372" xr:uid="{00000000-0005-0000-0000-00003F860000}"/>
    <cellStyle name="Logical 2 3 5" xfId="34373" xr:uid="{00000000-0005-0000-0000-000040860000}"/>
    <cellStyle name="Logical 2 3 6" xfId="34374" xr:uid="{00000000-0005-0000-0000-000041860000}"/>
    <cellStyle name="Logical 2 3 7" xfId="34375" xr:uid="{00000000-0005-0000-0000-000042860000}"/>
    <cellStyle name="Logical 2 3 8" xfId="34376" xr:uid="{00000000-0005-0000-0000-000043860000}"/>
    <cellStyle name="Logical 2 4" xfId="34377" xr:uid="{00000000-0005-0000-0000-000044860000}"/>
    <cellStyle name="Logical 2 4 2" xfId="34378" xr:uid="{00000000-0005-0000-0000-000045860000}"/>
    <cellStyle name="Logical 2 4 2 2" xfId="34379" xr:uid="{00000000-0005-0000-0000-000046860000}"/>
    <cellStyle name="Logical 2 4 2 2 2" xfId="34380" xr:uid="{00000000-0005-0000-0000-000047860000}"/>
    <cellStyle name="Logical 2 4 2 2 3" xfId="34381" xr:uid="{00000000-0005-0000-0000-000048860000}"/>
    <cellStyle name="Logical 2 4 2 2 4" xfId="34382" xr:uid="{00000000-0005-0000-0000-000049860000}"/>
    <cellStyle name="Logical 2 4 2 2 5" xfId="34383" xr:uid="{00000000-0005-0000-0000-00004A860000}"/>
    <cellStyle name="Logical 2 4 2 2 6" xfId="34384" xr:uid="{00000000-0005-0000-0000-00004B860000}"/>
    <cellStyle name="Logical 2 4 2 3" xfId="34385" xr:uid="{00000000-0005-0000-0000-00004C860000}"/>
    <cellStyle name="Logical 2 4 2 4" xfId="34386" xr:uid="{00000000-0005-0000-0000-00004D860000}"/>
    <cellStyle name="Logical 2 4 2 5" xfId="34387" xr:uid="{00000000-0005-0000-0000-00004E860000}"/>
    <cellStyle name="Logical 2 4 2 6" xfId="34388" xr:uid="{00000000-0005-0000-0000-00004F860000}"/>
    <cellStyle name="Logical 2 4 3" xfId="34389" xr:uid="{00000000-0005-0000-0000-000050860000}"/>
    <cellStyle name="Logical 2 4 3 2" xfId="34390" xr:uid="{00000000-0005-0000-0000-000051860000}"/>
    <cellStyle name="Logical 2 4 3 2 2" xfId="34391" xr:uid="{00000000-0005-0000-0000-000052860000}"/>
    <cellStyle name="Logical 2 4 3 2 3" xfId="34392" xr:uid="{00000000-0005-0000-0000-000053860000}"/>
    <cellStyle name="Logical 2 4 3 2 4" xfId="34393" xr:uid="{00000000-0005-0000-0000-000054860000}"/>
    <cellStyle name="Logical 2 4 3 2 5" xfId="34394" xr:uid="{00000000-0005-0000-0000-000055860000}"/>
    <cellStyle name="Logical 2 4 3 2 6" xfId="34395" xr:uid="{00000000-0005-0000-0000-000056860000}"/>
    <cellStyle name="Logical 2 4 3 3" xfId="34396" xr:uid="{00000000-0005-0000-0000-000057860000}"/>
    <cellStyle name="Logical 2 4 3 4" xfId="34397" xr:uid="{00000000-0005-0000-0000-000058860000}"/>
    <cellStyle name="Logical 2 4 3 5" xfId="34398" xr:uid="{00000000-0005-0000-0000-000059860000}"/>
    <cellStyle name="Logical 2 4 3 6" xfId="34399" xr:uid="{00000000-0005-0000-0000-00005A860000}"/>
    <cellStyle name="Logical 2 4 4" xfId="34400" xr:uid="{00000000-0005-0000-0000-00005B860000}"/>
    <cellStyle name="Logical 2 4 4 2" xfId="34401" xr:uid="{00000000-0005-0000-0000-00005C860000}"/>
    <cellStyle name="Logical 2 4 4 3" xfId="34402" xr:uid="{00000000-0005-0000-0000-00005D860000}"/>
    <cellStyle name="Logical 2 4 4 4" xfId="34403" xr:uid="{00000000-0005-0000-0000-00005E860000}"/>
    <cellStyle name="Logical 2 4 4 5" xfId="34404" xr:uid="{00000000-0005-0000-0000-00005F860000}"/>
    <cellStyle name="Logical 2 4 4 6" xfId="34405" xr:uid="{00000000-0005-0000-0000-000060860000}"/>
    <cellStyle name="Logical 2 4 5" xfId="34406" xr:uid="{00000000-0005-0000-0000-000061860000}"/>
    <cellStyle name="Logical 2 4 6" xfId="34407" xr:uid="{00000000-0005-0000-0000-000062860000}"/>
    <cellStyle name="Logical 2 4 7" xfId="34408" xr:uid="{00000000-0005-0000-0000-000063860000}"/>
    <cellStyle name="Logical 2 4 8" xfId="34409" xr:uid="{00000000-0005-0000-0000-000064860000}"/>
    <cellStyle name="Logical 2 5" xfId="34410" xr:uid="{00000000-0005-0000-0000-000065860000}"/>
    <cellStyle name="Logical 2 5 2" xfId="34411" xr:uid="{00000000-0005-0000-0000-000066860000}"/>
    <cellStyle name="Logical 2 5 2 2" xfId="34412" xr:uid="{00000000-0005-0000-0000-000067860000}"/>
    <cellStyle name="Logical 2 5 2 2 2" xfId="34413" xr:uid="{00000000-0005-0000-0000-000068860000}"/>
    <cellStyle name="Logical 2 5 2 2 3" xfId="34414" xr:uid="{00000000-0005-0000-0000-000069860000}"/>
    <cellStyle name="Logical 2 5 2 2 4" xfId="34415" xr:uid="{00000000-0005-0000-0000-00006A860000}"/>
    <cellStyle name="Logical 2 5 2 2 5" xfId="34416" xr:uid="{00000000-0005-0000-0000-00006B860000}"/>
    <cellStyle name="Logical 2 5 2 2 6" xfId="34417" xr:uid="{00000000-0005-0000-0000-00006C860000}"/>
    <cellStyle name="Logical 2 5 2 3" xfId="34418" xr:uid="{00000000-0005-0000-0000-00006D860000}"/>
    <cellStyle name="Logical 2 5 2 4" xfId="34419" xr:uid="{00000000-0005-0000-0000-00006E860000}"/>
    <cellStyle name="Logical 2 5 2 5" xfId="34420" xr:uid="{00000000-0005-0000-0000-00006F860000}"/>
    <cellStyle name="Logical 2 5 2 6" xfId="34421" xr:uid="{00000000-0005-0000-0000-000070860000}"/>
    <cellStyle name="Logical 2 5 3" xfId="34422" xr:uid="{00000000-0005-0000-0000-000071860000}"/>
    <cellStyle name="Logical 2 5 3 2" xfId="34423" xr:uid="{00000000-0005-0000-0000-000072860000}"/>
    <cellStyle name="Logical 2 5 3 2 2" xfId="34424" xr:uid="{00000000-0005-0000-0000-000073860000}"/>
    <cellStyle name="Logical 2 5 3 2 3" xfId="34425" xr:uid="{00000000-0005-0000-0000-000074860000}"/>
    <cellStyle name="Logical 2 5 3 2 4" xfId="34426" xr:uid="{00000000-0005-0000-0000-000075860000}"/>
    <cellStyle name="Logical 2 5 3 2 5" xfId="34427" xr:uid="{00000000-0005-0000-0000-000076860000}"/>
    <cellStyle name="Logical 2 5 3 2 6" xfId="34428" xr:uid="{00000000-0005-0000-0000-000077860000}"/>
    <cellStyle name="Logical 2 5 3 3" xfId="34429" xr:uid="{00000000-0005-0000-0000-000078860000}"/>
    <cellStyle name="Logical 2 5 3 4" xfId="34430" xr:uid="{00000000-0005-0000-0000-000079860000}"/>
    <cellStyle name="Logical 2 5 3 5" xfId="34431" xr:uid="{00000000-0005-0000-0000-00007A860000}"/>
    <cellStyle name="Logical 2 5 3 6" xfId="34432" xr:uid="{00000000-0005-0000-0000-00007B860000}"/>
    <cellStyle name="Logical 2 5 4" xfId="34433" xr:uid="{00000000-0005-0000-0000-00007C860000}"/>
    <cellStyle name="Logical 2 5 4 2" xfId="34434" xr:uid="{00000000-0005-0000-0000-00007D860000}"/>
    <cellStyle name="Logical 2 5 4 3" xfId="34435" xr:uid="{00000000-0005-0000-0000-00007E860000}"/>
    <cellStyle name="Logical 2 5 4 4" xfId="34436" xr:uid="{00000000-0005-0000-0000-00007F860000}"/>
    <cellStyle name="Logical 2 5 4 5" xfId="34437" xr:uid="{00000000-0005-0000-0000-000080860000}"/>
    <cellStyle name="Logical 2 5 4 6" xfId="34438" xr:uid="{00000000-0005-0000-0000-000081860000}"/>
    <cellStyle name="Logical 2 5 5" xfId="34439" xr:uid="{00000000-0005-0000-0000-000082860000}"/>
    <cellStyle name="Logical 2 5 6" xfId="34440" xr:uid="{00000000-0005-0000-0000-000083860000}"/>
    <cellStyle name="Logical 2 5 7" xfId="34441" xr:uid="{00000000-0005-0000-0000-000084860000}"/>
    <cellStyle name="Logical 2 5 8" xfId="34442" xr:uid="{00000000-0005-0000-0000-000085860000}"/>
    <cellStyle name="Logical 2 6" xfId="34443" xr:uid="{00000000-0005-0000-0000-000086860000}"/>
    <cellStyle name="Logical 2 6 2" xfId="34444" xr:uid="{00000000-0005-0000-0000-000087860000}"/>
    <cellStyle name="Logical 2 6 2 2" xfId="34445" xr:uid="{00000000-0005-0000-0000-000088860000}"/>
    <cellStyle name="Logical 2 6 2 2 2" xfId="34446" xr:uid="{00000000-0005-0000-0000-000089860000}"/>
    <cellStyle name="Logical 2 6 2 2 3" xfId="34447" xr:uid="{00000000-0005-0000-0000-00008A860000}"/>
    <cellStyle name="Logical 2 6 2 2 4" xfId="34448" xr:uid="{00000000-0005-0000-0000-00008B860000}"/>
    <cellStyle name="Logical 2 6 2 2 5" xfId="34449" xr:uid="{00000000-0005-0000-0000-00008C860000}"/>
    <cellStyle name="Logical 2 6 2 2 6" xfId="34450" xr:uid="{00000000-0005-0000-0000-00008D860000}"/>
    <cellStyle name="Logical 2 6 2 3" xfId="34451" xr:uid="{00000000-0005-0000-0000-00008E860000}"/>
    <cellStyle name="Logical 2 6 2 4" xfId="34452" xr:uid="{00000000-0005-0000-0000-00008F860000}"/>
    <cellStyle name="Logical 2 6 2 5" xfId="34453" xr:uid="{00000000-0005-0000-0000-000090860000}"/>
    <cellStyle name="Logical 2 6 2 6" xfId="34454" xr:uid="{00000000-0005-0000-0000-000091860000}"/>
    <cellStyle name="Logical 2 6 3" xfId="34455" xr:uid="{00000000-0005-0000-0000-000092860000}"/>
    <cellStyle name="Logical 2 6 3 2" xfId="34456" xr:uid="{00000000-0005-0000-0000-000093860000}"/>
    <cellStyle name="Logical 2 6 3 2 2" xfId="34457" xr:uid="{00000000-0005-0000-0000-000094860000}"/>
    <cellStyle name="Logical 2 6 3 2 3" xfId="34458" xr:uid="{00000000-0005-0000-0000-000095860000}"/>
    <cellStyle name="Logical 2 6 3 2 4" xfId="34459" xr:uid="{00000000-0005-0000-0000-000096860000}"/>
    <cellStyle name="Logical 2 6 3 2 5" xfId="34460" xr:uid="{00000000-0005-0000-0000-000097860000}"/>
    <cellStyle name="Logical 2 6 3 2 6" xfId="34461" xr:uid="{00000000-0005-0000-0000-000098860000}"/>
    <cellStyle name="Logical 2 6 3 3" xfId="34462" xr:uid="{00000000-0005-0000-0000-000099860000}"/>
    <cellStyle name="Logical 2 6 3 4" xfId="34463" xr:uid="{00000000-0005-0000-0000-00009A860000}"/>
    <cellStyle name="Logical 2 6 3 5" xfId="34464" xr:uid="{00000000-0005-0000-0000-00009B860000}"/>
    <cellStyle name="Logical 2 6 3 6" xfId="34465" xr:uid="{00000000-0005-0000-0000-00009C860000}"/>
    <cellStyle name="Logical 2 6 4" xfId="34466" xr:uid="{00000000-0005-0000-0000-00009D860000}"/>
    <cellStyle name="Logical 2 6 4 2" xfId="34467" xr:uid="{00000000-0005-0000-0000-00009E860000}"/>
    <cellStyle name="Logical 2 6 4 3" xfId="34468" xr:uid="{00000000-0005-0000-0000-00009F860000}"/>
    <cellStyle name="Logical 2 6 4 4" xfId="34469" xr:uid="{00000000-0005-0000-0000-0000A0860000}"/>
    <cellStyle name="Logical 2 6 4 5" xfId="34470" xr:uid="{00000000-0005-0000-0000-0000A1860000}"/>
    <cellStyle name="Logical 2 6 4 6" xfId="34471" xr:uid="{00000000-0005-0000-0000-0000A2860000}"/>
    <cellStyle name="Logical 2 6 5" xfId="34472" xr:uid="{00000000-0005-0000-0000-0000A3860000}"/>
    <cellStyle name="Logical 2 6 6" xfId="34473" xr:uid="{00000000-0005-0000-0000-0000A4860000}"/>
    <cellStyle name="Logical 2 6 7" xfId="34474" xr:uid="{00000000-0005-0000-0000-0000A5860000}"/>
    <cellStyle name="Logical 2 6 8" xfId="34475" xr:uid="{00000000-0005-0000-0000-0000A6860000}"/>
    <cellStyle name="Logical 2 7" xfId="34476" xr:uid="{00000000-0005-0000-0000-0000A7860000}"/>
    <cellStyle name="Logical 2 7 2" xfId="34477" xr:uid="{00000000-0005-0000-0000-0000A8860000}"/>
    <cellStyle name="Logical 2 7 2 2" xfId="34478" xr:uid="{00000000-0005-0000-0000-0000A9860000}"/>
    <cellStyle name="Logical 2 7 2 2 2" xfId="34479" xr:uid="{00000000-0005-0000-0000-0000AA860000}"/>
    <cellStyle name="Logical 2 7 2 2 3" xfId="34480" xr:uid="{00000000-0005-0000-0000-0000AB860000}"/>
    <cellStyle name="Logical 2 7 2 2 4" xfId="34481" xr:uid="{00000000-0005-0000-0000-0000AC860000}"/>
    <cellStyle name="Logical 2 7 2 2 5" xfId="34482" xr:uid="{00000000-0005-0000-0000-0000AD860000}"/>
    <cellStyle name="Logical 2 7 2 2 6" xfId="34483" xr:uid="{00000000-0005-0000-0000-0000AE860000}"/>
    <cellStyle name="Logical 2 7 2 3" xfId="34484" xr:uid="{00000000-0005-0000-0000-0000AF860000}"/>
    <cellStyle name="Logical 2 7 2 4" xfId="34485" xr:uid="{00000000-0005-0000-0000-0000B0860000}"/>
    <cellStyle name="Logical 2 7 2 5" xfId="34486" xr:uid="{00000000-0005-0000-0000-0000B1860000}"/>
    <cellStyle name="Logical 2 7 2 6" xfId="34487" xr:uid="{00000000-0005-0000-0000-0000B2860000}"/>
    <cellStyle name="Logical 2 7 3" xfId="34488" xr:uid="{00000000-0005-0000-0000-0000B3860000}"/>
    <cellStyle name="Logical 2 7 3 2" xfId="34489" xr:uid="{00000000-0005-0000-0000-0000B4860000}"/>
    <cellStyle name="Logical 2 7 3 2 2" xfId="34490" xr:uid="{00000000-0005-0000-0000-0000B5860000}"/>
    <cellStyle name="Logical 2 7 3 2 3" xfId="34491" xr:uid="{00000000-0005-0000-0000-0000B6860000}"/>
    <cellStyle name="Logical 2 7 3 2 4" xfId="34492" xr:uid="{00000000-0005-0000-0000-0000B7860000}"/>
    <cellStyle name="Logical 2 7 3 2 5" xfId="34493" xr:uid="{00000000-0005-0000-0000-0000B8860000}"/>
    <cellStyle name="Logical 2 7 3 2 6" xfId="34494" xr:uid="{00000000-0005-0000-0000-0000B9860000}"/>
    <cellStyle name="Logical 2 7 3 3" xfId="34495" xr:uid="{00000000-0005-0000-0000-0000BA860000}"/>
    <cellStyle name="Logical 2 7 3 4" xfId="34496" xr:uid="{00000000-0005-0000-0000-0000BB860000}"/>
    <cellStyle name="Logical 2 7 3 5" xfId="34497" xr:uid="{00000000-0005-0000-0000-0000BC860000}"/>
    <cellStyle name="Logical 2 7 3 6" xfId="34498" xr:uid="{00000000-0005-0000-0000-0000BD860000}"/>
    <cellStyle name="Logical 2 7 4" xfId="34499" xr:uid="{00000000-0005-0000-0000-0000BE860000}"/>
    <cellStyle name="Logical 2 7 4 2" xfId="34500" xr:uid="{00000000-0005-0000-0000-0000BF860000}"/>
    <cellStyle name="Logical 2 7 4 3" xfId="34501" xr:uid="{00000000-0005-0000-0000-0000C0860000}"/>
    <cellStyle name="Logical 2 7 4 4" xfId="34502" xr:uid="{00000000-0005-0000-0000-0000C1860000}"/>
    <cellStyle name="Logical 2 7 4 5" xfId="34503" xr:uid="{00000000-0005-0000-0000-0000C2860000}"/>
    <cellStyle name="Logical 2 7 4 6" xfId="34504" xr:uid="{00000000-0005-0000-0000-0000C3860000}"/>
    <cellStyle name="Logical 2 7 5" xfId="34505" xr:uid="{00000000-0005-0000-0000-0000C4860000}"/>
    <cellStyle name="Logical 2 7 6" xfId="34506" xr:uid="{00000000-0005-0000-0000-0000C5860000}"/>
    <cellStyle name="Logical 2 7 7" xfId="34507" xr:uid="{00000000-0005-0000-0000-0000C6860000}"/>
    <cellStyle name="Logical 2 7 8" xfId="34508" xr:uid="{00000000-0005-0000-0000-0000C7860000}"/>
    <cellStyle name="Logical 2 8" xfId="34509" xr:uid="{00000000-0005-0000-0000-0000C8860000}"/>
    <cellStyle name="Logical 2 8 2" xfId="34510" xr:uid="{00000000-0005-0000-0000-0000C9860000}"/>
    <cellStyle name="Logical 2 8 2 2" xfId="34511" xr:uid="{00000000-0005-0000-0000-0000CA860000}"/>
    <cellStyle name="Logical 2 8 2 3" xfId="34512" xr:uid="{00000000-0005-0000-0000-0000CB860000}"/>
    <cellStyle name="Logical 2 8 2 4" xfId="34513" xr:uid="{00000000-0005-0000-0000-0000CC860000}"/>
    <cellStyle name="Logical 2 8 2 5" xfId="34514" xr:uid="{00000000-0005-0000-0000-0000CD860000}"/>
    <cellStyle name="Logical 2 8 2 6" xfId="34515" xr:uid="{00000000-0005-0000-0000-0000CE860000}"/>
    <cellStyle name="Logical 2 8 3" xfId="34516" xr:uid="{00000000-0005-0000-0000-0000CF860000}"/>
    <cellStyle name="Logical 2 8 4" xfId="34517" xr:uid="{00000000-0005-0000-0000-0000D0860000}"/>
    <cellStyle name="Logical 2 8 5" xfId="34518" xr:uid="{00000000-0005-0000-0000-0000D1860000}"/>
    <cellStyle name="Logical 2 8 6" xfId="34519" xr:uid="{00000000-0005-0000-0000-0000D2860000}"/>
    <cellStyle name="Logical 2 9" xfId="34520" xr:uid="{00000000-0005-0000-0000-0000D3860000}"/>
    <cellStyle name="Logical 2 9 2" xfId="34521" xr:uid="{00000000-0005-0000-0000-0000D4860000}"/>
    <cellStyle name="Logical 2 9 2 2" xfId="34522" xr:uid="{00000000-0005-0000-0000-0000D5860000}"/>
    <cellStyle name="Logical 2 9 2 3" xfId="34523" xr:uid="{00000000-0005-0000-0000-0000D6860000}"/>
    <cellStyle name="Logical 2 9 2 4" xfId="34524" xr:uid="{00000000-0005-0000-0000-0000D7860000}"/>
    <cellStyle name="Logical 2 9 2 5" xfId="34525" xr:uid="{00000000-0005-0000-0000-0000D8860000}"/>
    <cellStyle name="Logical 2 9 2 6" xfId="34526" xr:uid="{00000000-0005-0000-0000-0000D9860000}"/>
    <cellStyle name="Logical 2 9 3" xfId="34527" xr:uid="{00000000-0005-0000-0000-0000DA860000}"/>
    <cellStyle name="Logical 2 9 4" xfId="34528" xr:uid="{00000000-0005-0000-0000-0000DB860000}"/>
    <cellStyle name="Logical 2 9 5" xfId="34529" xr:uid="{00000000-0005-0000-0000-0000DC860000}"/>
    <cellStyle name="Logical 2 9 6" xfId="34530" xr:uid="{00000000-0005-0000-0000-0000DD860000}"/>
    <cellStyle name="Logical 3" xfId="34531" xr:uid="{00000000-0005-0000-0000-0000DE860000}"/>
    <cellStyle name="Logical 3 10" xfId="34532" xr:uid="{00000000-0005-0000-0000-0000DF860000}"/>
    <cellStyle name="Logical 3 11" xfId="34533" xr:uid="{00000000-0005-0000-0000-0000E0860000}"/>
    <cellStyle name="Logical 3 12" xfId="34534" xr:uid="{00000000-0005-0000-0000-0000E1860000}"/>
    <cellStyle name="Logical 3 13" xfId="34535" xr:uid="{00000000-0005-0000-0000-0000E2860000}"/>
    <cellStyle name="Logical 3 2" xfId="34536" xr:uid="{00000000-0005-0000-0000-0000E3860000}"/>
    <cellStyle name="Logical 3 2 2" xfId="34537" xr:uid="{00000000-0005-0000-0000-0000E4860000}"/>
    <cellStyle name="Logical 3 2 2 2" xfId="34538" xr:uid="{00000000-0005-0000-0000-0000E5860000}"/>
    <cellStyle name="Logical 3 2 2 2 2" xfId="34539" xr:uid="{00000000-0005-0000-0000-0000E6860000}"/>
    <cellStyle name="Logical 3 2 2 2 3" xfId="34540" xr:uid="{00000000-0005-0000-0000-0000E7860000}"/>
    <cellStyle name="Logical 3 2 2 2 4" xfId="34541" xr:uid="{00000000-0005-0000-0000-0000E8860000}"/>
    <cellStyle name="Logical 3 2 2 2 5" xfId="34542" xr:uid="{00000000-0005-0000-0000-0000E9860000}"/>
    <cellStyle name="Logical 3 2 2 2 6" xfId="34543" xr:uid="{00000000-0005-0000-0000-0000EA860000}"/>
    <cellStyle name="Logical 3 2 2 3" xfId="34544" xr:uid="{00000000-0005-0000-0000-0000EB860000}"/>
    <cellStyle name="Logical 3 2 2 4" xfId="34545" xr:uid="{00000000-0005-0000-0000-0000EC860000}"/>
    <cellStyle name="Logical 3 2 2 5" xfId="34546" xr:uid="{00000000-0005-0000-0000-0000ED860000}"/>
    <cellStyle name="Logical 3 2 2 6" xfId="34547" xr:uid="{00000000-0005-0000-0000-0000EE860000}"/>
    <cellStyle name="Logical 3 2 3" xfId="34548" xr:uid="{00000000-0005-0000-0000-0000EF860000}"/>
    <cellStyle name="Logical 3 2 3 2" xfId="34549" xr:uid="{00000000-0005-0000-0000-0000F0860000}"/>
    <cellStyle name="Logical 3 2 3 2 2" xfId="34550" xr:uid="{00000000-0005-0000-0000-0000F1860000}"/>
    <cellStyle name="Logical 3 2 3 2 3" xfId="34551" xr:uid="{00000000-0005-0000-0000-0000F2860000}"/>
    <cellStyle name="Logical 3 2 3 2 4" xfId="34552" xr:uid="{00000000-0005-0000-0000-0000F3860000}"/>
    <cellStyle name="Logical 3 2 3 2 5" xfId="34553" xr:uid="{00000000-0005-0000-0000-0000F4860000}"/>
    <cellStyle name="Logical 3 2 3 2 6" xfId="34554" xr:uid="{00000000-0005-0000-0000-0000F5860000}"/>
    <cellStyle name="Logical 3 2 3 3" xfId="34555" xr:uid="{00000000-0005-0000-0000-0000F6860000}"/>
    <cellStyle name="Logical 3 2 3 4" xfId="34556" xr:uid="{00000000-0005-0000-0000-0000F7860000}"/>
    <cellStyle name="Logical 3 2 3 5" xfId="34557" xr:uid="{00000000-0005-0000-0000-0000F8860000}"/>
    <cellStyle name="Logical 3 2 3 6" xfId="34558" xr:uid="{00000000-0005-0000-0000-0000F9860000}"/>
    <cellStyle name="Logical 3 2 4" xfId="34559" xr:uid="{00000000-0005-0000-0000-0000FA860000}"/>
    <cellStyle name="Logical 3 2 4 2" xfId="34560" xr:uid="{00000000-0005-0000-0000-0000FB860000}"/>
    <cellStyle name="Logical 3 2 4 3" xfId="34561" xr:uid="{00000000-0005-0000-0000-0000FC860000}"/>
    <cellStyle name="Logical 3 2 4 4" xfId="34562" xr:uid="{00000000-0005-0000-0000-0000FD860000}"/>
    <cellStyle name="Logical 3 2 4 5" xfId="34563" xr:uid="{00000000-0005-0000-0000-0000FE860000}"/>
    <cellStyle name="Logical 3 2 4 6" xfId="34564" xr:uid="{00000000-0005-0000-0000-0000FF860000}"/>
    <cellStyle name="Logical 3 2 5" xfId="34565" xr:uid="{00000000-0005-0000-0000-000000870000}"/>
    <cellStyle name="Logical 3 2 6" xfId="34566" xr:uid="{00000000-0005-0000-0000-000001870000}"/>
    <cellStyle name="Logical 3 2 7" xfId="34567" xr:uid="{00000000-0005-0000-0000-000002870000}"/>
    <cellStyle name="Logical 3 2 8" xfId="34568" xr:uid="{00000000-0005-0000-0000-000003870000}"/>
    <cellStyle name="Logical 3 3" xfId="34569" xr:uid="{00000000-0005-0000-0000-000004870000}"/>
    <cellStyle name="Logical 3 3 2" xfId="34570" xr:uid="{00000000-0005-0000-0000-000005870000}"/>
    <cellStyle name="Logical 3 3 2 2" xfId="34571" xr:uid="{00000000-0005-0000-0000-000006870000}"/>
    <cellStyle name="Logical 3 3 2 2 2" xfId="34572" xr:uid="{00000000-0005-0000-0000-000007870000}"/>
    <cellStyle name="Logical 3 3 2 2 3" xfId="34573" xr:uid="{00000000-0005-0000-0000-000008870000}"/>
    <cellStyle name="Logical 3 3 2 2 4" xfId="34574" xr:uid="{00000000-0005-0000-0000-000009870000}"/>
    <cellStyle name="Logical 3 3 2 2 5" xfId="34575" xr:uid="{00000000-0005-0000-0000-00000A870000}"/>
    <cellStyle name="Logical 3 3 2 2 6" xfId="34576" xr:uid="{00000000-0005-0000-0000-00000B870000}"/>
    <cellStyle name="Logical 3 3 2 3" xfId="34577" xr:uid="{00000000-0005-0000-0000-00000C870000}"/>
    <cellStyle name="Logical 3 3 2 4" xfId="34578" xr:uid="{00000000-0005-0000-0000-00000D870000}"/>
    <cellStyle name="Logical 3 3 2 5" xfId="34579" xr:uid="{00000000-0005-0000-0000-00000E870000}"/>
    <cellStyle name="Logical 3 3 2 6" xfId="34580" xr:uid="{00000000-0005-0000-0000-00000F870000}"/>
    <cellStyle name="Logical 3 3 3" xfId="34581" xr:uid="{00000000-0005-0000-0000-000010870000}"/>
    <cellStyle name="Logical 3 3 3 2" xfId="34582" xr:uid="{00000000-0005-0000-0000-000011870000}"/>
    <cellStyle name="Logical 3 3 3 2 2" xfId="34583" xr:uid="{00000000-0005-0000-0000-000012870000}"/>
    <cellStyle name="Logical 3 3 3 2 3" xfId="34584" xr:uid="{00000000-0005-0000-0000-000013870000}"/>
    <cellStyle name="Logical 3 3 3 2 4" xfId="34585" xr:uid="{00000000-0005-0000-0000-000014870000}"/>
    <cellStyle name="Logical 3 3 3 2 5" xfId="34586" xr:uid="{00000000-0005-0000-0000-000015870000}"/>
    <cellStyle name="Logical 3 3 3 2 6" xfId="34587" xr:uid="{00000000-0005-0000-0000-000016870000}"/>
    <cellStyle name="Logical 3 3 3 3" xfId="34588" xr:uid="{00000000-0005-0000-0000-000017870000}"/>
    <cellStyle name="Logical 3 3 3 4" xfId="34589" xr:uid="{00000000-0005-0000-0000-000018870000}"/>
    <cellStyle name="Logical 3 3 3 5" xfId="34590" xr:uid="{00000000-0005-0000-0000-000019870000}"/>
    <cellStyle name="Logical 3 3 3 6" xfId="34591" xr:uid="{00000000-0005-0000-0000-00001A870000}"/>
    <cellStyle name="Logical 3 3 4" xfId="34592" xr:uid="{00000000-0005-0000-0000-00001B870000}"/>
    <cellStyle name="Logical 3 3 4 2" xfId="34593" xr:uid="{00000000-0005-0000-0000-00001C870000}"/>
    <cellStyle name="Logical 3 3 4 3" xfId="34594" xr:uid="{00000000-0005-0000-0000-00001D870000}"/>
    <cellStyle name="Logical 3 3 4 4" xfId="34595" xr:uid="{00000000-0005-0000-0000-00001E870000}"/>
    <cellStyle name="Logical 3 3 4 5" xfId="34596" xr:uid="{00000000-0005-0000-0000-00001F870000}"/>
    <cellStyle name="Logical 3 3 4 6" xfId="34597" xr:uid="{00000000-0005-0000-0000-000020870000}"/>
    <cellStyle name="Logical 3 3 5" xfId="34598" xr:uid="{00000000-0005-0000-0000-000021870000}"/>
    <cellStyle name="Logical 3 3 6" xfId="34599" xr:uid="{00000000-0005-0000-0000-000022870000}"/>
    <cellStyle name="Logical 3 3 7" xfId="34600" xr:uid="{00000000-0005-0000-0000-000023870000}"/>
    <cellStyle name="Logical 3 3 8" xfId="34601" xr:uid="{00000000-0005-0000-0000-000024870000}"/>
    <cellStyle name="Logical 3 4" xfId="34602" xr:uid="{00000000-0005-0000-0000-000025870000}"/>
    <cellStyle name="Logical 3 4 2" xfId="34603" xr:uid="{00000000-0005-0000-0000-000026870000}"/>
    <cellStyle name="Logical 3 4 2 2" xfId="34604" xr:uid="{00000000-0005-0000-0000-000027870000}"/>
    <cellStyle name="Logical 3 4 2 2 2" xfId="34605" xr:uid="{00000000-0005-0000-0000-000028870000}"/>
    <cellStyle name="Logical 3 4 2 2 3" xfId="34606" xr:uid="{00000000-0005-0000-0000-000029870000}"/>
    <cellStyle name="Logical 3 4 2 2 4" xfId="34607" xr:uid="{00000000-0005-0000-0000-00002A870000}"/>
    <cellStyle name="Logical 3 4 2 2 5" xfId="34608" xr:uid="{00000000-0005-0000-0000-00002B870000}"/>
    <cellStyle name="Logical 3 4 2 2 6" xfId="34609" xr:uid="{00000000-0005-0000-0000-00002C870000}"/>
    <cellStyle name="Logical 3 4 2 3" xfId="34610" xr:uid="{00000000-0005-0000-0000-00002D870000}"/>
    <cellStyle name="Logical 3 4 2 4" xfId="34611" xr:uid="{00000000-0005-0000-0000-00002E870000}"/>
    <cellStyle name="Logical 3 4 2 5" xfId="34612" xr:uid="{00000000-0005-0000-0000-00002F870000}"/>
    <cellStyle name="Logical 3 4 2 6" xfId="34613" xr:uid="{00000000-0005-0000-0000-000030870000}"/>
    <cellStyle name="Logical 3 4 3" xfId="34614" xr:uid="{00000000-0005-0000-0000-000031870000}"/>
    <cellStyle name="Logical 3 4 3 2" xfId="34615" xr:uid="{00000000-0005-0000-0000-000032870000}"/>
    <cellStyle name="Logical 3 4 3 2 2" xfId="34616" xr:uid="{00000000-0005-0000-0000-000033870000}"/>
    <cellStyle name="Logical 3 4 3 2 3" xfId="34617" xr:uid="{00000000-0005-0000-0000-000034870000}"/>
    <cellStyle name="Logical 3 4 3 2 4" xfId="34618" xr:uid="{00000000-0005-0000-0000-000035870000}"/>
    <cellStyle name="Logical 3 4 3 2 5" xfId="34619" xr:uid="{00000000-0005-0000-0000-000036870000}"/>
    <cellStyle name="Logical 3 4 3 2 6" xfId="34620" xr:uid="{00000000-0005-0000-0000-000037870000}"/>
    <cellStyle name="Logical 3 4 3 3" xfId="34621" xr:uid="{00000000-0005-0000-0000-000038870000}"/>
    <cellStyle name="Logical 3 4 3 4" xfId="34622" xr:uid="{00000000-0005-0000-0000-000039870000}"/>
    <cellStyle name="Logical 3 4 3 5" xfId="34623" xr:uid="{00000000-0005-0000-0000-00003A870000}"/>
    <cellStyle name="Logical 3 4 3 6" xfId="34624" xr:uid="{00000000-0005-0000-0000-00003B870000}"/>
    <cellStyle name="Logical 3 4 4" xfId="34625" xr:uid="{00000000-0005-0000-0000-00003C870000}"/>
    <cellStyle name="Logical 3 4 4 2" xfId="34626" xr:uid="{00000000-0005-0000-0000-00003D870000}"/>
    <cellStyle name="Logical 3 4 4 3" xfId="34627" xr:uid="{00000000-0005-0000-0000-00003E870000}"/>
    <cellStyle name="Logical 3 4 4 4" xfId="34628" xr:uid="{00000000-0005-0000-0000-00003F870000}"/>
    <cellStyle name="Logical 3 4 4 5" xfId="34629" xr:uid="{00000000-0005-0000-0000-000040870000}"/>
    <cellStyle name="Logical 3 4 4 6" xfId="34630" xr:uid="{00000000-0005-0000-0000-000041870000}"/>
    <cellStyle name="Logical 3 4 5" xfId="34631" xr:uid="{00000000-0005-0000-0000-000042870000}"/>
    <cellStyle name="Logical 3 4 6" xfId="34632" xr:uid="{00000000-0005-0000-0000-000043870000}"/>
    <cellStyle name="Logical 3 4 7" xfId="34633" xr:uid="{00000000-0005-0000-0000-000044870000}"/>
    <cellStyle name="Logical 3 4 8" xfId="34634" xr:uid="{00000000-0005-0000-0000-000045870000}"/>
    <cellStyle name="Logical 3 5" xfId="34635" xr:uid="{00000000-0005-0000-0000-000046870000}"/>
    <cellStyle name="Logical 3 5 2" xfId="34636" xr:uid="{00000000-0005-0000-0000-000047870000}"/>
    <cellStyle name="Logical 3 5 2 2" xfId="34637" xr:uid="{00000000-0005-0000-0000-000048870000}"/>
    <cellStyle name="Logical 3 5 2 2 2" xfId="34638" xr:uid="{00000000-0005-0000-0000-000049870000}"/>
    <cellStyle name="Logical 3 5 2 2 3" xfId="34639" xr:uid="{00000000-0005-0000-0000-00004A870000}"/>
    <cellStyle name="Logical 3 5 2 2 4" xfId="34640" xr:uid="{00000000-0005-0000-0000-00004B870000}"/>
    <cellStyle name="Logical 3 5 2 2 5" xfId="34641" xr:uid="{00000000-0005-0000-0000-00004C870000}"/>
    <cellStyle name="Logical 3 5 2 2 6" xfId="34642" xr:uid="{00000000-0005-0000-0000-00004D870000}"/>
    <cellStyle name="Logical 3 5 2 3" xfId="34643" xr:uid="{00000000-0005-0000-0000-00004E870000}"/>
    <cellStyle name="Logical 3 5 2 4" xfId="34644" xr:uid="{00000000-0005-0000-0000-00004F870000}"/>
    <cellStyle name="Logical 3 5 2 5" xfId="34645" xr:uid="{00000000-0005-0000-0000-000050870000}"/>
    <cellStyle name="Logical 3 5 2 6" xfId="34646" xr:uid="{00000000-0005-0000-0000-000051870000}"/>
    <cellStyle name="Logical 3 5 3" xfId="34647" xr:uid="{00000000-0005-0000-0000-000052870000}"/>
    <cellStyle name="Logical 3 5 3 2" xfId="34648" xr:uid="{00000000-0005-0000-0000-000053870000}"/>
    <cellStyle name="Logical 3 5 3 2 2" xfId="34649" xr:uid="{00000000-0005-0000-0000-000054870000}"/>
    <cellStyle name="Logical 3 5 3 2 3" xfId="34650" xr:uid="{00000000-0005-0000-0000-000055870000}"/>
    <cellStyle name="Logical 3 5 3 2 4" xfId="34651" xr:uid="{00000000-0005-0000-0000-000056870000}"/>
    <cellStyle name="Logical 3 5 3 2 5" xfId="34652" xr:uid="{00000000-0005-0000-0000-000057870000}"/>
    <cellStyle name="Logical 3 5 3 2 6" xfId="34653" xr:uid="{00000000-0005-0000-0000-000058870000}"/>
    <cellStyle name="Logical 3 5 3 3" xfId="34654" xr:uid="{00000000-0005-0000-0000-000059870000}"/>
    <cellStyle name="Logical 3 5 3 4" xfId="34655" xr:uid="{00000000-0005-0000-0000-00005A870000}"/>
    <cellStyle name="Logical 3 5 3 5" xfId="34656" xr:uid="{00000000-0005-0000-0000-00005B870000}"/>
    <cellStyle name="Logical 3 5 3 6" xfId="34657" xr:uid="{00000000-0005-0000-0000-00005C870000}"/>
    <cellStyle name="Logical 3 5 4" xfId="34658" xr:uid="{00000000-0005-0000-0000-00005D870000}"/>
    <cellStyle name="Logical 3 5 4 2" xfId="34659" xr:uid="{00000000-0005-0000-0000-00005E870000}"/>
    <cellStyle name="Logical 3 5 4 3" xfId="34660" xr:uid="{00000000-0005-0000-0000-00005F870000}"/>
    <cellStyle name="Logical 3 5 4 4" xfId="34661" xr:uid="{00000000-0005-0000-0000-000060870000}"/>
    <cellStyle name="Logical 3 5 4 5" xfId="34662" xr:uid="{00000000-0005-0000-0000-000061870000}"/>
    <cellStyle name="Logical 3 5 4 6" xfId="34663" xr:uid="{00000000-0005-0000-0000-000062870000}"/>
    <cellStyle name="Logical 3 5 5" xfId="34664" xr:uid="{00000000-0005-0000-0000-000063870000}"/>
    <cellStyle name="Logical 3 5 6" xfId="34665" xr:uid="{00000000-0005-0000-0000-000064870000}"/>
    <cellStyle name="Logical 3 5 7" xfId="34666" xr:uid="{00000000-0005-0000-0000-000065870000}"/>
    <cellStyle name="Logical 3 5 8" xfId="34667" xr:uid="{00000000-0005-0000-0000-000066870000}"/>
    <cellStyle name="Logical 3 6" xfId="34668" xr:uid="{00000000-0005-0000-0000-000067870000}"/>
    <cellStyle name="Logical 3 6 2" xfId="34669" xr:uid="{00000000-0005-0000-0000-000068870000}"/>
    <cellStyle name="Logical 3 6 2 2" xfId="34670" xr:uid="{00000000-0005-0000-0000-000069870000}"/>
    <cellStyle name="Logical 3 6 2 2 2" xfId="34671" xr:uid="{00000000-0005-0000-0000-00006A870000}"/>
    <cellStyle name="Logical 3 6 2 2 3" xfId="34672" xr:uid="{00000000-0005-0000-0000-00006B870000}"/>
    <cellStyle name="Logical 3 6 2 2 4" xfId="34673" xr:uid="{00000000-0005-0000-0000-00006C870000}"/>
    <cellStyle name="Logical 3 6 2 2 5" xfId="34674" xr:uid="{00000000-0005-0000-0000-00006D870000}"/>
    <cellStyle name="Logical 3 6 2 2 6" xfId="34675" xr:uid="{00000000-0005-0000-0000-00006E870000}"/>
    <cellStyle name="Logical 3 6 2 3" xfId="34676" xr:uid="{00000000-0005-0000-0000-00006F870000}"/>
    <cellStyle name="Logical 3 6 2 4" xfId="34677" xr:uid="{00000000-0005-0000-0000-000070870000}"/>
    <cellStyle name="Logical 3 6 2 5" xfId="34678" xr:uid="{00000000-0005-0000-0000-000071870000}"/>
    <cellStyle name="Logical 3 6 2 6" xfId="34679" xr:uid="{00000000-0005-0000-0000-000072870000}"/>
    <cellStyle name="Logical 3 6 3" xfId="34680" xr:uid="{00000000-0005-0000-0000-000073870000}"/>
    <cellStyle name="Logical 3 6 3 2" xfId="34681" xr:uid="{00000000-0005-0000-0000-000074870000}"/>
    <cellStyle name="Logical 3 6 3 2 2" xfId="34682" xr:uid="{00000000-0005-0000-0000-000075870000}"/>
    <cellStyle name="Logical 3 6 3 2 3" xfId="34683" xr:uid="{00000000-0005-0000-0000-000076870000}"/>
    <cellStyle name="Logical 3 6 3 2 4" xfId="34684" xr:uid="{00000000-0005-0000-0000-000077870000}"/>
    <cellStyle name="Logical 3 6 3 2 5" xfId="34685" xr:uid="{00000000-0005-0000-0000-000078870000}"/>
    <cellStyle name="Logical 3 6 3 2 6" xfId="34686" xr:uid="{00000000-0005-0000-0000-000079870000}"/>
    <cellStyle name="Logical 3 6 3 3" xfId="34687" xr:uid="{00000000-0005-0000-0000-00007A870000}"/>
    <cellStyle name="Logical 3 6 3 4" xfId="34688" xr:uid="{00000000-0005-0000-0000-00007B870000}"/>
    <cellStyle name="Logical 3 6 3 5" xfId="34689" xr:uid="{00000000-0005-0000-0000-00007C870000}"/>
    <cellStyle name="Logical 3 6 3 6" xfId="34690" xr:uid="{00000000-0005-0000-0000-00007D870000}"/>
    <cellStyle name="Logical 3 6 4" xfId="34691" xr:uid="{00000000-0005-0000-0000-00007E870000}"/>
    <cellStyle name="Logical 3 6 4 2" xfId="34692" xr:uid="{00000000-0005-0000-0000-00007F870000}"/>
    <cellStyle name="Logical 3 6 4 3" xfId="34693" xr:uid="{00000000-0005-0000-0000-000080870000}"/>
    <cellStyle name="Logical 3 6 4 4" xfId="34694" xr:uid="{00000000-0005-0000-0000-000081870000}"/>
    <cellStyle name="Logical 3 6 4 5" xfId="34695" xr:uid="{00000000-0005-0000-0000-000082870000}"/>
    <cellStyle name="Logical 3 6 4 6" xfId="34696" xr:uid="{00000000-0005-0000-0000-000083870000}"/>
    <cellStyle name="Logical 3 6 5" xfId="34697" xr:uid="{00000000-0005-0000-0000-000084870000}"/>
    <cellStyle name="Logical 3 6 6" xfId="34698" xr:uid="{00000000-0005-0000-0000-000085870000}"/>
    <cellStyle name="Logical 3 6 7" xfId="34699" xr:uid="{00000000-0005-0000-0000-000086870000}"/>
    <cellStyle name="Logical 3 6 8" xfId="34700" xr:uid="{00000000-0005-0000-0000-000087870000}"/>
    <cellStyle name="Logical 3 7" xfId="34701" xr:uid="{00000000-0005-0000-0000-000088870000}"/>
    <cellStyle name="Logical 3 7 2" xfId="34702" xr:uid="{00000000-0005-0000-0000-000089870000}"/>
    <cellStyle name="Logical 3 7 2 2" xfId="34703" xr:uid="{00000000-0005-0000-0000-00008A870000}"/>
    <cellStyle name="Logical 3 7 2 3" xfId="34704" xr:uid="{00000000-0005-0000-0000-00008B870000}"/>
    <cellStyle name="Logical 3 7 2 4" xfId="34705" xr:uid="{00000000-0005-0000-0000-00008C870000}"/>
    <cellStyle name="Logical 3 7 2 5" xfId="34706" xr:uid="{00000000-0005-0000-0000-00008D870000}"/>
    <cellStyle name="Logical 3 7 2 6" xfId="34707" xr:uid="{00000000-0005-0000-0000-00008E870000}"/>
    <cellStyle name="Logical 3 7 3" xfId="34708" xr:uid="{00000000-0005-0000-0000-00008F870000}"/>
    <cellStyle name="Logical 3 7 4" xfId="34709" xr:uid="{00000000-0005-0000-0000-000090870000}"/>
    <cellStyle name="Logical 3 7 5" xfId="34710" xr:uid="{00000000-0005-0000-0000-000091870000}"/>
    <cellStyle name="Logical 3 7 6" xfId="34711" xr:uid="{00000000-0005-0000-0000-000092870000}"/>
    <cellStyle name="Logical 3 8" xfId="34712" xr:uid="{00000000-0005-0000-0000-000093870000}"/>
    <cellStyle name="Logical 3 8 2" xfId="34713" xr:uid="{00000000-0005-0000-0000-000094870000}"/>
    <cellStyle name="Logical 3 8 2 2" xfId="34714" xr:uid="{00000000-0005-0000-0000-000095870000}"/>
    <cellStyle name="Logical 3 8 2 3" xfId="34715" xr:uid="{00000000-0005-0000-0000-000096870000}"/>
    <cellStyle name="Logical 3 8 2 4" xfId="34716" xr:uid="{00000000-0005-0000-0000-000097870000}"/>
    <cellStyle name="Logical 3 8 2 5" xfId="34717" xr:uid="{00000000-0005-0000-0000-000098870000}"/>
    <cellStyle name="Logical 3 8 2 6" xfId="34718" xr:uid="{00000000-0005-0000-0000-000099870000}"/>
    <cellStyle name="Logical 3 8 3" xfId="34719" xr:uid="{00000000-0005-0000-0000-00009A870000}"/>
    <cellStyle name="Logical 3 8 4" xfId="34720" xr:uid="{00000000-0005-0000-0000-00009B870000}"/>
    <cellStyle name="Logical 3 8 5" xfId="34721" xr:uid="{00000000-0005-0000-0000-00009C870000}"/>
    <cellStyle name="Logical 3 8 6" xfId="34722" xr:uid="{00000000-0005-0000-0000-00009D870000}"/>
    <cellStyle name="Logical 3 9" xfId="34723" xr:uid="{00000000-0005-0000-0000-00009E870000}"/>
    <cellStyle name="Logical 3 9 2" xfId="34724" xr:uid="{00000000-0005-0000-0000-00009F870000}"/>
    <cellStyle name="Logical 3 9 3" xfId="34725" xr:uid="{00000000-0005-0000-0000-0000A0870000}"/>
    <cellStyle name="Logical 3 9 4" xfId="34726" xr:uid="{00000000-0005-0000-0000-0000A1870000}"/>
    <cellStyle name="Logical 3 9 5" xfId="34727" xr:uid="{00000000-0005-0000-0000-0000A2870000}"/>
    <cellStyle name="Logical 3 9 6" xfId="34728" xr:uid="{00000000-0005-0000-0000-0000A3870000}"/>
    <cellStyle name="Logical 4" xfId="34729" xr:uid="{00000000-0005-0000-0000-0000A4870000}"/>
    <cellStyle name="Logical 4 2" xfId="34730" xr:uid="{00000000-0005-0000-0000-0000A5870000}"/>
    <cellStyle name="Logical 4 2 2" xfId="34731" xr:uid="{00000000-0005-0000-0000-0000A6870000}"/>
    <cellStyle name="Logical 4 2 2 2" xfId="34732" xr:uid="{00000000-0005-0000-0000-0000A7870000}"/>
    <cellStyle name="Logical 4 2 2 3" xfId="34733" xr:uid="{00000000-0005-0000-0000-0000A8870000}"/>
    <cellStyle name="Logical 4 2 2 4" xfId="34734" xr:uid="{00000000-0005-0000-0000-0000A9870000}"/>
    <cellStyle name="Logical 4 2 2 5" xfId="34735" xr:uid="{00000000-0005-0000-0000-0000AA870000}"/>
    <cellStyle name="Logical 4 2 2 6" xfId="34736" xr:uid="{00000000-0005-0000-0000-0000AB870000}"/>
    <cellStyle name="Logical 4 2 3" xfId="34737" xr:uid="{00000000-0005-0000-0000-0000AC870000}"/>
    <cellStyle name="Logical 4 2 4" xfId="34738" xr:uid="{00000000-0005-0000-0000-0000AD870000}"/>
    <cellStyle name="Logical 4 2 5" xfId="34739" xr:uid="{00000000-0005-0000-0000-0000AE870000}"/>
    <cellStyle name="Logical 4 2 6" xfId="34740" xr:uid="{00000000-0005-0000-0000-0000AF870000}"/>
    <cellStyle name="Logical 4 3" xfId="34741" xr:uid="{00000000-0005-0000-0000-0000B0870000}"/>
    <cellStyle name="Logical 4 3 2" xfId="34742" xr:uid="{00000000-0005-0000-0000-0000B1870000}"/>
    <cellStyle name="Logical 4 3 2 2" xfId="34743" xr:uid="{00000000-0005-0000-0000-0000B2870000}"/>
    <cellStyle name="Logical 4 3 2 3" xfId="34744" xr:uid="{00000000-0005-0000-0000-0000B3870000}"/>
    <cellStyle name="Logical 4 3 2 4" xfId="34745" xr:uid="{00000000-0005-0000-0000-0000B4870000}"/>
    <cellStyle name="Logical 4 3 2 5" xfId="34746" xr:uid="{00000000-0005-0000-0000-0000B5870000}"/>
    <cellStyle name="Logical 4 3 2 6" xfId="34747" xr:uid="{00000000-0005-0000-0000-0000B6870000}"/>
    <cellStyle name="Logical 4 3 3" xfId="34748" xr:uid="{00000000-0005-0000-0000-0000B7870000}"/>
    <cellStyle name="Logical 4 3 4" xfId="34749" xr:uid="{00000000-0005-0000-0000-0000B8870000}"/>
    <cellStyle name="Logical 4 3 5" xfId="34750" xr:uid="{00000000-0005-0000-0000-0000B9870000}"/>
    <cellStyle name="Logical 4 3 6" xfId="34751" xr:uid="{00000000-0005-0000-0000-0000BA870000}"/>
    <cellStyle name="Logical 4 4" xfId="34752" xr:uid="{00000000-0005-0000-0000-0000BB870000}"/>
    <cellStyle name="Logical 4 4 2" xfId="34753" xr:uid="{00000000-0005-0000-0000-0000BC870000}"/>
    <cellStyle name="Logical 4 4 3" xfId="34754" xr:uid="{00000000-0005-0000-0000-0000BD870000}"/>
    <cellStyle name="Logical 4 4 4" xfId="34755" xr:uid="{00000000-0005-0000-0000-0000BE870000}"/>
    <cellStyle name="Logical 4 4 5" xfId="34756" xr:uid="{00000000-0005-0000-0000-0000BF870000}"/>
    <cellStyle name="Logical 4 4 6" xfId="34757" xr:uid="{00000000-0005-0000-0000-0000C0870000}"/>
    <cellStyle name="Logical 4 5" xfId="34758" xr:uid="{00000000-0005-0000-0000-0000C1870000}"/>
    <cellStyle name="Logical 4 6" xfId="34759" xr:uid="{00000000-0005-0000-0000-0000C2870000}"/>
    <cellStyle name="Logical 4 7" xfId="34760" xr:uid="{00000000-0005-0000-0000-0000C3870000}"/>
    <cellStyle name="Logical 4 8" xfId="34761" xr:uid="{00000000-0005-0000-0000-0000C4870000}"/>
    <cellStyle name="Logical 5" xfId="34762" xr:uid="{00000000-0005-0000-0000-0000C5870000}"/>
    <cellStyle name="Logical 5 2" xfId="34763" xr:uid="{00000000-0005-0000-0000-0000C6870000}"/>
    <cellStyle name="Logical 5 2 2" xfId="34764" xr:uid="{00000000-0005-0000-0000-0000C7870000}"/>
    <cellStyle name="Logical 5 2 2 2" xfId="34765" xr:uid="{00000000-0005-0000-0000-0000C8870000}"/>
    <cellStyle name="Logical 5 2 2 3" xfId="34766" xr:uid="{00000000-0005-0000-0000-0000C9870000}"/>
    <cellStyle name="Logical 5 2 2 4" xfId="34767" xr:uid="{00000000-0005-0000-0000-0000CA870000}"/>
    <cellStyle name="Logical 5 2 2 5" xfId="34768" xr:uid="{00000000-0005-0000-0000-0000CB870000}"/>
    <cellStyle name="Logical 5 2 2 6" xfId="34769" xr:uid="{00000000-0005-0000-0000-0000CC870000}"/>
    <cellStyle name="Logical 5 2 3" xfId="34770" xr:uid="{00000000-0005-0000-0000-0000CD870000}"/>
    <cellStyle name="Logical 5 2 4" xfId="34771" xr:uid="{00000000-0005-0000-0000-0000CE870000}"/>
    <cellStyle name="Logical 5 2 5" xfId="34772" xr:uid="{00000000-0005-0000-0000-0000CF870000}"/>
    <cellStyle name="Logical 5 2 6" xfId="34773" xr:uid="{00000000-0005-0000-0000-0000D0870000}"/>
    <cellStyle name="Logical 5 3" xfId="34774" xr:uid="{00000000-0005-0000-0000-0000D1870000}"/>
    <cellStyle name="Logical 5 3 2" xfId="34775" xr:uid="{00000000-0005-0000-0000-0000D2870000}"/>
    <cellStyle name="Logical 5 3 2 2" xfId="34776" xr:uid="{00000000-0005-0000-0000-0000D3870000}"/>
    <cellStyle name="Logical 5 3 2 3" xfId="34777" xr:uid="{00000000-0005-0000-0000-0000D4870000}"/>
    <cellStyle name="Logical 5 3 2 4" xfId="34778" xr:uid="{00000000-0005-0000-0000-0000D5870000}"/>
    <cellStyle name="Logical 5 3 2 5" xfId="34779" xr:uid="{00000000-0005-0000-0000-0000D6870000}"/>
    <cellStyle name="Logical 5 3 2 6" xfId="34780" xr:uid="{00000000-0005-0000-0000-0000D7870000}"/>
    <cellStyle name="Logical 5 3 3" xfId="34781" xr:uid="{00000000-0005-0000-0000-0000D8870000}"/>
    <cellStyle name="Logical 5 3 4" xfId="34782" xr:uid="{00000000-0005-0000-0000-0000D9870000}"/>
    <cellStyle name="Logical 5 3 5" xfId="34783" xr:uid="{00000000-0005-0000-0000-0000DA870000}"/>
    <cellStyle name="Logical 5 3 6" xfId="34784" xr:uid="{00000000-0005-0000-0000-0000DB870000}"/>
    <cellStyle name="Logical 5 4" xfId="34785" xr:uid="{00000000-0005-0000-0000-0000DC870000}"/>
    <cellStyle name="Logical 5 4 2" xfId="34786" xr:uid="{00000000-0005-0000-0000-0000DD870000}"/>
    <cellStyle name="Logical 5 4 3" xfId="34787" xr:uid="{00000000-0005-0000-0000-0000DE870000}"/>
    <cellStyle name="Logical 5 4 4" xfId="34788" xr:uid="{00000000-0005-0000-0000-0000DF870000}"/>
    <cellStyle name="Logical 5 4 5" xfId="34789" xr:uid="{00000000-0005-0000-0000-0000E0870000}"/>
    <cellStyle name="Logical 5 4 6" xfId="34790" xr:uid="{00000000-0005-0000-0000-0000E1870000}"/>
    <cellStyle name="Logical 5 5" xfId="34791" xr:uid="{00000000-0005-0000-0000-0000E2870000}"/>
    <cellStyle name="Logical 5 6" xfId="34792" xr:uid="{00000000-0005-0000-0000-0000E3870000}"/>
    <cellStyle name="Logical 5 7" xfId="34793" xr:uid="{00000000-0005-0000-0000-0000E4870000}"/>
    <cellStyle name="Logical 5 8" xfId="34794" xr:uid="{00000000-0005-0000-0000-0000E5870000}"/>
    <cellStyle name="Logical 6" xfId="34795" xr:uid="{00000000-0005-0000-0000-0000E6870000}"/>
    <cellStyle name="Logical 6 2" xfId="34796" xr:uid="{00000000-0005-0000-0000-0000E7870000}"/>
    <cellStyle name="Logical 6 2 2" xfId="34797" xr:uid="{00000000-0005-0000-0000-0000E8870000}"/>
    <cellStyle name="Logical 6 2 2 2" xfId="34798" xr:uid="{00000000-0005-0000-0000-0000E9870000}"/>
    <cellStyle name="Logical 6 2 2 3" xfId="34799" xr:uid="{00000000-0005-0000-0000-0000EA870000}"/>
    <cellStyle name="Logical 6 2 2 4" xfId="34800" xr:uid="{00000000-0005-0000-0000-0000EB870000}"/>
    <cellStyle name="Logical 6 2 2 5" xfId="34801" xr:uid="{00000000-0005-0000-0000-0000EC870000}"/>
    <cellStyle name="Logical 6 2 2 6" xfId="34802" xr:uid="{00000000-0005-0000-0000-0000ED870000}"/>
    <cellStyle name="Logical 6 2 3" xfId="34803" xr:uid="{00000000-0005-0000-0000-0000EE870000}"/>
    <cellStyle name="Logical 6 2 4" xfId="34804" xr:uid="{00000000-0005-0000-0000-0000EF870000}"/>
    <cellStyle name="Logical 6 2 5" xfId="34805" xr:uid="{00000000-0005-0000-0000-0000F0870000}"/>
    <cellStyle name="Logical 6 2 6" xfId="34806" xr:uid="{00000000-0005-0000-0000-0000F1870000}"/>
    <cellStyle name="Logical 6 3" xfId="34807" xr:uid="{00000000-0005-0000-0000-0000F2870000}"/>
    <cellStyle name="Logical 6 3 2" xfId="34808" xr:uid="{00000000-0005-0000-0000-0000F3870000}"/>
    <cellStyle name="Logical 6 3 2 2" xfId="34809" xr:uid="{00000000-0005-0000-0000-0000F4870000}"/>
    <cellStyle name="Logical 6 3 2 3" xfId="34810" xr:uid="{00000000-0005-0000-0000-0000F5870000}"/>
    <cellStyle name="Logical 6 3 2 4" xfId="34811" xr:uid="{00000000-0005-0000-0000-0000F6870000}"/>
    <cellStyle name="Logical 6 3 2 5" xfId="34812" xr:uid="{00000000-0005-0000-0000-0000F7870000}"/>
    <cellStyle name="Logical 6 3 2 6" xfId="34813" xr:uid="{00000000-0005-0000-0000-0000F8870000}"/>
    <cellStyle name="Logical 6 3 3" xfId="34814" xr:uid="{00000000-0005-0000-0000-0000F9870000}"/>
    <cellStyle name="Logical 6 3 4" xfId="34815" xr:uid="{00000000-0005-0000-0000-0000FA870000}"/>
    <cellStyle name="Logical 6 3 5" xfId="34816" xr:uid="{00000000-0005-0000-0000-0000FB870000}"/>
    <cellStyle name="Logical 6 3 6" xfId="34817" xr:uid="{00000000-0005-0000-0000-0000FC870000}"/>
    <cellStyle name="Logical 6 4" xfId="34818" xr:uid="{00000000-0005-0000-0000-0000FD870000}"/>
    <cellStyle name="Logical 6 4 2" xfId="34819" xr:uid="{00000000-0005-0000-0000-0000FE870000}"/>
    <cellStyle name="Logical 6 4 3" xfId="34820" xr:uid="{00000000-0005-0000-0000-0000FF870000}"/>
    <cellStyle name="Logical 6 4 4" xfId="34821" xr:uid="{00000000-0005-0000-0000-000000880000}"/>
    <cellStyle name="Logical 6 4 5" xfId="34822" xr:uid="{00000000-0005-0000-0000-000001880000}"/>
    <cellStyle name="Logical 6 4 6" xfId="34823" xr:uid="{00000000-0005-0000-0000-000002880000}"/>
    <cellStyle name="Logical 6 5" xfId="34824" xr:uid="{00000000-0005-0000-0000-000003880000}"/>
    <cellStyle name="Logical 6 6" xfId="34825" xr:uid="{00000000-0005-0000-0000-000004880000}"/>
    <cellStyle name="Logical 6 7" xfId="34826" xr:uid="{00000000-0005-0000-0000-000005880000}"/>
    <cellStyle name="Logical 6 8" xfId="34827" xr:uid="{00000000-0005-0000-0000-000006880000}"/>
    <cellStyle name="Logical 7" xfId="34828" xr:uid="{00000000-0005-0000-0000-000007880000}"/>
    <cellStyle name="Logical 7 2" xfId="34829" xr:uid="{00000000-0005-0000-0000-000008880000}"/>
    <cellStyle name="Logical 7 2 2" xfId="34830" xr:uid="{00000000-0005-0000-0000-000009880000}"/>
    <cellStyle name="Logical 7 2 3" xfId="34831" xr:uid="{00000000-0005-0000-0000-00000A880000}"/>
    <cellStyle name="Logical 7 2 4" xfId="34832" xr:uid="{00000000-0005-0000-0000-00000B880000}"/>
    <cellStyle name="Logical 7 2 5" xfId="34833" xr:uid="{00000000-0005-0000-0000-00000C880000}"/>
    <cellStyle name="Logical 7 2 6" xfId="34834" xr:uid="{00000000-0005-0000-0000-00000D880000}"/>
    <cellStyle name="Logical 7 3" xfId="34835" xr:uid="{00000000-0005-0000-0000-00000E880000}"/>
    <cellStyle name="Logical 7 4" xfId="34836" xr:uid="{00000000-0005-0000-0000-00000F880000}"/>
    <cellStyle name="Logical 7 5" xfId="34837" xr:uid="{00000000-0005-0000-0000-000010880000}"/>
    <cellStyle name="Logical 7 6" xfId="34838" xr:uid="{00000000-0005-0000-0000-000011880000}"/>
    <cellStyle name="Logical 8" xfId="34839" xr:uid="{00000000-0005-0000-0000-000012880000}"/>
    <cellStyle name="Logical 8 2" xfId="34840" xr:uid="{00000000-0005-0000-0000-000013880000}"/>
    <cellStyle name="Logical 8 2 2" xfId="34841" xr:uid="{00000000-0005-0000-0000-000014880000}"/>
    <cellStyle name="Logical 8 2 3" xfId="34842" xr:uid="{00000000-0005-0000-0000-000015880000}"/>
    <cellStyle name="Logical 8 2 4" xfId="34843" xr:uid="{00000000-0005-0000-0000-000016880000}"/>
    <cellStyle name="Logical 8 2 5" xfId="34844" xr:uid="{00000000-0005-0000-0000-000017880000}"/>
    <cellStyle name="Logical 8 2 6" xfId="34845" xr:uid="{00000000-0005-0000-0000-000018880000}"/>
    <cellStyle name="Logical 8 3" xfId="34846" xr:uid="{00000000-0005-0000-0000-000019880000}"/>
    <cellStyle name="Logical 8 4" xfId="34847" xr:uid="{00000000-0005-0000-0000-00001A880000}"/>
    <cellStyle name="Logical 8 5" xfId="34848" xr:uid="{00000000-0005-0000-0000-00001B880000}"/>
    <cellStyle name="Logical 8 6" xfId="34849" xr:uid="{00000000-0005-0000-0000-00001C880000}"/>
    <cellStyle name="Logical 9" xfId="34850" xr:uid="{00000000-0005-0000-0000-00001D880000}"/>
    <cellStyle name="Logical 9 2" xfId="34851" xr:uid="{00000000-0005-0000-0000-00001E880000}"/>
    <cellStyle name="Logical 9 3" xfId="34852" xr:uid="{00000000-0005-0000-0000-00001F880000}"/>
    <cellStyle name="Logical 9 4" xfId="34853" xr:uid="{00000000-0005-0000-0000-000020880000}"/>
    <cellStyle name="Logical 9 5" xfId="34854" xr:uid="{00000000-0005-0000-0000-000021880000}"/>
    <cellStyle name="Logical 9 6" xfId="34855" xr:uid="{00000000-0005-0000-0000-000022880000}"/>
    <cellStyle name="Map Labels" xfId="34856" xr:uid="{00000000-0005-0000-0000-000023880000}"/>
    <cellStyle name="Map Labels 2" xfId="34857" xr:uid="{00000000-0005-0000-0000-000024880000}"/>
    <cellStyle name="Map Labels 2 2" xfId="34858" xr:uid="{00000000-0005-0000-0000-000025880000}"/>
    <cellStyle name="Map Labels 3" xfId="34859" xr:uid="{00000000-0005-0000-0000-000026880000}"/>
    <cellStyle name="Map Labels 4" xfId="34860" xr:uid="{00000000-0005-0000-0000-000027880000}"/>
    <cellStyle name="Map Labels 5" xfId="34861" xr:uid="{00000000-0005-0000-0000-000028880000}"/>
    <cellStyle name="Map Labels 6" xfId="34862" xr:uid="{00000000-0005-0000-0000-000029880000}"/>
    <cellStyle name="Map Legend" xfId="34863" xr:uid="{00000000-0005-0000-0000-00002A880000}"/>
    <cellStyle name="Map Legend 2" xfId="34864" xr:uid="{00000000-0005-0000-0000-00002B880000}"/>
    <cellStyle name="Map Legend 2 2" xfId="34865" xr:uid="{00000000-0005-0000-0000-00002C880000}"/>
    <cellStyle name="Map Legend 3" xfId="34866" xr:uid="{00000000-0005-0000-0000-00002D880000}"/>
    <cellStyle name="Map Legend 4" xfId="34867" xr:uid="{00000000-0005-0000-0000-00002E880000}"/>
    <cellStyle name="Map Legend 5" xfId="34868" xr:uid="{00000000-0005-0000-0000-00002F880000}"/>
    <cellStyle name="Map Legend 6" xfId="34869" xr:uid="{00000000-0005-0000-0000-000030880000}"/>
    <cellStyle name="Map Title" xfId="34870" xr:uid="{00000000-0005-0000-0000-000031880000}"/>
    <cellStyle name="Map Title 2" xfId="34871" xr:uid="{00000000-0005-0000-0000-000032880000}"/>
    <cellStyle name="Map Title 2 2" xfId="34872" xr:uid="{00000000-0005-0000-0000-000033880000}"/>
    <cellStyle name="Map Title 3" xfId="34873" xr:uid="{00000000-0005-0000-0000-000034880000}"/>
    <cellStyle name="Map Title 4" xfId="34874" xr:uid="{00000000-0005-0000-0000-000035880000}"/>
    <cellStyle name="Map Title 5" xfId="34875" xr:uid="{00000000-0005-0000-0000-000036880000}"/>
    <cellStyle name="Map Title 6" xfId="34876" xr:uid="{00000000-0005-0000-0000-000037880000}"/>
    <cellStyle name="Millares [0]_ARE" xfId="34877" xr:uid="{00000000-0005-0000-0000-000038880000}"/>
    <cellStyle name="Millares_ARE" xfId="34878" xr:uid="{00000000-0005-0000-0000-000039880000}"/>
    <cellStyle name="Milliers [0]_PERSONAL" xfId="34879" xr:uid="{00000000-0005-0000-0000-00003A880000}"/>
    <cellStyle name="Milliers_PERSONAL" xfId="34880" xr:uid="{00000000-0005-0000-0000-00003B880000}"/>
    <cellStyle name="Moneda [0]_ARE" xfId="34881" xr:uid="{00000000-0005-0000-0000-00003C880000}"/>
    <cellStyle name="Moneda_ARE" xfId="34882" xr:uid="{00000000-0005-0000-0000-00003D880000}"/>
    <cellStyle name="Monétaire [0]_PERSONAL" xfId="34883" xr:uid="{00000000-0005-0000-0000-00003E880000}"/>
    <cellStyle name="Monétaire_PERSONAL" xfId="34884" xr:uid="{00000000-0005-0000-0000-00003F880000}"/>
    <cellStyle name="Month" xfId="34885" xr:uid="{00000000-0005-0000-0000-000040880000}"/>
    <cellStyle name="Multiple" xfId="34886" xr:uid="{00000000-0005-0000-0000-000041880000}"/>
    <cellStyle name="N,NNN (blank 0)" xfId="34887" xr:uid="{00000000-0005-0000-0000-000042880000}"/>
    <cellStyle name="Neutral 2" xfId="34888" xr:uid="{00000000-0005-0000-0000-000043880000}"/>
    <cellStyle name="Neutral 2 2" xfId="34889" xr:uid="{00000000-0005-0000-0000-000044880000}"/>
    <cellStyle name="Neutral 3" xfId="34890" xr:uid="{00000000-0005-0000-0000-000045880000}"/>
    <cellStyle name="Neutral 4" xfId="34891" xr:uid="{00000000-0005-0000-0000-000046880000}"/>
    <cellStyle name="no dec" xfId="34892" xr:uid="{00000000-0005-0000-0000-000047880000}"/>
    <cellStyle name="No-Action" xfId="34893" xr:uid="{00000000-0005-0000-0000-000048880000}"/>
    <cellStyle name="No-definido" xfId="34894" xr:uid="{00000000-0005-0000-0000-000049880000}"/>
    <cellStyle name="NoEntry" xfId="34895" xr:uid="{00000000-0005-0000-0000-00004A880000}"/>
    <cellStyle name="NoEntry 2" xfId="34896" xr:uid="{00000000-0005-0000-0000-00004B880000}"/>
    <cellStyle name="Normal" xfId="0" builtinId="0"/>
    <cellStyle name="Normal - Style1" xfId="34897" xr:uid="{00000000-0005-0000-0000-00004D880000}"/>
    <cellStyle name="Normal 10" xfId="34898" xr:uid="{00000000-0005-0000-0000-00004E880000}"/>
    <cellStyle name="Normal 10 2" xfId="34899" xr:uid="{00000000-0005-0000-0000-00004F880000}"/>
    <cellStyle name="Normal 10 2 2" xfId="34900" xr:uid="{00000000-0005-0000-0000-000050880000}"/>
    <cellStyle name="Normal 10 2 3" xfId="34901" xr:uid="{00000000-0005-0000-0000-000051880000}"/>
    <cellStyle name="Normal 10 2 4" xfId="34902" xr:uid="{00000000-0005-0000-0000-000052880000}"/>
    <cellStyle name="Normal 10 2 4 2" xfId="34903" xr:uid="{00000000-0005-0000-0000-000053880000}"/>
    <cellStyle name="Normal 10 2 4 2 2" xfId="34904" xr:uid="{00000000-0005-0000-0000-000054880000}"/>
    <cellStyle name="Normal 10 2 4 2 2 2" xfId="34905" xr:uid="{00000000-0005-0000-0000-000055880000}"/>
    <cellStyle name="Normal 10 2 4 2 3" xfId="34906" xr:uid="{00000000-0005-0000-0000-000056880000}"/>
    <cellStyle name="Normal 10 2 4 3" xfId="34907" xr:uid="{00000000-0005-0000-0000-000057880000}"/>
    <cellStyle name="Normal 10 2 4 3 2" xfId="34908" xr:uid="{00000000-0005-0000-0000-000058880000}"/>
    <cellStyle name="Normal 10 2 4 4" xfId="34909" xr:uid="{00000000-0005-0000-0000-000059880000}"/>
    <cellStyle name="Normal 10 2 5" xfId="34910" xr:uid="{00000000-0005-0000-0000-00005A880000}"/>
    <cellStyle name="Normal 10 2 5 2" xfId="34911" xr:uid="{00000000-0005-0000-0000-00005B880000}"/>
    <cellStyle name="Normal 10 2 5 2 2" xfId="34912" xr:uid="{00000000-0005-0000-0000-00005C880000}"/>
    <cellStyle name="Normal 10 2 5 3" xfId="34913" xr:uid="{00000000-0005-0000-0000-00005D880000}"/>
    <cellStyle name="Normal 10 2 6" xfId="34914" xr:uid="{00000000-0005-0000-0000-00005E880000}"/>
    <cellStyle name="Normal 10 2 6 2" xfId="34915" xr:uid="{00000000-0005-0000-0000-00005F880000}"/>
    <cellStyle name="Normal 10 2 7" xfId="34916" xr:uid="{00000000-0005-0000-0000-000060880000}"/>
    <cellStyle name="Normal 10 3" xfId="34917" xr:uid="{00000000-0005-0000-0000-000061880000}"/>
    <cellStyle name="Normal 10 3 2" xfId="34918" xr:uid="{00000000-0005-0000-0000-000062880000}"/>
    <cellStyle name="Normal 10 4" xfId="34919" xr:uid="{00000000-0005-0000-0000-000063880000}"/>
    <cellStyle name="Normal 10 4 2" xfId="34920" xr:uid="{00000000-0005-0000-0000-000064880000}"/>
    <cellStyle name="Normal 10 5" xfId="34921" xr:uid="{00000000-0005-0000-0000-000065880000}"/>
    <cellStyle name="Normal 100" xfId="34922" xr:uid="{00000000-0005-0000-0000-000066880000}"/>
    <cellStyle name="Normal 101" xfId="34923" xr:uid="{00000000-0005-0000-0000-000067880000}"/>
    <cellStyle name="Normal 102" xfId="34924" xr:uid="{00000000-0005-0000-0000-000068880000}"/>
    <cellStyle name="Normal 103" xfId="34925" xr:uid="{00000000-0005-0000-0000-000069880000}"/>
    <cellStyle name="Normal 103 2" xfId="34926" xr:uid="{00000000-0005-0000-0000-00006A880000}"/>
    <cellStyle name="Normal 103 2 2" xfId="34927" xr:uid="{00000000-0005-0000-0000-00006B880000}"/>
    <cellStyle name="Normal 103 2 2 2" xfId="34928" xr:uid="{00000000-0005-0000-0000-00006C880000}"/>
    <cellStyle name="Normal 103 2 2 2 2" xfId="34929" xr:uid="{00000000-0005-0000-0000-00006D880000}"/>
    <cellStyle name="Normal 103 2 2 2 2 2" xfId="34930" xr:uid="{00000000-0005-0000-0000-00006E880000}"/>
    <cellStyle name="Normal 103 2 2 2 3" xfId="34931" xr:uid="{00000000-0005-0000-0000-00006F880000}"/>
    <cellStyle name="Normal 103 2 2 3" xfId="34932" xr:uid="{00000000-0005-0000-0000-000070880000}"/>
    <cellStyle name="Normal 103 2 2 3 2" xfId="34933" xr:uid="{00000000-0005-0000-0000-000071880000}"/>
    <cellStyle name="Normal 103 2 2 4" xfId="34934" xr:uid="{00000000-0005-0000-0000-000072880000}"/>
    <cellStyle name="Normal 103 2 3" xfId="34935" xr:uid="{00000000-0005-0000-0000-000073880000}"/>
    <cellStyle name="Normal 103 2 3 2" xfId="34936" xr:uid="{00000000-0005-0000-0000-000074880000}"/>
    <cellStyle name="Normal 103 2 3 2 2" xfId="34937" xr:uid="{00000000-0005-0000-0000-000075880000}"/>
    <cellStyle name="Normal 103 2 3 3" xfId="34938" xr:uid="{00000000-0005-0000-0000-000076880000}"/>
    <cellStyle name="Normal 103 2 4" xfId="34939" xr:uid="{00000000-0005-0000-0000-000077880000}"/>
    <cellStyle name="Normal 103 2 4 2" xfId="34940" xr:uid="{00000000-0005-0000-0000-000078880000}"/>
    <cellStyle name="Normal 103 2 5" xfId="34941" xr:uid="{00000000-0005-0000-0000-000079880000}"/>
    <cellStyle name="Normal 103 3" xfId="34942" xr:uid="{00000000-0005-0000-0000-00007A880000}"/>
    <cellStyle name="Normal 103 3 2" xfId="34943" xr:uid="{00000000-0005-0000-0000-00007B880000}"/>
    <cellStyle name="Normal 103 4" xfId="34944" xr:uid="{00000000-0005-0000-0000-00007C880000}"/>
    <cellStyle name="Normal 104" xfId="34945" xr:uid="{00000000-0005-0000-0000-00007D880000}"/>
    <cellStyle name="Normal 105" xfId="34946" xr:uid="{00000000-0005-0000-0000-00007E880000}"/>
    <cellStyle name="Normal 105 2" xfId="34947" xr:uid="{00000000-0005-0000-0000-00007F880000}"/>
    <cellStyle name="Normal 106" xfId="34948" xr:uid="{00000000-0005-0000-0000-000080880000}"/>
    <cellStyle name="Normal 106 2" xfId="34949" xr:uid="{00000000-0005-0000-0000-000081880000}"/>
    <cellStyle name="Normal 107" xfId="34950" xr:uid="{00000000-0005-0000-0000-000082880000}"/>
    <cellStyle name="Normal 107 2" xfId="34951" xr:uid="{00000000-0005-0000-0000-000083880000}"/>
    <cellStyle name="Normal 107 2 2" xfId="34952" xr:uid="{00000000-0005-0000-0000-000084880000}"/>
    <cellStyle name="Normal 107 2 2 2" xfId="34953" xr:uid="{00000000-0005-0000-0000-000085880000}"/>
    <cellStyle name="Normal 107 2 3" xfId="34954" xr:uid="{00000000-0005-0000-0000-000086880000}"/>
    <cellStyle name="Normal 107 3" xfId="34955" xr:uid="{00000000-0005-0000-0000-000087880000}"/>
    <cellStyle name="Normal 107 3 2" xfId="34956" xr:uid="{00000000-0005-0000-0000-000088880000}"/>
    <cellStyle name="Normal 107 4" xfId="34957" xr:uid="{00000000-0005-0000-0000-000089880000}"/>
    <cellStyle name="Normal 108" xfId="34958" xr:uid="{00000000-0005-0000-0000-00008A880000}"/>
    <cellStyle name="Normal 108 2" xfId="34959" xr:uid="{00000000-0005-0000-0000-00008B880000}"/>
    <cellStyle name="Normal 108 2 2" xfId="34960" xr:uid="{00000000-0005-0000-0000-00008C880000}"/>
    <cellStyle name="Normal 108 3" xfId="34961" xr:uid="{00000000-0005-0000-0000-00008D880000}"/>
    <cellStyle name="Normal 108 3 2" xfId="34962" xr:uid="{00000000-0005-0000-0000-00008E880000}"/>
    <cellStyle name="Normal 108 3 2 2" xfId="34963" xr:uid="{00000000-0005-0000-0000-00008F880000}"/>
    <cellStyle name="Normal 108 3 2 2 2" xfId="34964" xr:uid="{00000000-0005-0000-0000-000090880000}"/>
    <cellStyle name="Normal 108 3 2 2 3" xfId="34965" xr:uid="{00000000-0005-0000-0000-000091880000}"/>
    <cellStyle name="Normal 108 3 2 3" xfId="34966" xr:uid="{00000000-0005-0000-0000-000092880000}"/>
    <cellStyle name="Normal 108 3 3" xfId="34967" xr:uid="{00000000-0005-0000-0000-000093880000}"/>
    <cellStyle name="Normal 108 4" xfId="34968" xr:uid="{00000000-0005-0000-0000-000094880000}"/>
    <cellStyle name="Normal 109" xfId="34969" xr:uid="{00000000-0005-0000-0000-000095880000}"/>
    <cellStyle name="Normal 109 2" xfId="34970" xr:uid="{00000000-0005-0000-0000-000096880000}"/>
    <cellStyle name="Normal 109 2 2" xfId="34971" xr:uid="{00000000-0005-0000-0000-000097880000}"/>
    <cellStyle name="Normal 109 3" xfId="34972" xr:uid="{00000000-0005-0000-0000-000098880000}"/>
    <cellStyle name="Normal 11" xfId="34973" xr:uid="{00000000-0005-0000-0000-000099880000}"/>
    <cellStyle name="Normal 11 2" xfId="34974" xr:uid="{00000000-0005-0000-0000-00009A880000}"/>
    <cellStyle name="Normal 11 2 2" xfId="34975" xr:uid="{00000000-0005-0000-0000-00009B880000}"/>
    <cellStyle name="Normal 11 2 3" xfId="34976" xr:uid="{00000000-0005-0000-0000-00009C880000}"/>
    <cellStyle name="Normal 11 2 4" xfId="34977" xr:uid="{00000000-0005-0000-0000-00009D880000}"/>
    <cellStyle name="Normal 11 2 5" xfId="34978" xr:uid="{00000000-0005-0000-0000-00009E880000}"/>
    <cellStyle name="Normal 11 3" xfId="34979" xr:uid="{00000000-0005-0000-0000-00009F880000}"/>
    <cellStyle name="Normal 11 3 2" xfId="34980" xr:uid="{00000000-0005-0000-0000-0000A0880000}"/>
    <cellStyle name="Normal 11 3 2 2" xfId="34981" xr:uid="{00000000-0005-0000-0000-0000A1880000}"/>
    <cellStyle name="Normal 11 3 3" xfId="34982" xr:uid="{00000000-0005-0000-0000-0000A2880000}"/>
    <cellStyle name="Normal 11 3 3 2" xfId="34983" xr:uid="{00000000-0005-0000-0000-0000A3880000}"/>
    <cellStyle name="Normal 11 3 4" xfId="34984" xr:uid="{00000000-0005-0000-0000-0000A4880000}"/>
    <cellStyle name="Normal 11 4" xfId="34985" xr:uid="{00000000-0005-0000-0000-0000A5880000}"/>
    <cellStyle name="Normal 11 4 2" xfId="34986" xr:uid="{00000000-0005-0000-0000-0000A6880000}"/>
    <cellStyle name="Normal 11 4 2 2" xfId="34987" xr:uid="{00000000-0005-0000-0000-0000A7880000}"/>
    <cellStyle name="Normal 11 4 2 2 2" xfId="34988" xr:uid="{00000000-0005-0000-0000-0000A8880000}"/>
    <cellStyle name="Normal 11 4 2 3" xfId="34989" xr:uid="{00000000-0005-0000-0000-0000A9880000}"/>
    <cellStyle name="Normal 11 4 3" xfId="34990" xr:uid="{00000000-0005-0000-0000-0000AA880000}"/>
    <cellStyle name="Normal 11 4 3 2" xfId="34991" xr:uid="{00000000-0005-0000-0000-0000AB880000}"/>
    <cellStyle name="Normal 11 4 4" xfId="34992" xr:uid="{00000000-0005-0000-0000-0000AC880000}"/>
    <cellStyle name="Normal 11 5" xfId="34993" xr:uid="{00000000-0005-0000-0000-0000AD880000}"/>
    <cellStyle name="Normal 11 5 2" xfId="34994" xr:uid="{00000000-0005-0000-0000-0000AE880000}"/>
    <cellStyle name="Normal 11 5 2 2" xfId="34995" xr:uid="{00000000-0005-0000-0000-0000AF880000}"/>
    <cellStyle name="Normal 11 5 3" xfId="34996" xr:uid="{00000000-0005-0000-0000-0000B0880000}"/>
    <cellStyle name="Normal 11 6" xfId="34997" xr:uid="{00000000-0005-0000-0000-0000B1880000}"/>
    <cellStyle name="Normal 11 6 2" xfId="34998" xr:uid="{00000000-0005-0000-0000-0000B2880000}"/>
    <cellStyle name="Normal 11 7" xfId="34999" xr:uid="{00000000-0005-0000-0000-0000B3880000}"/>
    <cellStyle name="Normal 11 8" xfId="35000" xr:uid="{00000000-0005-0000-0000-0000B4880000}"/>
    <cellStyle name="Normal 110" xfId="35001" xr:uid="{00000000-0005-0000-0000-0000B5880000}"/>
    <cellStyle name="Normal 110 2" xfId="35002" xr:uid="{00000000-0005-0000-0000-0000B6880000}"/>
    <cellStyle name="Normal 110 2 2" xfId="35003" xr:uid="{00000000-0005-0000-0000-0000B7880000}"/>
    <cellStyle name="Normal 110 3" xfId="35004" xr:uid="{00000000-0005-0000-0000-0000B8880000}"/>
    <cellStyle name="Normal 111" xfId="35005" xr:uid="{00000000-0005-0000-0000-0000B9880000}"/>
    <cellStyle name="Normal 111 2" xfId="35006" xr:uid="{00000000-0005-0000-0000-0000BA880000}"/>
    <cellStyle name="Normal 111 2 2" xfId="35007" xr:uid="{00000000-0005-0000-0000-0000BB880000}"/>
    <cellStyle name="Normal 111 2 2 2" xfId="35008" xr:uid="{00000000-0005-0000-0000-0000BC880000}"/>
    <cellStyle name="Normal 111 2 2 2 2" xfId="35009" xr:uid="{00000000-0005-0000-0000-0000BD880000}"/>
    <cellStyle name="Normal 111 2 2 2 2 2" xfId="35010" xr:uid="{00000000-0005-0000-0000-0000BE880000}"/>
    <cellStyle name="Normal 111 2 2 2 2 3" xfId="35011" xr:uid="{00000000-0005-0000-0000-0000BF880000}"/>
    <cellStyle name="Normal 111 2 2 2 3" xfId="35012" xr:uid="{00000000-0005-0000-0000-0000C0880000}"/>
    <cellStyle name="Normal 111 2 2 3" xfId="35013" xr:uid="{00000000-0005-0000-0000-0000C1880000}"/>
    <cellStyle name="Normal 111 2 3" xfId="35014" xr:uid="{00000000-0005-0000-0000-0000C2880000}"/>
    <cellStyle name="Normal 111 2 3 2" xfId="35015" xr:uid="{00000000-0005-0000-0000-0000C3880000}"/>
    <cellStyle name="Normal 111 2 3 2 2" xfId="35016" xr:uid="{00000000-0005-0000-0000-0000C4880000}"/>
    <cellStyle name="Normal 111 2 3 2 3" xfId="35017" xr:uid="{00000000-0005-0000-0000-0000C5880000}"/>
    <cellStyle name="Normal 111 2 3 3" xfId="35018" xr:uid="{00000000-0005-0000-0000-0000C6880000}"/>
    <cellStyle name="Normal 111 2 4" xfId="35019" xr:uid="{00000000-0005-0000-0000-0000C7880000}"/>
    <cellStyle name="Normal 111 3" xfId="35020" xr:uid="{00000000-0005-0000-0000-0000C8880000}"/>
    <cellStyle name="Normal 111 3 2" xfId="35021" xr:uid="{00000000-0005-0000-0000-0000C9880000}"/>
    <cellStyle name="Normal 111 3 2 2" xfId="35022" xr:uid="{00000000-0005-0000-0000-0000CA880000}"/>
    <cellStyle name="Normal 111 3 3" xfId="35023" xr:uid="{00000000-0005-0000-0000-0000CB880000}"/>
    <cellStyle name="Normal 111 4" xfId="35024" xr:uid="{00000000-0005-0000-0000-0000CC880000}"/>
    <cellStyle name="Normal 111 4 2" xfId="35025" xr:uid="{00000000-0005-0000-0000-0000CD880000}"/>
    <cellStyle name="Normal 111 5" xfId="35026" xr:uid="{00000000-0005-0000-0000-0000CE880000}"/>
    <cellStyle name="Normal 112" xfId="35027" xr:uid="{00000000-0005-0000-0000-0000CF880000}"/>
    <cellStyle name="Normal 112 2" xfId="35028" xr:uid="{00000000-0005-0000-0000-0000D0880000}"/>
    <cellStyle name="Normal 112 2 2" xfId="35029" xr:uid="{00000000-0005-0000-0000-0000D1880000}"/>
    <cellStyle name="Normal 112 2 2 2" xfId="35030" xr:uid="{00000000-0005-0000-0000-0000D2880000}"/>
    <cellStyle name="Normal 112 2 3" xfId="35031" xr:uid="{00000000-0005-0000-0000-0000D3880000}"/>
    <cellStyle name="Normal 112 3" xfId="35032" xr:uid="{00000000-0005-0000-0000-0000D4880000}"/>
    <cellStyle name="Normal 112 3 2" xfId="35033" xr:uid="{00000000-0005-0000-0000-0000D5880000}"/>
    <cellStyle name="Normal 112 4" xfId="35034" xr:uid="{00000000-0005-0000-0000-0000D6880000}"/>
    <cellStyle name="Normal 113" xfId="35035" xr:uid="{00000000-0005-0000-0000-0000D7880000}"/>
    <cellStyle name="Normal 113 2" xfId="35036" xr:uid="{00000000-0005-0000-0000-0000D8880000}"/>
    <cellStyle name="Normal 113 2 2" xfId="35037" xr:uid="{00000000-0005-0000-0000-0000D9880000}"/>
    <cellStyle name="Normal 113 2 2 2" xfId="35038" xr:uid="{00000000-0005-0000-0000-0000DA880000}"/>
    <cellStyle name="Normal 113 2 2 2 2" xfId="35039" xr:uid="{00000000-0005-0000-0000-0000DB880000}"/>
    <cellStyle name="Normal 113 2 2 2 2 2" xfId="35040" xr:uid="{00000000-0005-0000-0000-0000DC880000}"/>
    <cellStyle name="Normal 113 2 2 2 3" xfId="35041" xr:uid="{00000000-0005-0000-0000-0000DD880000}"/>
    <cellStyle name="Normal 113 2 2 3" xfId="35042" xr:uid="{00000000-0005-0000-0000-0000DE880000}"/>
    <cellStyle name="Normal 113 2 2 3 2" xfId="35043" xr:uid="{00000000-0005-0000-0000-0000DF880000}"/>
    <cellStyle name="Normal 113 2 2 4" xfId="35044" xr:uid="{00000000-0005-0000-0000-0000E0880000}"/>
    <cellStyle name="Normal 113 2 3" xfId="35045" xr:uid="{00000000-0005-0000-0000-0000E1880000}"/>
    <cellStyle name="Normal 113 2 3 2" xfId="35046" xr:uid="{00000000-0005-0000-0000-0000E2880000}"/>
    <cellStyle name="Normal 113 2 3 2 2" xfId="35047" xr:uid="{00000000-0005-0000-0000-0000E3880000}"/>
    <cellStyle name="Normal 113 2 3 3" xfId="35048" xr:uid="{00000000-0005-0000-0000-0000E4880000}"/>
    <cellStyle name="Normal 113 2 4" xfId="35049" xr:uid="{00000000-0005-0000-0000-0000E5880000}"/>
    <cellStyle name="Normal 113 2 4 2" xfId="35050" xr:uid="{00000000-0005-0000-0000-0000E6880000}"/>
    <cellStyle name="Normal 113 2 5" xfId="35051" xr:uid="{00000000-0005-0000-0000-0000E7880000}"/>
    <cellStyle name="Normal 113 3" xfId="35052" xr:uid="{00000000-0005-0000-0000-0000E8880000}"/>
    <cellStyle name="Normal 113 3 2" xfId="35053" xr:uid="{00000000-0005-0000-0000-0000E9880000}"/>
    <cellStyle name="Normal 113 3 2 2" xfId="35054" xr:uid="{00000000-0005-0000-0000-0000EA880000}"/>
    <cellStyle name="Normal 113 3 2 2 2" xfId="35055" xr:uid="{00000000-0005-0000-0000-0000EB880000}"/>
    <cellStyle name="Normal 113 3 2 3" xfId="35056" xr:uid="{00000000-0005-0000-0000-0000EC880000}"/>
    <cellStyle name="Normal 113 3 3" xfId="35057" xr:uid="{00000000-0005-0000-0000-0000ED880000}"/>
    <cellStyle name="Normal 113 3 3 2" xfId="35058" xr:uid="{00000000-0005-0000-0000-0000EE880000}"/>
    <cellStyle name="Normal 113 3 4" xfId="35059" xr:uid="{00000000-0005-0000-0000-0000EF880000}"/>
    <cellStyle name="Normal 113 4" xfId="35060" xr:uid="{00000000-0005-0000-0000-0000F0880000}"/>
    <cellStyle name="Normal 113 4 2" xfId="35061" xr:uid="{00000000-0005-0000-0000-0000F1880000}"/>
    <cellStyle name="Normal 113 4 2 2" xfId="35062" xr:uid="{00000000-0005-0000-0000-0000F2880000}"/>
    <cellStyle name="Normal 113 4 3" xfId="35063" xr:uid="{00000000-0005-0000-0000-0000F3880000}"/>
    <cellStyle name="Normal 113 5" xfId="35064" xr:uid="{00000000-0005-0000-0000-0000F4880000}"/>
    <cellStyle name="Normal 113 5 2" xfId="35065" xr:uid="{00000000-0005-0000-0000-0000F5880000}"/>
    <cellStyle name="Normal 113 6" xfId="35066" xr:uid="{00000000-0005-0000-0000-0000F6880000}"/>
    <cellStyle name="Normal 114" xfId="35067" xr:uid="{00000000-0005-0000-0000-0000F7880000}"/>
    <cellStyle name="Normal 114 2" xfId="35068" xr:uid="{00000000-0005-0000-0000-0000F8880000}"/>
    <cellStyle name="Normal 114 2 2" xfId="35069" xr:uid="{00000000-0005-0000-0000-0000F9880000}"/>
    <cellStyle name="Normal 115" xfId="35070" xr:uid="{00000000-0005-0000-0000-0000FA880000}"/>
    <cellStyle name="Normal 115 2" xfId="35071" xr:uid="{00000000-0005-0000-0000-0000FB880000}"/>
    <cellStyle name="Normal 115 2 2" xfId="35072" xr:uid="{00000000-0005-0000-0000-0000FC880000}"/>
    <cellStyle name="Normal 115 3" xfId="35073" xr:uid="{00000000-0005-0000-0000-0000FD880000}"/>
    <cellStyle name="Normal 116" xfId="35074" xr:uid="{00000000-0005-0000-0000-0000FE880000}"/>
    <cellStyle name="Normal 116 2" xfId="35075" xr:uid="{00000000-0005-0000-0000-0000FF880000}"/>
    <cellStyle name="Normal 116 2 2" xfId="35076" xr:uid="{00000000-0005-0000-0000-000000890000}"/>
    <cellStyle name="Normal 116 3" xfId="35077" xr:uid="{00000000-0005-0000-0000-000001890000}"/>
    <cellStyle name="Normal 117" xfId="35078" xr:uid="{00000000-0005-0000-0000-000002890000}"/>
    <cellStyle name="Normal 117 2" xfId="35079" xr:uid="{00000000-0005-0000-0000-000003890000}"/>
    <cellStyle name="Normal 118" xfId="35080" xr:uid="{00000000-0005-0000-0000-000004890000}"/>
    <cellStyle name="Normal 118 2" xfId="35081" xr:uid="{00000000-0005-0000-0000-000005890000}"/>
    <cellStyle name="Normal 119" xfId="35082" xr:uid="{00000000-0005-0000-0000-000006890000}"/>
    <cellStyle name="Normal 119 2" xfId="35083" xr:uid="{00000000-0005-0000-0000-000007890000}"/>
    <cellStyle name="Normal 119 2 2" xfId="35084" xr:uid="{00000000-0005-0000-0000-000008890000}"/>
    <cellStyle name="Normal 119 2 2 2" xfId="35085" xr:uid="{00000000-0005-0000-0000-000009890000}"/>
    <cellStyle name="Normal 119 2 3" xfId="35086" xr:uid="{00000000-0005-0000-0000-00000A890000}"/>
    <cellStyle name="Normal 119 3" xfId="35087" xr:uid="{00000000-0005-0000-0000-00000B890000}"/>
    <cellStyle name="Normal 119 3 2" xfId="35088" xr:uid="{00000000-0005-0000-0000-00000C890000}"/>
    <cellStyle name="Normal 119 4" xfId="35089" xr:uid="{00000000-0005-0000-0000-00000D890000}"/>
    <cellStyle name="Normal 12" xfId="35090" xr:uid="{00000000-0005-0000-0000-00000E890000}"/>
    <cellStyle name="Normal 12 2" xfId="35091" xr:uid="{00000000-0005-0000-0000-00000F890000}"/>
    <cellStyle name="Normal 12 2 2" xfId="35092" xr:uid="{00000000-0005-0000-0000-000010890000}"/>
    <cellStyle name="Normal 12 2 3" xfId="35093" xr:uid="{00000000-0005-0000-0000-000011890000}"/>
    <cellStyle name="Normal 12 3" xfId="35094" xr:uid="{00000000-0005-0000-0000-000012890000}"/>
    <cellStyle name="Normal 12 3 2" xfId="35095" xr:uid="{00000000-0005-0000-0000-000013890000}"/>
    <cellStyle name="Normal 12 3 2 2" xfId="35096" xr:uid="{00000000-0005-0000-0000-000014890000}"/>
    <cellStyle name="Normal 12 3 2 2 2" xfId="35097" xr:uid="{00000000-0005-0000-0000-000015890000}"/>
    <cellStyle name="Normal 12 3 2 3" xfId="35098" xr:uid="{00000000-0005-0000-0000-000016890000}"/>
    <cellStyle name="Normal 12 3 3" xfId="35099" xr:uid="{00000000-0005-0000-0000-000017890000}"/>
    <cellStyle name="Normal 12 3 3 2" xfId="35100" xr:uid="{00000000-0005-0000-0000-000018890000}"/>
    <cellStyle name="Normal 12 3 4" xfId="35101" xr:uid="{00000000-0005-0000-0000-000019890000}"/>
    <cellStyle name="Normal 12 4" xfId="35102" xr:uid="{00000000-0005-0000-0000-00001A890000}"/>
    <cellStyle name="Normal 12 4 2" xfId="35103" xr:uid="{00000000-0005-0000-0000-00001B890000}"/>
    <cellStyle name="Normal 12 4 2 2" xfId="35104" xr:uid="{00000000-0005-0000-0000-00001C890000}"/>
    <cellStyle name="Normal 12 4 3" xfId="35105" xr:uid="{00000000-0005-0000-0000-00001D890000}"/>
    <cellStyle name="Normal 12 5" xfId="35106" xr:uid="{00000000-0005-0000-0000-00001E890000}"/>
    <cellStyle name="Normal 12 5 2" xfId="35107" xr:uid="{00000000-0005-0000-0000-00001F890000}"/>
    <cellStyle name="Normal 12 6" xfId="35108" xr:uid="{00000000-0005-0000-0000-000020890000}"/>
    <cellStyle name="Normal 12 7" xfId="35109" xr:uid="{00000000-0005-0000-0000-000021890000}"/>
    <cellStyle name="Normal 120" xfId="35110" xr:uid="{00000000-0005-0000-0000-000022890000}"/>
    <cellStyle name="Normal 120 2" xfId="35111" xr:uid="{00000000-0005-0000-0000-000023890000}"/>
    <cellStyle name="Normal 120 2 2" xfId="35112" xr:uid="{00000000-0005-0000-0000-000024890000}"/>
    <cellStyle name="Normal 120 2 2 2" xfId="35113" xr:uid="{00000000-0005-0000-0000-000025890000}"/>
    <cellStyle name="Normal 120 2 3" xfId="35114" xr:uid="{00000000-0005-0000-0000-000026890000}"/>
    <cellStyle name="Normal 120 3" xfId="35115" xr:uid="{00000000-0005-0000-0000-000027890000}"/>
    <cellStyle name="Normal 120 3 2" xfId="35116" xr:uid="{00000000-0005-0000-0000-000028890000}"/>
    <cellStyle name="Normal 120 4" xfId="35117" xr:uid="{00000000-0005-0000-0000-000029890000}"/>
    <cellStyle name="Normal 121" xfId="35118" xr:uid="{00000000-0005-0000-0000-00002A890000}"/>
    <cellStyle name="Normal 121 2" xfId="35119" xr:uid="{00000000-0005-0000-0000-00002B890000}"/>
    <cellStyle name="Normal 121 2 2" xfId="35120" xr:uid="{00000000-0005-0000-0000-00002C890000}"/>
    <cellStyle name="Normal 121 2 2 2" xfId="35121" xr:uid="{00000000-0005-0000-0000-00002D890000}"/>
    <cellStyle name="Normal 121 2 2 3" xfId="35122" xr:uid="{00000000-0005-0000-0000-00002E890000}"/>
    <cellStyle name="Normal 121 2 3" xfId="35123" xr:uid="{00000000-0005-0000-0000-00002F890000}"/>
    <cellStyle name="Normal 121 3" xfId="35124" xr:uid="{00000000-0005-0000-0000-000030890000}"/>
    <cellStyle name="Normal 122" xfId="35125" xr:uid="{00000000-0005-0000-0000-000031890000}"/>
    <cellStyle name="Normal 122 2" xfId="35126" xr:uid="{00000000-0005-0000-0000-000032890000}"/>
    <cellStyle name="Normal 123" xfId="35127" xr:uid="{00000000-0005-0000-0000-000033890000}"/>
    <cellStyle name="Normal 123 2" xfId="35128" xr:uid="{00000000-0005-0000-0000-000034890000}"/>
    <cellStyle name="Normal 123 2 2" xfId="35129" xr:uid="{00000000-0005-0000-0000-000035890000}"/>
    <cellStyle name="Normal 123 3" xfId="35130" xr:uid="{00000000-0005-0000-0000-000036890000}"/>
    <cellStyle name="Normal 124" xfId="35131" xr:uid="{00000000-0005-0000-0000-000037890000}"/>
    <cellStyle name="Normal 124 2" xfId="35132" xr:uid="{00000000-0005-0000-0000-000038890000}"/>
    <cellStyle name="Normal 124 2 2" xfId="35133" xr:uid="{00000000-0005-0000-0000-000039890000}"/>
    <cellStyle name="Normal 124 3" xfId="35134" xr:uid="{00000000-0005-0000-0000-00003A890000}"/>
    <cellStyle name="Normal 125" xfId="35135" xr:uid="{00000000-0005-0000-0000-00003B890000}"/>
    <cellStyle name="Normal 125 2" xfId="35136" xr:uid="{00000000-0005-0000-0000-00003C890000}"/>
    <cellStyle name="Normal 126" xfId="35137" xr:uid="{00000000-0005-0000-0000-00003D890000}"/>
    <cellStyle name="Normal 126 2" xfId="35138" xr:uid="{00000000-0005-0000-0000-00003E890000}"/>
    <cellStyle name="Normal 127" xfId="35139" xr:uid="{00000000-0005-0000-0000-00003F890000}"/>
    <cellStyle name="Normal 127 2" xfId="35140" xr:uid="{00000000-0005-0000-0000-000040890000}"/>
    <cellStyle name="Normal 128" xfId="35141" xr:uid="{00000000-0005-0000-0000-000041890000}"/>
    <cellStyle name="Normal 128 2" xfId="35142" xr:uid="{00000000-0005-0000-0000-000042890000}"/>
    <cellStyle name="Normal 128 2 2" xfId="35143" xr:uid="{00000000-0005-0000-0000-000043890000}"/>
    <cellStyle name="Normal 128 3" xfId="35144" xr:uid="{00000000-0005-0000-0000-000044890000}"/>
    <cellStyle name="Normal 129" xfId="35145" xr:uid="{00000000-0005-0000-0000-000045890000}"/>
    <cellStyle name="Normal 129 2" xfId="35146" xr:uid="{00000000-0005-0000-0000-000046890000}"/>
    <cellStyle name="Normal 13" xfId="35147" xr:uid="{00000000-0005-0000-0000-000047890000}"/>
    <cellStyle name="Normal 13 2" xfId="35148" xr:uid="{00000000-0005-0000-0000-000048890000}"/>
    <cellStyle name="Normal 13 2 2" xfId="35149" xr:uid="{00000000-0005-0000-0000-000049890000}"/>
    <cellStyle name="Normal 13 2 2 2" xfId="35150" xr:uid="{00000000-0005-0000-0000-00004A890000}"/>
    <cellStyle name="Normal 13 2 2 3" xfId="35151" xr:uid="{00000000-0005-0000-0000-00004B890000}"/>
    <cellStyle name="Normal 13 2 3" xfId="35152" xr:uid="{00000000-0005-0000-0000-00004C890000}"/>
    <cellStyle name="Normal 13 2 3 2" xfId="35153" xr:uid="{00000000-0005-0000-0000-00004D890000}"/>
    <cellStyle name="Normal 13 2 3 3" xfId="35154" xr:uid="{00000000-0005-0000-0000-00004E890000}"/>
    <cellStyle name="Normal 13 2 4" xfId="35155" xr:uid="{00000000-0005-0000-0000-00004F890000}"/>
    <cellStyle name="Normal 13 2 4 2" xfId="35156" xr:uid="{00000000-0005-0000-0000-000050890000}"/>
    <cellStyle name="Normal 13 2 5" xfId="35157" xr:uid="{00000000-0005-0000-0000-000051890000}"/>
    <cellStyle name="Normal 13 2 6" xfId="35158" xr:uid="{00000000-0005-0000-0000-000052890000}"/>
    <cellStyle name="Normal 13 3" xfId="35159" xr:uid="{00000000-0005-0000-0000-000053890000}"/>
    <cellStyle name="Normal 13 3 2" xfId="35160" xr:uid="{00000000-0005-0000-0000-000054890000}"/>
    <cellStyle name="Normal 13 3 2 2" xfId="35161" xr:uid="{00000000-0005-0000-0000-000055890000}"/>
    <cellStyle name="Normal 13 3 2 2 2" xfId="35162" xr:uid="{00000000-0005-0000-0000-000056890000}"/>
    <cellStyle name="Normal 13 3 2 3" xfId="35163" xr:uid="{00000000-0005-0000-0000-000057890000}"/>
    <cellStyle name="Normal 13 3 3" xfId="35164" xr:uid="{00000000-0005-0000-0000-000058890000}"/>
    <cellStyle name="Normal 13 3 3 2" xfId="35165" xr:uid="{00000000-0005-0000-0000-000059890000}"/>
    <cellStyle name="Normal 13 3 4" xfId="35166" xr:uid="{00000000-0005-0000-0000-00005A890000}"/>
    <cellStyle name="Normal 13 4" xfId="35167" xr:uid="{00000000-0005-0000-0000-00005B890000}"/>
    <cellStyle name="Normal 13 4 2" xfId="35168" xr:uid="{00000000-0005-0000-0000-00005C890000}"/>
    <cellStyle name="Normal 13 4 2 2" xfId="35169" xr:uid="{00000000-0005-0000-0000-00005D890000}"/>
    <cellStyle name="Normal 13 4 3" xfId="35170" xr:uid="{00000000-0005-0000-0000-00005E890000}"/>
    <cellStyle name="Normal 13 5" xfId="35171" xr:uid="{00000000-0005-0000-0000-00005F890000}"/>
    <cellStyle name="Normal 13 5 2" xfId="35172" xr:uid="{00000000-0005-0000-0000-000060890000}"/>
    <cellStyle name="Normal 13 6" xfId="35173" xr:uid="{00000000-0005-0000-0000-000061890000}"/>
    <cellStyle name="Normal 13 7" xfId="35174" xr:uid="{00000000-0005-0000-0000-000062890000}"/>
    <cellStyle name="Normal 130" xfId="35175" xr:uid="{00000000-0005-0000-0000-000063890000}"/>
    <cellStyle name="Normal 130 2" xfId="35176" xr:uid="{00000000-0005-0000-0000-000064890000}"/>
    <cellStyle name="Normal 131" xfId="35177" xr:uid="{00000000-0005-0000-0000-000065890000}"/>
    <cellStyle name="Normal 131 2" xfId="35178" xr:uid="{00000000-0005-0000-0000-000066890000}"/>
    <cellStyle name="Normal 132" xfId="35179" xr:uid="{00000000-0005-0000-0000-000067890000}"/>
    <cellStyle name="Normal 132 2" xfId="35180" xr:uid="{00000000-0005-0000-0000-000068890000}"/>
    <cellStyle name="Normal 133" xfId="35181" xr:uid="{00000000-0005-0000-0000-000069890000}"/>
    <cellStyle name="Normal 134" xfId="35182" xr:uid="{00000000-0005-0000-0000-00006A890000}"/>
    <cellStyle name="Normal 135" xfId="35183" xr:uid="{00000000-0005-0000-0000-00006B890000}"/>
    <cellStyle name="Normal 136" xfId="35184" xr:uid="{00000000-0005-0000-0000-00006C890000}"/>
    <cellStyle name="Normal 137" xfId="35185" xr:uid="{00000000-0005-0000-0000-00006D890000}"/>
    <cellStyle name="Normal 138" xfId="35186" xr:uid="{00000000-0005-0000-0000-00006E890000}"/>
    <cellStyle name="Normal 139" xfId="35187" xr:uid="{00000000-0005-0000-0000-00006F890000}"/>
    <cellStyle name="Normal 14" xfId="35188" xr:uid="{00000000-0005-0000-0000-000070890000}"/>
    <cellStyle name="Normal 14 2" xfId="35189" xr:uid="{00000000-0005-0000-0000-000071890000}"/>
    <cellStyle name="Normal 14 3" xfId="35190" xr:uid="{00000000-0005-0000-0000-000072890000}"/>
    <cellStyle name="Normal 14 4" xfId="35191" xr:uid="{00000000-0005-0000-0000-000073890000}"/>
    <cellStyle name="Normal 140" xfId="35192" xr:uid="{00000000-0005-0000-0000-000074890000}"/>
    <cellStyle name="Normal 141" xfId="35193" xr:uid="{00000000-0005-0000-0000-000075890000}"/>
    <cellStyle name="Normal 141 2" xfId="35194" xr:uid="{00000000-0005-0000-0000-000076890000}"/>
    <cellStyle name="Normal 141 2 2" xfId="35195" xr:uid="{00000000-0005-0000-0000-000077890000}"/>
    <cellStyle name="Normal 141 2 2 2" xfId="35196" xr:uid="{00000000-0005-0000-0000-000078890000}"/>
    <cellStyle name="Normal 141 2 3" xfId="35197" xr:uid="{00000000-0005-0000-0000-000079890000}"/>
    <cellStyle name="Normal 141 3" xfId="35198" xr:uid="{00000000-0005-0000-0000-00007A890000}"/>
    <cellStyle name="Normal 141 3 2" xfId="35199" xr:uid="{00000000-0005-0000-0000-00007B890000}"/>
    <cellStyle name="Normal 141 4" xfId="35200" xr:uid="{00000000-0005-0000-0000-00007C890000}"/>
    <cellStyle name="Normal 142" xfId="35201" xr:uid="{00000000-0005-0000-0000-00007D890000}"/>
    <cellStyle name="Normal 143" xfId="35202" xr:uid="{00000000-0005-0000-0000-00007E890000}"/>
    <cellStyle name="Normal 144" xfId="35203" xr:uid="{00000000-0005-0000-0000-00007F890000}"/>
    <cellStyle name="Normal 144 2" xfId="35204" xr:uid="{00000000-0005-0000-0000-000080890000}"/>
    <cellStyle name="Normal 144 2 2" xfId="35205" xr:uid="{00000000-0005-0000-0000-000081890000}"/>
    <cellStyle name="Normal 144 3" xfId="35206" xr:uid="{00000000-0005-0000-0000-000082890000}"/>
    <cellStyle name="Normal 145" xfId="35207" xr:uid="{00000000-0005-0000-0000-000083890000}"/>
    <cellStyle name="Normal 145 2" xfId="35208" xr:uid="{00000000-0005-0000-0000-000084890000}"/>
    <cellStyle name="Normal 145 2 2" xfId="35209" xr:uid="{00000000-0005-0000-0000-000085890000}"/>
    <cellStyle name="Normal 145 3" xfId="35210" xr:uid="{00000000-0005-0000-0000-000086890000}"/>
    <cellStyle name="Normal 146" xfId="35211" xr:uid="{00000000-0005-0000-0000-000087890000}"/>
    <cellStyle name="Normal 147" xfId="35212" xr:uid="{00000000-0005-0000-0000-000088890000}"/>
    <cellStyle name="Normal 147 2" xfId="35213" xr:uid="{00000000-0005-0000-0000-000089890000}"/>
    <cellStyle name="Normal 147 2 2" xfId="35214" xr:uid="{00000000-0005-0000-0000-00008A890000}"/>
    <cellStyle name="Normal 147 3" xfId="35215" xr:uid="{00000000-0005-0000-0000-00008B890000}"/>
    <cellStyle name="Normal 148" xfId="35216" xr:uid="{00000000-0005-0000-0000-00008C890000}"/>
    <cellStyle name="Normal 149" xfId="35217" xr:uid="{00000000-0005-0000-0000-00008D890000}"/>
    <cellStyle name="Normal 149 2" xfId="35218" xr:uid="{00000000-0005-0000-0000-00008E890000}"/>
    <cellStyle name="Normal 15" xfId="35219" xr:uid="{00000000-0005-0000-0000-00008F890000}"/>
    <cellStyle name="Normal 15 2" xfId="35220" xr:uid="{00000000-0005-0000-0000-000090890000}"/>
    <cellStyle name="Normal 15 3" xfId="35221" xr:uid="{00000000-0005-0000-0000-000091890000}"/>
    <cellStyle name="Normal 15 3 2" xfId="35222" xr:uid="{00000000-0005-0000-0000-000092890000}"/>
    <cellStyle name="Normal 15 3 2 2" xfId="35223" xr:uid="{00000000-0005-0000-0000-000093890000}"/>
    <cellStyle name="Normal 15 3 2 2 2" xfId="35224" xr:uid="{00000000-0005-0000-0000-000094890000}"/>
    <cellStyle name="Normal 15 3 2 3" xfId="35225" xr:uid="{00000000-0005-0000-0000-000095890000}"/>
    <cellStyle name="Normal 15 3 3" xfId="35226" xr:uid="{00000000-0005-0000-0000-000096890000}"/>
    <cellStyle name="Normal 15 3 3 2" xfId="35227" xr:uid="{00000000-0005-0000-0000-000097890000}"/>
    <cellStyle name="Normal 15 3 4" xfId="35228" xr:uid="{00000000-0005-0000-0000-000098890000}"/>
    <cellStyle name="Normal 15 4" xfId="35229" xr:uid="{00000000-0005-0000-0000-000099890000}"/>
    <cellStyle name="Normal 15 4 2" xfId="35230" xr:uid="{00000000-0005-0000-0000-00009A890000}"/>
    <cellStyle name="Normal 15 4 2 2" xfId="35231" xr:uid="{00000000-0005-0000-0000-00009B890000}"/>
    <cellStyle name="Normal 15 4 3" xfId="35232" xr:uid="{00000000-0005-0000-0000-00009C890000}"/>
    <cellStyle name="Normal 15 5" xfId="35233" xr:uid="{00000000-0005-0000-0000-00009D890000}"/>
    <cellStyle name="Normal 15 5 2" xfId="35234" xr:uid="{00000000-0005-0000-0000-00009E890000}"/>
    <cellStyle name="Normal 15 6" xfId="35235" xr:uid="{00000000-0005-0000-0000-00009F890000}"/>
    <cellStyle name="Normal 150" xfId="35236" xr:uid="{00000000-0005-0000-0000-0000A0890000}"/>
    <cellStyle name="Normal 150 2" xfId="35237" xr:uid="{00000000-0005-0000-0000-0000A1890000}"/>
    <cellStyle name="Normal 151" xfId="35238" xr:uid="{00000000-0005-0000-0000-0000A2890000}"/>
    <cellStyle name="Normal 151 2" xfId="35239" xr:uid="{00000000-0005-0000-0000-0000A3890000}"/>
    <cellStyle name="Normal 152" xfId="35240" xr:uid="{00000000-0005-0000-0000-0000A4890000}"/>
    <cellStyle name="Normal 152 2" xfId="35241" xr:uid="{00000000-0005-0000-0000-0000A5890000}"/>
    <cellStyle name="Normal 153" xfId="35242" xr:uid="{00000000-0005-0000-0000-0000A6890000}"/>
    <cellStyle name="Normal 153 2" xfId="35243" xr:uid="{00000000-0005-0000-0000-0000A7890000}"/>
    <cellStyle name="Normal 154" xfId="35244" xr:uid="{00000000-0005-0000-0000-0000A8890000}"/>
    <cellStyle name="Normal 155" xfId="35245" xr:uid="{00000000-0005-0000-0000-0000A9890000}"/>
    <cellStyle name="Normal 156" xfId="35246" xr:uid="{00000000-0005-0000-0000-0000AA890000}"/>
    <cellStyle name="Normal 157" xfId="35247" xr:uid="{00000000-0005-0000-0000-0000AB890000}"/>
    <cellStyle name="Normal 158" xfId="35248" xr:uid="{00000000-0005-0000-0000-0000AC890000}"/>
    <cellStyle name="Normal 159" xfId="35249" xr:uid="{00000000-0005-0000-0000-0000AD890000}"/>
    <cellStyle name="Normal 16" xfId="35250" xr:uid="{00000000-0005-0000-0000-0000AE890000}"/>
    <cellStyle name="Normal 16 2" xfId="35251" xr:uid="{00000000-0005-0000-0000-0000AF890000}"/>
    <cellStyle name="Normal 16 3" xfId="35252" xr:uid="{00000000-0005-0000-0000-0000B0890000}"/>
    <cellStyle name="Normal 16 3 2" xfId="35253" xr:uid="{00000000-0005-0000-0000-0000B1890000}"/>
    <cellStyle name="Normal 16 3 2 2" xfId="35254" xr:uid="{00000000-0005-0000-0000-0000B2890000}"/>
    <cellStyle name="Normal 16 3 2 2 2" xfId="35255" xr:uid="{00000000-0005-0000-0000-0000B3890000}"/>
    <cellStyle name="Normal 16 3 2 3" xfId="35256" xr:uid="{00000000-0005-0000-0000-0000B4890000}"/>
    <cellStyle name="Normal 16 3 3" xfId="35257" xr:uid="{00000000-0005-0000-0000-0000B5890000}"/>
    <cellStyle name="Normal 16 3 3 2" xfId="35258" xr:uid="{00000000-0005-0000-0000-0000B6890000}"/>
    <cellStyle name="Normal 16 3 4" xfId="35259" xr:uid="{00000000-0005-0000-0000-0000B7890000}"/>
    <cellStyle name="Normal 16 4" xfId="35260" xr:uid="{00000000-0005-0000-0000-0000B8890000}"/>
    <cellStyle name="Normal 16 4 2" xfId="35261" xr:uid="{00000000-0005-0000-0000-0000B9890000}"/>
    <cellStyle name="Normal 16 4 2 2" xfId="35262" xr:uid="{00000000-0005-0000-0000-0000BA890000}"/>
    <cellStyle name="Normal 16 4 3" xfId="35263" xr:uid="{00000000-0005-0000-0000-0000BB890000}"/>
    <cellStyle name="Normal 16 5" xfId="35264" xr:uid="{00000000-0005-0000-0000-0000BC890000}"/>
    <cellStyle name="Normal 16 5 2" xfId="35265" xr:uid="{00000000-0005-0000-0000-0000BD890000}"/>
    <cellStyle name="Normal 16 6" xfId="35266" xr:uid="{00000000-0005-0000-0000-0000BE890000}"/>
    <cellStyle name="Normal 160" xfId="35267" xr:uid="{00000000-0005-0000-0000-0000BF890000}"/>
    <cellStyle name="Normal 17" xfId="35268" xr:uid="{00000000-0005-0000-0000-0000C0890000}"/>
    <cellStyle name="Normal 17 2" xfId="35269" xr:uid="{00000000-0005-0000-0000-0000C1890000}"/>
    <cellStyle name="Normal 17 3" xfId="35270" xr:uid="{00000000-0005-0000-0000-0000C2890000}"/>
    <cellStyle name="Normal 17 3 2" xfId="35271" xr:uid="{00000000-0005-0000-0000-0000C3890000}"/>
    <cellStyle name="Normal 17 3 2 2" xfId="35272" xr:uid="{00000000-0005-0000-0000-0000C4890000}"/>
    <cellStyle name="Normal 17 3 2 2 2" xfId="35273" xr:uid="{00000000-0005-0000-0000-0000C5890000}"/>
    <cellStyle name="Normal 17 3 2 3" xfId="35274" xr:uid="{00000000-0005-0000-0000-0000C6890000}"/>
    <cellStyle name="Normal 17 3 3" xfId="35275" xr:uid="{00000000-0005-0000-0000-0000C7890000}"/>
    <cellStyle name="Normal 17 3 3 2" xfId="35276" xr:uid="{00000000-0005-0000-0000-0000C8890000}"/>
    <cellStyle name="Normal 17 3 4" xfId="35277" xr:uid="{00000000-0005-0000-0000-0000C9890000}"/>
    <cellStyle name="Normal 17 4" xfId="35278" xr:uid="{00000000-0005-0000-0000-0000CA890000}"/>
    <cellStyle name="Normal 17 4 2" xfId="35279" xr:uid="{00000000-0005-0000-0000-0000CB890000}"/>
    <cellStyle name="Normal 17 4 2 2" xfId="35280" xr:uid="{00000000-0005-0000-0000-0000CC890000}"/>
    <cellStyle name="Normal 17 4 3" xfId="35281" xr:uid="{00000000-0005-0000-0000-0000CD890000}"/>
    <cellStyle name="Normal 17 5" xfId="35282" xr:uid="{00000000-0005-0000-0000-0000CE890000}"/>
    <cellStyle name="Normal 17 5 2" xfId="35283" xr:uid="{00000000-0005-0000-0000-0000CF890000}"/>
    <cellStyle name="Normal 17 6" xfId="35284" xr:uid="{00000000-0005-0000-0000-0000D0890000}"/>
    <cellStyle name="Normal 18" xfId="35285" xr:uid="{00000000-0005-0000-0000-0000D1890000}"/>
    <cellStyle name="Normal 18 2" xfId="35286" xr:uid="{00000000-0005-0000-0000-0000D2890000}"/>
    <cellStyle name="Normal 18 3" xfId="35287" xr:uid="{00000000-0005-0000-0000-0000D3890000}"/>
    <cellStyle name="Normal 18 3 2" xfId="35288" xr:uid="{00000000-0005-0000-0000-0000D4890000}"/>
    <cellStyle name="Normal 18 3 2 2" xfId="35289" xr:uid="{00000000-0005-0000-0000-0000D5890000}"/>
    <cellStyle name="Normal 18 3 2 2 2" xfId="35290" xr:uid="{00000000-0005-0000-0000-0000D6890000}"/>
    <cellStyle name="Normal 18 3 2 3" xfId="35291" xr:uid="{00000000-0005-0000-0000-0000D7890000}"/>
    <cellStyle name="Normal 18 3 3" xfId="35292" xr:uid="{00000000-0005-0000-0000-0000D8890000}"/>
    <cellStyle name="Normal 18 3 3 2" xfId="35293" xr:uid="{00000000-0005-0000-0000-0000D9890000}"/>
    <cellStyle name="Normal 18 3 4" xfId="35294" xr:uid="{00000000-0005-0000-0000-0000DA890000}"/>
    <cellStyle name="Normal 18 4" xfId="35295" xr:uid="{00000000-0005-0000-0000-0000DB890000}"/>
    <cellStyle name="Normal 18 4 2" xfId="35296" xr:uid="{00000000-0005-0000-0000-0000DC890000}"/>
    <cellStyle name="Normal 18 4 2 2" xfId="35297" xr:uid="{00000000-0005-0000-0000-0000DD890000}"/>
    <cellStyle name="Normal 18 4 3" xfId="35298" xr:uid="{00000000-0005-0000-0000-0000DE890000}"/>
    <cellStyle name="Normal 18 5" xfId="35299" xr:uid="{00000000-0005-0000-0000-0000DF890000}"/>
    <cellStyle name="Normal 18 5 2" xfId="35300" xr:uid="{00000000-0005-0000-0000-0000E0890000}"/>
    <cellStyle name="Normal 18 6" xfId="35301" xr:uid="{00000000-0005-0000-0000-0000E1890000}"/>
    <cellStyle name="Normal 19" xfId="35302" xr:uid="{00000000-0005-0000-0000-0000E2890000}"/>
    <cellStyle name="Normal 19 2" xfId="35303" xr:uid="{00000000-0005-0000-0000-0000E3890000}"/>
    <cellStyle name="Normal 19 3" xfId="35304" xr:uid="{00000000-0005-0000-0000-0000E4890000}"/>
    <cellStyle name="Normal 19 3 2" xfId="35305" xr:uid="{00000000-0005-0000-0000-0000E5890000}"/>
    <cellStyle name="Normal 19 3 2 2" xfId="35306" xr:uid="{00000000-0005-0000-0000-0000E6890000}"/>
    <cellStyle name="Normal 19 3 2 2 2" xfId="35307" xr:uid="{00000000-0005-0000-0000-0000E7890000}"/>
    <cellStyle name="Normal 19 3 2 3" xfId="35308" xr:uid="{00000000-0005-0000-0000-0000E8890000}"/>
    <cellStyle name="Normal 19 3 3" xfId="35309" xr:uid="{00000000-0005-0000-0000-0000E9890000}"/>
    <cellStyle name="Normal 19 3 3 2" xfId="35310" xr:uid="{00000000-0005-0000-0000-0000EA890000}"/>
    <cellStyle name="Normal 19 3 4" xfId="35311" xr:uid="{00000000-0005-0000-0000-0000EB890000}"/>
    <cellStyle name="Normal 19 4" xfId="35312" xr:uid="{00000000-0005-0000-0000-0000EC890000}"/>
    <cellStyle name="Normal 19 4 2" xfId="35313" xr:uid="{00000000-0005-0000-0000-0000ED890000}"/>
    <cellStyle name="Normal 19 4 2 2" xfId="35314" xr:uid="{00000000-0005-0000-0000-0000EE890000}"/>
    <cellStyle name="Normal 19 4 3" xfId="35315" xr:uid="{00000000-0005-0000-0000-0000EF890000}"/>
    <cellStyle name="Normal 19 5" xfId="35316" xr:uid="{00000000-0005-0000-0000-0000F0890000}"/>
    <cellStyle name="Normal 19 5 2" xfId="35317" xr:uid="{00000000-0005-0000-0000-0000F1890000}"/>
    <cellStyle name="Normal 19 6" xfId="35318" xr:uid="{00000000-0005-0000-0000-0000F2890000}"/>
    <cellStyle name="Normal 2" xfId="35319" xr:uid="{00000000-0005-0000-0000-0000F3890000}"/>
    <cellStyle name="Normal 2 10" xfId="35320" xr:uid="{00000000-0005-0000-0000-0000F4890000}"/>
    <cellStyle name="Normal 2 10 2" xfId="35321" xr:uid="{00000000-0005-0000-0000-0000F5890000}"/>
    <cellStyle name="Normal 2 10 3" xfId="35322" xr:uid="{00000000-0005-0000-0000-0000F6890000}"/>
    <cellStyle name="Normal 2 11" xfId="35323" xr:uid="{00000000-0005-0000-0000-0000F7890000}"/>
    <cellStyle name="Normal 2 11 2" xfId="35324" xr:uid="{00000000-0005-0000-0000-0000F8890000}"/>
    <cellStyle name="Normal 2 11 3" xfId="35325" xr:uid="{00000000-0005-0000-0000-0000F9890000}"/>
    <cellStyle name="Normal 2 12" xfId="35326" xr:uid="{00000000-0005-0000-0000-0000FA890000}"/>
    <cellStyle name="Normal 2 12 2" xfId="35327" xr:uid="{00000000-0005-0000-0000-0000FB890000}"/>
    <cellStyle name="Normal 2 13" xfId="35328" xr:uid="{00000000-0005-0000-0000-0000FC890000}"/>
    <cellStyle name="Normal 2 13 2" xfId="35329" xr:uid="{00000000-0005-0000-0000-0000FD890000}"/>
    <cellStyle name="Normal 2 14" xfId="35330" xr:uid="{00000000-0005-0000-0000-0000FE890000}"/>
    <cellStyle name="Normal 2 14 2" xfId="35331" xr:uid="{00000000-0005-0000-0000-0000FF890000}"/>
    <cellStyle name="Normal 2 15" xfId="35332" xr:uid="{00000000-0005-0000-0000-0000008A0000}"/>
    <cellStyle name="Normal 2 15 2" xfId="35333" xr:uid="{00000000-0005-0000-0000-0000018A0000}"/>
    <cellStyle name="Normal 2 16" xfId="35334" xr:uid="{00000000-0005-0000-0000-0000028A0000}"/>
    <cellStyle name="Normal 2 16 2" xfId="35335" xr:uid="{00000000-0005-0000-0000-0000038A0000}"/>
    <cellStyle name="Normal 2 17" xfId="35336" xr:uid="{00000000-0005-0000-0000-0000048A0000}"/>
    <cellStyle name="Normal 2 17 2" xfId="35337" xr:uid="{00000000-0005-0000-0000-0000058A0000}"/>
    <cellStyle name="Normal 2 18" xfId="35338" xr:uid="{00000000-0005-0000-0000-0000068A0000}"/>
    <cellStyle name="Normal 2 18 2" xfId="35339" xr:uid="{00000000-0005-0000-0000-0000078A0000}"/>
    <cellStyle name="Normal 2 19" xfId="35340" xr:uid="{00000000-0005-0000-0000-0000088A0000}"/>
    <cellStyle name="Normal 2 19 2" xfId="35341" xr:uid="{00000000-0005-0000-0000-0000098A0000}"/>
    <cellStyle name="Normal 2 2" xfId="35342" xr:uid="{00000000-0005-0000-0000-00000A8A0000}"/>
    <cellStyle name="Normal 2 2 10" xfId="35343" xr:uid="{00000000-0005-0000-0000-00000B8A0000}"/>
    <cellStyle name="Normal 2 2 10 2" xfId="35344" xr:uid="{00000000-0005-0000-0000-00000C8A0000}"/>
    <cellStyle name="Normal 2 2 11" xfId="35345" xr:uid="{00000000-0005-0000-0000-00000D8A0000}"/>
    <cellStyle name="Normal 2 2 2" xfId="35346" xr:uid="{00000000-0005-0000-0000-00000E8A0000}"/>
    <cellStyle name="Normal 2 2 2 2" xfId="35347" xr:uid="{00000000-0005-0000-0000-00000F8A0000}"/>
    <cellStyle name="Normal 2 2 2 2 2" xfId="35348" xr:uid="{00000000-0005-0000-0000-0000108A0000}"/>
    <cellStyle name="Normal 2 2 2 2 2 2" xfId="35349" xr:uid="{00000000-0005-0000-0000-0000118A0000}"/>
    <cellStyle name="Normal 2 2 2 2 3" xfId="35350" xr:uid="{00000000-0005-0000-0000-0000128A0000}"/>
    <cellStyle name="Normal 2 2 2 2 4" xfId="35351" xr:uid="{00000000-0005-0000-0000-0000138A0000}"/>
    <cellStyle name="Normal 2 2 2 2 5" xfId="35352" xr:uid="{00000000-0005-0000-0000-0000148A0000}"/>
    <cellStyle name="Normal 2 2 2 2 6" xfId="35353" xr:uid="{00000000-0005-0000-0000-0000158A0000}"/>
    <cellStyle name="Normal 2 2 2 2 6 2" xfId="35354" xr:uid="{00000000-0005-0000-0000-0000168A0000}"/>
    <cellStyle name="Normal 2 2 2 2 6 3" xfId="35355" xr:uid="{00000000-0005-0000-0000-0000178A0000}"/>
    <cellStyle name="Normal 2 2 2 2 7" xfId="35356" xr:uid="{00000000-0005-0000-0000-0000188A0000}"/>
    <cellStyle name="Normal 2 2 2 2 8" xfId="35357" xr:uid="{00000000-0005-0000-0000-0000198A0000}"/>
    <cellStyle name="Normal 2 2 2 3" xfId="35358" xr:uid="{00000000-0005-0000-0000-00001A8A0000}"/>
    <cellStyle name="Normal 2 2 2 3 2" xfId="35359" xr:uid="{00000000-0005-0000-0000-00001B8A0000}"/>
    <cellStyle name="Normal 2 2 2 3 3" xfId="35360" xr:uid="{00000000-0005-0000-0000-00001C8A0000}"/>
    <cellStyle name="Normal 2 2 2 4" xfId="35361" xr:uid="{00000000-0005-0000-0000-00001D8A0000}"/>
    <cellStyle name="Normal 2 2 2 4 2" xfId="35362" xr:uid="{00000000-0005-0000-0000-00001E8A0000}"/>
    <cellStyle name="Normal 2 2 2 5" xfId="35363" xr:uid="{00000000-0005-0000-0000-00001F8A0000}"/>
    <cellStyle name="Normal 2 2 2 5 2" xfId="35364" xr:uid="{00000000-0005-0000-0000-0000208A0000}"/>
    <cellStyle name="Normal 2 2 2 5 2 2" xfId="35365" xr:uid="{00000000-0005-0000-0000-0000218A0000}"/>
    <cellStyle name="Normal 2 2 2 5 2 3" xfId="35366" xr:uid="{00000000-0005-0000-0000-0000228A0000}"/>
    <cellStyle name="Normal 2 2 2 5 3" xfId="35367" xr:uid="{00000000-0005-0000-0000-0000238A0000}"/>
    <cellStyle name="Normal 2 2 2 5 4" xfId="35368" xr:uid="{00000000-0005-0000-0000-0000248A0000}"/>
    <cellStyle name="Normal 2 2 2 6" xfId="35369" xr:uid="{00000000-0005-0000-0000-0000258A0000}"/>
    <cellStyle name="Normal 2 2 2 6 2" xfId="35370" xr:uid="{00000000-0005-0000-0000-0000268A0000}"/>
    <cellStyle name="Normal 2 2 2 6 2 2" xfId="35371" xr:uid="{00000000-0005-0000-0000-0000278A0000}"/>
    <cellStyle name="Normal 2 2 2 6 2 3" xfId="35372" xr:uid="{00000000-0005-0000-0000-0000288A0000}"/>
    <cellStyle name="Normal 2 2 2 6 3" xfId="35373" xr:uid="{00000000-0005-0000-0000-0000298A0000}"/>
    <cellStyle name="Normal 2 2 2 6 4" xfId="35374" xr:uid="{00000000-0005-0000-0000-00002A8A0000}"/>
    <cellStyle name="Normal 2 2 2 7" xfId="35375" xr:uid="{00000000-0005-0000-0000-00002B8A0000}"/>
    <cellStyle name="Normal 2 2 2 7 2" xfId="35376" xr:uid="{00000000-0005-0000-0000-00002C8A0000}"/>
    <cellStyle name="Normal 2 2 2 7 2 2" xfId="35377" xr:uid="{00000000-0005-0000-0000-00002D8A0000}"/>
    <cellStyle name="Normal 2 2 2 7 2 3" xfId="35378" xr:uid="{00000000-0005-0000-0000-00002E8A0000}"/>
    <cellStyle name="Normal 2 2 2 7 3" xfId="35379" xr:uid="{00000000-0005-0000-0000-00002F8A0000}"/>
    <cellStyle name="Normal 2 2 2 7 4" xfId="35380" xr:uid="{00000000-0005-0000-0000-0000308A0000}"/>
    <cellStyle name="Normal 2 2 2 8" xfId="35381" xr:uid="{00000000-0005-0000-0000-0000318A0000}"/>
    <cellStyle name="Normal 2 2 2 9" xfId="35382" xr:uid="{00000000-0005-0000-0000-0000328A0000}"/>
    <cellStyle name="Normal 2 2 3" xfId="35383" xr:uid="{00000000-0005-0000-0000-0000338A0000}"/>
    <cellStyle name="Normal 2 2 3 2" xfId="35384" xr:uid="{00000000-0005-0000-0000-0000348A0000}"/>
    <cellStyle name="Normal 2 2 3 2 2" xfId="35385" xr:uid="{00000000-0005-0000-0000-0000358A0000}"/>
    <cellStyle name="Normal 2 2 3 2 2 2" xfId="35386" xr:uid="{00000000-0005-0000-0000-0000368A0000}"/>
    <cellStyle name="Normal 2 2 3 2 2 3" xfId="35387" xr:uid="{00000000-0005-0000-0000-0000378A0000}"/>
    <cellStyle name="Normal 2 2 3 2 3" xfId="35388" xr:uid="{00000000-0005-0000-0000-0000388A0000}"/>
    <cellStyle name="Normal 2 2 3 2 4" xfId="35389" xr:uid="{00000000-0005-0000-0000-0000398A0000}"/>
    <cellStyle name="Normal 2 2 3 3" xfId="35390" xr:uid="{00000000-0005-0000-0000-00003A8A0000}"/>
    <cellStyle name="Normal 2 2 3 3 2" xfId="35391" xr:uid="{00000000-0005-0000-0000-00003B8A0000}"/>
    <cellStyle name="Normal 2 2 3 3 2 2" xfId="35392" xr:uid="{00000000-0005-0000-0000-00003C8A0000}"/>
    <cellStyle name="Normal 2 2 3 3 2 3" xfId="35393" xr:uid="{00000000-0005-0000-0000-00003D8A0000}"/>
    <cellStyle name="Normal 2 2 3 3 3" xfId="35394" xr:uid="{00000000-0005-0000-0000-00003E8A0000}"/>
    <cellStyle name="Normal 2 2 3 3 4" xfId="35395" xr:uid="{00000000-0005-0000-0000-00003F8A0000}"/>
    <cellStyle name="Normal 2 2 3 4" xfId="35396" xr:uid="{00000000-0005-0000-0000-0000408A0000}"/>
    <cellStyle name="Normal 2 2 3 4 2" xfId="35397" xr:uid="{00000000-0005-0000-0000-0000418A0000}"/>
    <cellStyle name="Normal 2 2 3 4 2 2" xfId="35398" xr:uid="{00000000-0005-0000-0000-0000428A0000}"/>
    <cellStyle name="Normal 2 2 3 4 2 3" xfId="35399" xr:uid="{00000000-0005-0000-0000-0000438A0000}"/>
    <cellStyle name="Normal 2 2 3 4 3" xfId="35400" xr:uid="{00000000-0005-0000-0000-0000448A0000}"/>
    <cellStyle name="Normal 2 2 3 4 4" xfId="35401" xr:uid="{00000000-0005-0000-0000-0000458A0000}"/>
    <cellStyle name="Normal 2 2 3 5" xfId="35402" xr:uid="{00000000-0005-0000-0000-0000468A0000}"/>
    <cellStyle name="Normal 2 2 3 5 2" xfId="35403" xr:uid="{00000000-0005-0000-0000-0000478A0000}"/>
    <cellStyle name="Normal 2 2 3 5 2 2" xfId="35404" xr:uid="{00000000-0005-0000-0000-0000488A0000}"/>
    <cellStyle name="Normal 2 2 3 5 2 3" xfId="35405" xr:uid="{00000000-0005-0000-0000-0000498A0000}"/>
    <cellStyle name="Normal 2 2 3 5 3" xfId="35406" xr:uid="{00000000-0005-0000-0000-00004A8A0000}"/>
    <cellStyle name="Normal 2 2 3 5 4" xfId="35407" xr:uid="{00000000-0005-0000-0000-00004B8A0000}"/>
    <cellStyle name="Normal 2 2 3 6" xfId="35408" xr:uid="{00000000-0005-0000-0000-00004C8A0000}"/>
    <cellStyle name="Normal 2 2 4" xfId="35409" xr:uid="{00000000-0005-0000-0000-00004D8A0000}"/>
    <cellStyle name="Normal 2 2 4 2" xfId="35410" xr:uid="{00000000-0005-0000-0000-00004E8A0000}"/>
    <cellStyle name="Normal 2 2 4 2 2" xfId="35411" xr:uid="{00000000-0005-0000-0000-00004F8A0000}"/>
    <cellStyle name="Normal 2 2 4 2 3" xfId="35412" xr:uid="{00000000-0005-0000-0000-0000508A0000}"/>
    <cellStyle name="Normal 2 2 4 3" xfId="35413" xr:uid="{00000000-0005-0000-0000-0000518A0000}"/>
    <cellStyle name="Normal 2 2 4 4" xfId="35414" xr:uid="{00000000-0005-0000-0000-0000528A0000}"/>
    <cellStyle name="Normal 2 2 5" xfId="35415" xr:uid="{00000000-0005-0000-0000-0000538A0000}"/>
    <cellStyle name="Normal 2 2 5 2" xfId="35416" xr:uid="{00000000-0005-0000-0000-0000548A0000}"/>
    <cellStyle name="Normal 2 2 5 2 2" xfId="35417" xr:uid="{00000000-0005-0000-0000-0000558A0000}"/>
    <cellStyle name="Normal 2 2 5 2 2 2" xfId="35418" xr:uid="{00000000-0005-0000-0000-0000568A0000}"/>
    <cellStyle name="Normal 2 2 5 2 2 3" xfId="35419" xr:uid="{00000000-0005-0000-0000-0000578A0000}"/>
    <cellStyle name="Normal 2 2 5 2 3" xfId="35420" xr:uid="{00000000-0005-0000-0000-0000588A0000}"/>
    <cellStyle name="Normal 2 2 5 2 4" xfId="35421" xr:uid="{00000000-0005-0000-0000-0000598A0000}"/>
    <cellStyle name="Normal 2 2 5 3" xfId="35422" xr:uid="{00000000-0005-0000-0000-00005A8A0000}"/>
    <cellStyle name="Normal 2 2 5 3 2" xfId="35423" xr:uid="{00000000-0005-0000-0000-00005B8A0000}"/>
    <cellStyle name="Normal 2 2 5 4" xfId="35424" xr:uid="{00000000-0005-0000-0000-00005C8A0000}"/>
    <cellStyle name="Normal 2 2 5 5" xfId="35425" xr:uid="{00000000-0005-0000-0000-00005D8A0000}"/>
    <cellStyle name="Normal 2 2 6" xfId="35426" xr:uid="{00000000-0005-0000-0000-00005E8A0000}"/>
    <cellStyle name="Normal 2 2 6 2" xfId="35427" xr:uid="{00000000-0005-0000-0000-00005F8A0000}"/>
    <cellStyle name="Normal 2 2 6 2 2" xfId="35428" xr:uid="{00000000-0005-0000-0000-0000608A0000}"/>
    <cellStyle name="Normal 2 2 6 2 2 2" xfId="35429" xr:uid="{00000000-0005-0000-0000-0000618A0000}"/>
    <cellStyle name="Normal 2 2 6 2 2 3" xfId="35430" xr:uid="{00000000-0005-0000-0000-0000628A0000}"/>
    <cellStyle name="Normal 2 2 6 2 3" xfId="35431" xr:uid="{00000000-0005-0000-0000-0000638A0000}"/>
    <cellStyle name="Normal 2 2 6 2 4" xfId="35432" xr:uid="{00000000-0005-0000-0000-0000648A0000}"/>
    <cellStyle name="Normal 2 2 6 3" xfId="35433" xr:uid="{00000000-0005-0000-0000-0000658A0000}"/>
    <cellStyle name="Normal 2 2 6 4" xfId="35434" xr:uid="{00000000-0005-0000-0000-0000668A0000}"/>
    <cellStyle name="Normal 2 2 7" xfId="35435" xr:uid="{00000000-0005-0000-0000-0000678A0000}"/>
    <cellStyle name="Normal 2 2 7 2" xfId="35436" xr:uid="{00000000-0005-0000-0000-0000688A0000}"/>
    <cellStyle name="Normal 2 2 7 2 2" xfId="35437" xr:uid="{00000000-0005-0000-0000-0000698A0000}"/>
    <cellStyle name="Normal 2 2 7 3" xfId="35438" xr:uid="{00000000-0005-0000-0000-00006A8A0000}"/>
    <cellStyle name="Normal 2 2 8" xfId="35439" xr:uid="{00000000-0005-0000-0000-00006B8A0000}"/>
    <cellStyle name="Normal 2 2 8 2" xfId="35440" xr:uid="{00000000-0005-0000-0000-00006C8A0000}"/>
    <cellStyle name="Normal 2 2 9" xfId="35441" xr:uid="{00000000-0005-0000-0000-00006D8A0000}"/>
    <cellStyle name="Normal 2 2 9 2" xfId="35442" xr:uid="{00000000-0005-0000-0000-00006E8A0000}"/>
    <cellStyle name="Normal 2 2 9 3" xfId="35443" xr:uid="{00000000-0005-0000-0000-00006F8A0000}"/>
    <cellStyle name="Normal 2 2 9 3 2" xfId="35444" xr:uid="{00000000-0005-0000-0000-0000708A0000}"/>
    <cellStyle name="Normal 2 2 9 3 3" xfId="35445" xr:uid="{00000000-0005-0000-0000-0000718A0000}"/>
    <cellStyle name="Normal 2 2 9 4" xfId="35446" xr:uid="{00000000-0005-0000-0000-0000728A0000}"/>
    <cellStyle name="Normal 2 2 9 5" xfId="35447" xr:uid="{00000000-0005-0000-0000-0000738A0000}"/>
    <cellStyle name="Normal 2 20" xfId="35448" xr:uid="{00000000-0005-0000-0000-0000748A0000}"/>
    <cellStyle name="Normal 2 20 2" xfId="35449" xr:uid="{00000000-0005-0000-0000-0000758A0000}"/>
    <cellStyle name="Normal 2 21" xfId="35450" xr:uid="{00000000-0005-0000-0000-0000768A0000}"/>
    <cellStyle name="Normal 2 21 2" xfId="35451" xr:uid="{00000000-0005-0000-0000-0000778A0000}"/>
    <cellStyle name="Normal 2 22" xfId="35452" xr:uid="{00000000-0005-0000-0000-0000788A0000}"/>
    <cellStyle name="Normal 2 22 2" xfId="35453" xr:uid="{00000000-0005-0000-0000-0000798A0000}"/>
    <cellStyle name="Normal 2 22 2 2" xfId="35454" xr:uid="{00000000-0005-0000-0000-00007A8A0000}"/>
    <cellStyle name="Normal 2 22 3" xfId="35455" xr:uid="{00000000-0005-0000-0000-00007B8A0000}"/>
    <cellStyle name="Normal 2 22 3 2" xfId="35456" xr:uid="{00000000-0005-0000-0000-00007C8A0000}"/>
    <cellStyle name="Normal 2 22 4" xfId="35457" xr:uid="{00000000-0005-0000-0000-00007D8A0000}"/>
    <cellStyle name="Normal 2 22 5" xfId="35458" xr:uid="{00000000-0005-0000-0000-00007E8A0000}"/>
    <cellStyle name="Normal 2 23" xfId="35459" xr:uid="{00000000-0005-0000-0000-00007F8A0000}"/>
    <cellStyle name="Normal 2 23 2" xfId="35460" xr:uid="{00000000-0005-0000-0000-0000808A0000}"/>
    <cellStyle name="Normal 2 23 3" xfId="35461" xr:uid="{00000000-0005-0000-0000-0000818A0000}"/>
    <cellStyle name="Normal 2 24" xfId="35462" xr:uid="{00000000-0005-0000-0000-0000828A0000}"/>
    <cellStyle name="Normal 2 24 2" xfId="35463" xr:uid="{00000000-0005-0000-0000-0000838A0000}"/>
    <cellStyle name="Normal 2 25" xfId="35464" xr:uid="{00000000-0005-0000-0000-0000848A0000}"/>
    <cellStyle name="Normal 2 25 2" xfId="35465" xr:uid="{00000000-0005-0000-0000-0000858A0000}"/>
    <cellStyle name="Normal 2 25 2 2" xfId="35466" xr:uid="{00000000-0005-0000-0000-0000868A0000}"/>
    <cellStyle name="Normal 2 25 3" xfId="35467" xr:uid="{00000000-0005-0000-0000-0000878A0000}"/>
    <cellStyle name="Normal 2 26" xfId="35468" xr:uid="{00000000-0005-0000-0000-0000888A0000}"/>
    <cellStyle name="Normal 2 27" xfId="35469" xr:uid="{00000000-0005-0000-0000-0000898A0000}"/>
    <cellStyle name="Normal 2 27 2" xfId="35470" xr:uid="{00000000-0005-0000-0000-00008A8A0000}"/>
    <cellStyle name="Normal 2 28" xfId="35471" xr:uid="{00000000-0005-0000-0000-00008B8A0000}"/>
    <cellStyle name="Normal 2 28 2" xfId="35472" xr:uid="{00000000-0005-0000-0000-00008C8A0000}"/>
    <cellStyle name="Normal 2 28 2 2" xfId="35473" xr:uid="{00000000-0005-0000-0000-00008D8A0000}"/>
    <cellStyle name="Normal 2 28 2 2 2" xfId="35474" xr:uid="{00000000-0005-0000-0000-00008E8A0000}"/>
    <cellStyle name="Normal 2 28 2 2 2 2" xfId="35475" xr:uid="{00000000-0005-0000-0000-00008F8A0000}"/>
    <cellStyle name="Normal 2 28 2 2 3" xfId="35476" xr:uid="{00000000-0005-0000-0000-0000908A0000}"/>
    <cellStyle name="Normal 2 28 2 3" xfId="35477" xr:uid="{00000000-0005-0000-0000-0000918A0000}"/>
    <cellStyle name="Normal 2 28 3" xfId="35478" xr:uid="{00000000-0005-0000-0000-0000928A0000}"/>
    <cellStyle name="Normal 2 28 3 2" xfId="35479" xr:uid="{00000000-0005-0000-0000-0000938A0000}"/>
    <cellStyle name="Normal 2 28 4" xfId="35480" xr:uid="{00000000-0005-0000-0000-0000948A0000}"/>
    <cellStyle name="Normal 2 28 5" xfId="35481" xr:uid="{00000000-0005-0000-0000-0000958A0000}"/>
    <cellStyle name="Normal 2 29" xfId="35482" xr:uid="{00000000-0005-0000-0000-0000968A0000}"/>
    <cellStyle name="Normal 2 29 2" xfId="35483" xr:uid="{00000000-0005-0000-0000-0000978A0000}"/>
    <cellStyle name="Normal 2 3" xfId="35484" xr:uid="{00000000-0005-0000-0000-0000988A0000}"/>
    <cellStyle name="Normal 2 3 2" xfId="35485" xr:uid="{00000000-0005-0000-0000-0000998A0000}"/>
    <cellStyle name="Normal 2 3 2 2" xfId="35486" xr:uid="{00000000-0005-0000-0000-00009A8A0000}"/>
    <cellStyle name="Normal 2 3 2 3" xfId="35487" xr:uid="{00000000-0005-0000-0000-00009B8A0000}"/>
    <cellStyle name="Normal 2 3 2 4" xfId="35488" xr:uid="{00000000-0005-0000-0000-00009C8A0000}"/>
    <cellStyle name="Normal 2 3 3" xfId="35489" xr:uid="{00000000-0005-0000-0000-00009D8A0000}"/>
    <cellStyle name="Normal 2 3 3 2" xfId="35490" xr:uid="{00000000-0005-0000-0000-00009E8A0000}"/>
    <cellStyle name="Normal 2 3 3 3" xfId="35491" xr:uid="{00000000-0005-0000-0000-00009F8A0000}"/>
    <cellStyle name="Normal 2 3 4" xfId="35492" xr:uid="{00000000-0005-0000-0000-0000A08A0000}"/>
    <cellStyle name="Normal 2 3 4 2" xfId="35493" xr:uid="{00000000-0005-0000-0000-0000A18A0000}"/>
    <cellStyle name="Normal 2 3 4 3" xfId="35494" xr:uid="{00000000-0005-0000-0000-0000A28A0000}"/>
    <cellStyle name="Normal 2 4" xfId="35495" xr:uid="{00000000-0005-0000-0000-0000A38A0000}"/>
    <cellStyle name="Normal 2 4 2" xfId="35496" xr:uid="{00000000-0005-0000-0000-0000A48A0000}"/>
    <cellStyle name="Normal 2 4 2 2" xfId="35497" xr:uid="{00000000-0005-0000-0000-0000A58A0000}"/>
    <cellStyle name="Normal 2 4 2 2 2" xfId="35498" xr:uid="{00000000-0005-0000-0000-0000A68A0000}"/>
    <cellStyle name="Normal 2 4 2 3" xfId="35499" xr:uid="{00000000-0005-0000-0000-0000A78A0000}"/>
    <cellStyle name="Normal 2 4 2 3 2" xfId="35500" xr:uid="{00000000-0005-0000-0000-0000A88A0000}"/>
    <cellStyle name="Normal 2 4 2 4" xfId="35501" xr:uid="{00000000-0005-0000-0000-0000A98A0000}"/>
    <cellStyle name="Normal 2 4 3" xfId="35502" xr:uid="{00000000-0005-0000-0000-0000AA8A0000}"/>
    <cellStyle name="Normal 2 4 3 2" xfId="35503" xr:uid="{00000000-0005-0000-0000-0000AB8A0000}"/>
    <cellStyle name="Normal 2 4 3 3" xfId="35504" xr:uid="{00000000-0005-0000-0000-0000AC8A0000}"/>
    <cellStyle name="Normal 2 4 4" xfId="35505" xr:uid="{00000000-0005-0000-0000-0000AD8A0000}"/>
    <cellStyle name="Normal 2 4 5" xfId="35506" xr:uid="{00000000-0005-0000-0000-0000AE8A0000}"/>
    <cellStyle name="Normal 2 4 6" xfId="35507" xr:uid="{00000000-0005-0000-0000-0000AF8A0000}"/>
    <cellStyle name="Normal 2 4 6 2" xfId="35508" xr:uid="{00000000-0005-0000-0000-0000B08A0000}"/>
    <cellStyle name="Normal 2 4 6 3" xfId="35509" xr:uid="{00000000-0005-0000-0000-0000B18A0000}"/>
    <cellStyle name="Normal 2 4 7" xfId="35510" xr:uid="{00000000-0005-0000-0000-0000B28A0000}"/>
    <cellStyle name="Normal 2 4 7 2" xfId="35511" xr:uid="{00000000-0005-0000-0000-0000B38A0000}"/>
    <cellStyle name="Normal 2 4 7 3" xfId="35512" xr:uid="{00000000-0005-0000-0000-0000B48A0000}"/>
    <cellStyle name="Normal 2 4 8" xfId="35513" xr:uid="{00000000-0005-0000-0000-0000B58A0000}"/>
    <cellStyle name="Normal 2 5" xfId="35514" xr:uid="{00000000-0005-0000-0000-0000B68A0000}"/>
    <cellStyle name="Normal 2 5 2" xfId="35515" xr:uid="{00000000-0005-0000-0000-0000B78A0000}"/>
    <cellStyle name="Normal 2 5 3" xfId="35516" xr:uid="{00000000-0005-0000-0000-0000B88A0000}"/>
    <cellStyle name="Normal 2 6" xfId="35517" xr:uid="{00000000-0005-0000-0000-0000B98A0000}"/>
    <cellStyle name="Normal 2 6 2" xfId="35518" xr:uid="{00000000-0005-0000-0000-0000BA8A0000}"/>
    <cellStyle name="Normal 2 6 2 2" xfId="35519" xr:uid="{00000000-0005-0000-0000-0000BB8A0000}"/>
    <cellStyle name="Normal 2 6 2 3" xfId="35520" xr:uid="{00000000-0005-0000-0000-0000BC8A0000}"/>
    <cellStyle name="Normal 2 6 3" xfId="35521" xr:uid="{00000000-0005-0000-0000-0000BD8A0000}"/>
    <cellStyle name="Normal 2 6 3 2" xfId="35522" xr:uid="{00000000-0005-0000-0000-0000BE8A0000}"/>
    <cellStyle name="Normal 2 6 3 3" xfId="35523" xr:uid="{00000000-0005-0000-0000-0000BF8A0000}"/>
    <cellStyle name="Normal 2 7" xfId="35524" xr:uid="{00000000-0005-0000-0000-0000C08A0000}"/>
    <cellStyle name="Normal 2 7 2" xfId="35525" xr:uid="{00000000-0005-0000-0000-0000C18A0000}"/>
    <cellStyle name="Normal 2 7 2 2" xfId="35526" xr:uid="{00000000-0005-0000-0000-0000C28A0000}"/>
    <cellStyle name="Normal 2 7 2 3" xfId="35527" xr:uid="{00000000-0005-0000-0000-0000C38A0000}"/>
    <cellStyle name="Normal 2 7 3" xfId="35528" xr:uid="{00000000-0005-0000-0000-0000C48A0000}"/>
    <cellStyle name="Normal 2 7 3 2" xfId="35529" xr:uid="{00000000-0005-0000-0000-0000C58A0000}"/>
    <cellStyle name="Normal 2 7 3 3" xfId="35530" xr:uid="{00000000-0005-0000-0000-0000C68A0000}"/>
    <cellStyle name="Normal 2 8" xfId="35531" xr:uid="{00000000-0005-0000-0000-0000C78A0000}"/>
    <cellStyle name="Normal 2 8 2" xfId="35532" xr:uid="{00000000-0005-0000-0000-0000C88A0000}"/>
    <cellStyle name="Normal 2 8 2 2" xfId="35533" xr:uid="{00000000-0005-0000-0000-0000C98A0000}"/>
    <cellStyle name="Normal 2 8 2 3" xfId="35534" xr:uid="{00000000-0005-0000-0000-0000CA8A0000}"/>
    <cellStyle name="Normal 2 8 3" xfId="35535" xr:uid="{00000000-0005-0000-0000-0000CB8A0000}"/>
    <cellStyle name="Normal 2 8 3 2" xfId="35536" xr:uid="{00000000-0005-0000-0000-0000CC8A0000}"/>
    <cellStyle name="Normal 2 8 3 3" xfId="35537" xr:uid="{00000000-0005-0000-0000-0000CD8A0000}"/>
    <cellStyle name="Normal 2 9" xfId="35538" xr:uid="{00000000-0005-0000-0000-0000CE8A0000}"/>
    <cellStyle name="Normal 2 9 2" xfId="35539" xr:uid="{00000000-0005-0000-0000-0000CF8A0000}"/>
    <cellStyle name="Normal 2_Commercial" xfId="35540" xr:uid="{00000000-0005-0000-0000-0000D08A0000}"/>
    <cellStyle name="Normal 20" xfId="35541" xr:uid="{00000000-0005-0000-0000-0000D18A0000}"/>
    <cellStyle name="Normal 20 2" xfId="35542" xr:uid="{00000000-0005-0000-0000-0000D28A0000}"/>
    <cellStyle name="Normal 20 3" xfId="35543" xr:uid="{00000000-0005-0000-0000-0000D38A0000}"/>
    <cellStyle name="Normal 20 4" xfId="35544" xr:uid="{00000000-0005-0000-0000-0000D48A0000}"/>
    <cellStyle name="Normal 21" xfId="35545" xr:uid="{00000000-0005-0000-0000-0000D58A0000}"/>
    <cellStyle name="Normal 21 2" xfId="35546" xr:uid="{00000000-0005-0000-0000-0000D68A0000}"/>
    <cellStyle name="Normal 21 3" xfId="35547" xr:uid="{00000000-0005-0000-0000-0000D78A0000}"/>
    <cellStyle name="Normal 21 4" xfId="35548" xr:uid="{00000000-0005-0000-0000-0000D88A0000}"/>
    <cellStyle name="Normal 21 5" xfId="35549" xr:uid="{00000000-0005-0000-0000-0000D98A0000}"/>
    <cellStyle name="Normal 21 6" xfId="35550" xr:uid="{00000000-0005-0000-0000-0000DA8A0000}"/>
    <cellStyle name="Normal 21 7" xfId="35551" xr:uid="{00000000-0005-0000-0000-0000DB8A0000}"/>
    <cellStyle name="Normal 21 7 2" xfId="35552" xr:uid="{00000000-0005-0000-0000-0000DC8A0000}"/>
    <cellStyle name="Normal 21 7 3" xfId="35553" xr:uid="{00000000-0005-0000-0000-0000DD8A0000}"/>
    <cellStyle name="Normal 22" xfId="35554" xr:uid="{00000000-0005-0000-0000-0000DE8A0000}"/>
    <cellStyle name="Normal 22 2" xfId="35555" xr:uid="{00000000-0005-0000-0000-0000DF8A0000}"/>
    <cellStyle name="Normal 22 2 2" xfId="35556" xr:uid="{00000000-0005-0000-0000-0000E08A0000}"/>
    <cellStyle name="Normal 22 2 3" xfId="35557" xr:uid="{00000000-0005-0000-0000-0000E18A0000}"/>
    <cellStyle name="Normal 23" xfId="35558" xr:uid="{00000000-0005-0000-0000-0000E28A0000}"/>
    <cellStyle name="Normal 23 2" xfId="35559" xr:uid="{00000000-0005-0000-0000-0000E38A0000}"/>
    <cellStyle name="Normal 23 2 2" xfId="35560" xr:uid="{00000000-0005-0000-0000-0000E48A0000}"/>
    <cellStyle name="Normal 23 2 3" xfId="35561" xr:uid="{00000000-0005-0000-0000-0000E58A0000}"/>
    <cellStyle name="Normal 23 3" xfId="35562" xr:uid="{00000000-0005-0000-0000-0000E68A0000}"/>
    <cellStyle name="Normal 23 3 2" xfId="35563" xr:uid="{00000000-0005-0000-0000-0000E78A0000}"/>
    <cellStyle name="Normal 23 3 2 2" xfId="35564" xr:uid="{00000000-0005-0000-0000-0000E88A0000}"/>
    <cellStyle name="Normal 23 3 2 2 2" xfId="35565" xr:uid="{00000000-0005-0000-0000-0000E98A0000}"/>
    <cellStyle name="Normal 23 3 2 2 2 2" xfId="35566" xr:uid="{00000000-0005-0000-0000-0000EA8A0000}"/>
    <cellStyle name="Normal 23 3 2 2 3" xfId="35567" xr:uid="{00000000-0005-0000-0000-0000EB8A0000}"/>
    <cellStyle name="Normal 23 3 2 3" xfId="35568" xr:uid="{00000000-0005-0000-0000-0000EC8A0000}"/>
    <cellStyle name="Normal 23 3 2 3 2" xfId="35569" xr:uid="{00000000-0005-0000-0000-0000ED8A0000}"/>
    <cellStyle name="Normal 23 3 2 4" xfId="35570" xr:uid="{00000000-0005-0000-0000-0000EE8A0000}"/>
    <cellStyle name="Normal 23 3 3" xfId="35571" xr:uid="{00000000-0005-0000-0000-0000EF8A0000}"/>
    <cellStyle name="Normal 23 3 3 2" xfId="35572" xr:uid="{00000000-0005-0000-0000-0000F08A0000}"/>
    <cellStyle name="Normal 23 3 3 2 2" xfId="35573" xr:uid="{00000000-0005-0000-0000-0000F18A0000}"/>
    <cellStyle name="Normal 23 3 3 3" xfId="35574" xr:uid="{00000000-0005-0000-0000-0000F28A0000}"/>
    <cellStyle name="Normal 23 3 4" xfId="35575" xr:uid="{00000000-0005-0000-0000-0000F38A0000}"/>
    <cellStyle name="Normal 23 3 4 2" xfId="35576" xr:uid="{00000000-0005-0000-0000-0000F48A0000}"/>
    <cellStyle name="Normal 23 3 5" xfId="35577" xr:uid="{00000000-0005-0000-0000-0000F58A0000}"/>
    <cellStyle name="Normal 24" xfId="35578" xr:uid="{00000000-0005-0000-0000-0000F68A0000}"/>
    <cellStyle name="Normal 24 2" xfId="35579" xr:uid="{00000000-0005-0000-0000-0000F78A0000}"/>
    <cellStyle name="Normal 24 3" xfId="35580" xr:uid="{00000000-0005-0000-0000-0000F88A0000}"/>
    <cellStyle name="Normal 24 3 2" xfId="35581" xr:uid="{00000000-0005-0000-0000-0000F98A0000}"/>
    <cellStyle name="Normal 24 3 2 2" xfId="35582" xr:uid="{00000000-0005-0000-0000-0000FA8A0000}"/>
    <cellStyle name="Normal 24 3 2 2 2" xfId="35583" xr:uid="{00000000-0005-0000-0000-0000FB8A0000}"/>
    <cellStyle name="Normal 24 3 2 2 2 2" xfId="35584" xr:uid="{00000000-0005-0000-0000-0000FC8A0000}"/>
    <cellStyle name="Normal 24 3 2 2 3" xfId="35585" xr:uid="{00000000-0005-0000-0000-0000FD8A0000}"/>
    <cellStyle name="Normal 24 3 2 3" xfId="35586" xr:uid="{00000000-0005-0000-0000-0000FE8A0000}"/>
    <cellStyle name="Normal 24 3 2 3 2" xfId="35587" xr:uid="{00000000-0005-0000-0000-0000FF8A0000}"/>
    <cellStyle name="Normal 24 3 2 4" xfId="35588" xr:uid="{00000000-0005-0000-0000-0000008B0000}"/>
    <cellStyle name="Normal 24 3 3" xfId="35589" xr:uid="{00000000-0005-0000-0000-0000018B0000}"/>
    <cellStyle name="Normal 24 3 3 2" xfId="35590" xr:uid="{00000000-0005-0000-0000-0000028B0000}"/>
    <cellStyle name="Normal 24 3 3 2 2" xfId="35591" xr:uid="{00000000-0005-0000-0000-0000038B0000}"/>
    <cellStyle name="Normal 24 3 3 3" xfId="35592" xr:uid="{00000000-0005-0000-0000-0000048B0000}"/>
    <cellStyle name="Normal 24 3 4" xfId="35593" xr:uid="{00000000-0005-0000-0000-0000058B0000}"/>
    <cellStyle name="Normal 24 3 4 2" xfId="35594" xr:uid="{00000000-0005-0000-0000-0000068B0000}"/>
    <cellStyle name="Normal 24 3 5" xfId="35595" xr:uid="{00000000-0005-0000-0000-0000078B0000}"/>
    <cellStyle name="Normal 25" xfId="35596" xr:uid="{00000000-0005-0000-0000-0000088B0000}"/>
    <cellStyle name="Normal 25 2" xfId="35597" xr:uid="{00000000-0005-0000-0000-0000098B0000}"/>
    <cellStyle name="Normal 25 3" xfId="35598" xr:uid="{00000000-0005-0000-0000-00000A8B0000}"/>
    <cellStyle name="Normal 25 3 2" xfId="35599" xr:uid="{00000000-0005-0000-0000-00000B8B0000}"/>
    <cellStyle name="Normal 25 3 2 2" xfId="35600" xr:uid="{00000000-0005-0000-0000-00000C8B0000}"/>
    <cellStyle name="Normal 25 3 2 2 2" xfId="35601" xr:uid="{00000000-0005-0000-0000-00000D8B0000}"/>
    <cellStyle name="Normal 25 3 2 2 2 2" xfId="35602" xr:uid="{00000000-0005-0000-0000-00000E8B0000}"/>
    <cellStyle name="Normal 25 3 2 2 3" xfId="35603" xr:uid="{00000000-0005-0000-0000-00000F8B0000}"/>
    <cellStyle name="Normal 25 3 2 3" xfId="35604" xr:uid="{00000000-0005-0000-0000-0000108B0000}"/>
    <cellStyle name="Normal 25 3 2 3 2" xfId="35605" xr:uid="{00000000-0005-0000-0000-0000118B0000}"/>
    <cellStyle name="Normal 25 3 2 4" xfId="35606" xr:uid="{00000000-0005-0000-0000-0000128B0000}"/>
    <cellStyle name="Normal 25 3 3" xfId="35607" xr:uid="{00000000-0005-0000-0000-0000138B0000}"/>
    <cellStyle name="Normal 25 3 3 2" xfId="35608" xr:uid="{00000000-0005-0000-0000-0000148B0000}"/>
    <cellStyle name="Normal 25 3 3 2 2" xfId="35609" xr:uid="{00000000-0005-0000-0000-0000158B0000}"/>
    <cellStyle name="Normal 25 3 3 3" xfId="35610" xr:uid="{00000000-0005-0000-0000-0000168B0000}"/>
    <cellStyle name="Normal 25 3 4" xfId="35611" xr:uid="{00000000-0005-0000-0000-0000178B0000}"/>
    <cellStyle name="Normal 25 3 4 2" xfId="35612" xr:uid="{00000000-0005-0000-0000-0000188B0000}"/>
    <cellStyle name="Normal 25 3 5" xfId="35613" xr:uid="{00000000-0005-0000-0000-0000198B0000}"/>
    <cellStyle name="Normal 26" xfId="35614" xr:uid="{00000000-0005-0000-0000-00001A8B0000}"/>
    <cellStyle name="Normal 26 2" xfId="35615" xr:uid="{00000000-0005-0000-0000-00001B8B0000}"/>
    <cellStyle name="Normal 26 3" xfId="35616" xr:uid="{00000000-0005-0000-0000-00001C8B0000}"/>
    <cellStyle name="Normal 26 3 2" xfId="35617" xr:uid="{00000000-0005-0000-0000-00001D8B0000}"/>
    <cellStyle name="Normal 26 3 2 2" xfId="35618" xr:uid="{00000000-0005-0000-0000-00001E8B0000}"/>
    <cellStyle name="Normal 26 3 2 2 2" xfId="35619" xr:uid="{00000000-0005-0000-0000-00001F8B0000}"/>
    <cellStyle name="Normal 26 3 2 2 2 2" xfId="35620" xr:uid="{00000000-0005-0000-0000-0000208B0000}"/>
    <cellStyle name="Normal 26 3 2 2 3" xfId="35621" xr:uid="{00000000-0005-0000-0000-0000218B0000}"/>
    <cellStyle name="Normal 26 3 2 3" xfId="35622" xr:uid="{00000000-0005-0000-0000-0000228B0000}"/>
    <cellStyle name="Normal 26 3 2 3 2" xfId="35623" xr:uid="{00000000-0005-0000-0000-0000238B0000}"/>
    <cellStyle name="Normal 26 3 2 4" xfId="35624" xr:uid="{00000000-0005-0000-0000-0000248B0000}"/>
    <cellStyle name="Normal 26 3 3" xfId="35625" xr:uid="{00000000-0005-0000-0000-0000258B0000}"/>
    <cellStyle name="Normal 26 3 3 2" xfId="35626" xr:uid="{00000000-0005-0000-0000-0000268B0000}"/>
    <cellStyle name="Normal 26 3 3 2 2" xfId="35627" xr:uid="{00000000-0005-0000-0000-0000278B0000}"/>
    <cellStyle name="Normal 26 3 3 3" xfId="35628" xr:uid="{00000000-0005-0000-0000-0000288B0000}"/>
    <cellStyle name="Normal 26 3 4" xfId="35629" xr:uid="{00000000-0005-0000-0000-0000298B0000}"/>
    <cellStyle name="Normal 26 3 4 2" xfId="35630" xr:uid="{00000000-0005-0000-0000-00002A8B0000}"/>
    <cellStyle name="Normal 26 3 5" xfId="35631" xr:uid="{00000000-0005-0000-0000-00002B8B0000}"/>
    <cellStyle name="Normal 26 4" xfId="35632" xr:uid="{00000000-0005-0000-0000-00002C8B0000}"/>
    <cellStyle name="Normal 27" xfId="35633" xr:uid="{00000000-0005-0000-0000-00002D8B0000}"/>
    <cellStyle name="Normal 27 2" xfId="35634" xr:uid="{00000000-0005-0000-0000-00002E8B0000}"/>
    <cellStyle name="Normal 27 2 2" xfId="35635" xr:uid="{00000000-0005-0000-0000-00002F8B0000}"/>
    <cellStyle name="Normal 27 2 3" xfId="35636" xr:uid="{00000000-0005-0000-0000-0000308B0000}"/>
    <cellStyle name="Normal 27 3" xfId="35637" xr:uid="{00000000-0005-0000-0000-0000318B0000}"/>
    <cellStyle name="Normal 27 3 2" xfId="35638" xr:uid="{00000000-0005-0000-0000-0000328B0000}"/>
    <cellStyle name="Normal 27 3 2 2" xfId="35639" xr:uid="{00000000-0005-0000-0000-0000338B0000}"/>
    <cellStyle name="Normal 27 3 2 2 2" xfId="35640" xr:uid="{00000000-0005-0000-0000-0000348B0000}"/>
    <cellStyle name="Normal 27 3 2 2 2 2" xfId="35641" xr:uid="{00000000-0005-0000-0000-0000358B0000}"/>
    <cellStyle name="Normal 27 3 2 2 3" xfId="35642" xr:uid="{00000000-0005-0000-0000-0000368B0000}"/>
    <cellStyle name="Normal 27 3 2 3" xfId="35643" xr:uid="{00000000-0005-0000-0000-0000378B0000}"/>
    <cellStyle name="Normal 27 3 2 3 2" xfId="35644" xr:uid="{00000000-0005-0000-0000-0000388B0000}"/>
    <cellStyle name="Normal 27 3 2 4" xfId="35645" xr:uid="{00000000-0005-0000-0000-0000398B0000}"/>
    <cellStyle name="Normal 27 3 3" xfId="35646" xr:uid="{00000000-0005-0000-0000-00003A8B0000}"/>
    <cellStyle name="Normal 27 3 3 2" xfId="35647" xr:uid="{00000000-0005-0000-0000-00003B8B0000}"/>
    <cellStyle name="Normal 27 3 3 2 2" xfId="35648" xr:uid="{00000000-0005-0000-0000-00003C8B0000}"/>
    <cellStyle name="Normal 27 3 3 3" xfId="35649" xr:uid="{00000000-0005-0000-0000-00003D8B0000}"/>
    <cellStyle name="Normal 27 3 4" xfId="35650" xr:uid="{00000000-0005-0000-0000-00003E8B0000}"/>
    <cellStyle name="Normal 27 3 4 2" xfId="35651" xr:uid="{00000000-0005-0000-0000-00003F8B0000}"/>
    <cellStyle name="Normal 27 3 5" xfId="35652" xr:uid="{00000000-0005-0000-0000-0000408B0000}"/>
    <cellStyle name="Normal 27 4" xfId="35653" xr:uid="{00000000-0005-0000-0000-0000418B0000}"/>
    <cellStyle name="Normal 28" xfId="35654" xr:uid="{00000000-0005-0000-0000-0000428B0000}"/>
    <cellStyle name="Normal 28 2" xfId="35655" xr:uid="{00000000-0005-0000-0000-0000438B0000}"/>
    <cellStyle name="Normal 28 2 2" xfId="35656" xr:uid="{00000000-0005-0000-0000-0000448B0000}"/>
    <cellStyle name="Normal 28 2 3" xfId="35657" xr:uid="{00000000-0005-0000-0000-0000458B0000}"/>
    <cellStyle name="Normal 28 3" xfId="35658" xr:uid="{00000000-0005-0000-0000-0000468B0000}"/>
    <cellStyle name="Normal 28 4" xfId="35659" xr:uid="{00000000-0005-0000-0000-0000478B0000}"/>
    <cellStyle name="Normal 29" xfId="35660" xr:uid="{00000000-0005-0000-0000-0000488B0000}"/>
    <cellStyle name="Normal 29 2" xfId="35661" xr:uid="{00000000-0005-0000-0000-0000498B0000}"/>
    <cellStyle name="Normal 29 2 2" xfId="35662" xr:uid="{00000000-0005-0000-0000-00004A8B0000}"/>
    <cellStyle name="Normal 29 2 2 2" xfId="35663" xr:uid="{00000000-0005-0000-0000-00004B8B0000}"/>
    <cellStyle name="Normal 29 2 2 3" xfId="35664" xr:uid="{00000000-0005-0000-0000-00004C8B0000}"/>
    <cellStyle name="Normal 29 2 3" xfId="35665" xr:uid="{00000000-0005-0000-0000-00004D8B0000}"/>
    <cellStyle name="Normal 29 2 4" xfId="35666" xr:uid="{00000000-0005-0000-0000-00004E8B0000}"/>
    <cellStyle name="Normal 29 3" xfId="35667" xr:uid="{00000000-0005-0000-0000-00004F8B0000}"/>
    <cellStyle name="Normal 29 3 2" xfId="35668" xr:uid="{00000000-0005-0000-0000-0000508B0000}"/>
    <cellStyle name="Normal 29 3 2 2" xfId="35669" xr:uid="{00000000-0005-0000-0000-0000518B0000}"/>
    <cellStyle name="Normal 29 3 2 2 2" xfId="35670" xr:uid="{00000000-0005-0000-0000-0000528B0000}"/>
    <cellStyle name="Normal 29 3 2 2 2 2" xfId="35671" xr:uid="{00000000-0005-0000-0000-0000538B0000}"/>
    <cellStyle name="Normal 29 3 2 2 3" xfId="35672" xr:uid="{00000000-0005-0000-0000-0000548B0000}"/>
    <cellStyle name="Normal 29 3 2 3" xfId="35673" xr:uid="{00000000-0005-0000-0000-0000558B0000}"/>
    <cellStyle name="Normal 29 3 2 3 2" xfId="35674" xr:uid="{00000000-0005-0000-0000-0000568B0000}"/>
    <cellStyle name="Normal 29 3 2 4" xfId="35675" xr:uid="{00000000-0005-0000-0000-0000578B0000}"/>
    <cellStyle name="Normal 29 3 3" xfId="35676" xr:uid="{00000000-0005-0000-0000-0000588B0000}"/>
    <cellStyle name="Normal 29 3 3 2" xfId="35677" xr:uid="{00000000-0005-0000-0000-0000598B0000}"/>
    <cellStyle name="Normal 29 3 3 2 2" xfId="35678" xr:uid="{00000000-0005-0000-0000-00005A8B0000}"/>
    <cellStyle name="Normal 29 3 3 3" xfId="35679" xr:uid="{00000000-0005-0000-0000-00005B8B0000}"/>
    <cellStyle name="Normal 29 3 4" xfId="35680" xr:uid="{00000000-0005-0000-0000-00005C8B0000}"/>
    <cellStyle name="Normal 29 3 4 2" xfId="35681" xr:uid="{00000000-0005-0000-0000-00005D8B0000}"/>
    <cellStyle name="Normal 29 3 5" xfId="35682" xr:uid="{00000000-0005-0000-0000-00005E8B0000}"/>
    <cellStyle name="Normal 29 4" xfId="35683" xr:uid="{00000000-0005-0000-0000-00005F8B0000}"/>
    <cellStyle name="Normal 29 5" xfId="35684" xr:uid="{00000000-0005-0000-0000-0000608B0000}"/>
    <cellStyle name="Normal 3" xfId="35685" xr:uid="{00000000-0005-0000-0000-0000618B0000}"/>
    <cellStyle name="Normal 3 10" xfId="35686" xr:uid="{00000000-0005-0000-0000-0000628B0000}"/>
    <cellStyle name="Normal 3 11" xfId="35687" xr:uid="{00000000-0005-0000-0000-0000638B0000}"/>
    <cellStyle name="Normal 3 2" xfId="35688" xr:uid="{00000000-0005-0000-0000-0000648B0000}"/>
    <cellStyle name="Normal 3 2 2" xfId="35689" xr:uid="{00000000-0005-0000-0000-0000658B0000}"/>
    <cellStyle name="Normal 3 2 2 2" xfId="35690" xr:uid="{00000000-0005-0000-0000-0000668B0000}"/>
    <cellStyle name="Normal 3 2 2 2 2" xfId="35691" xr:uid="{00000000-0005-0000-0000-0000678B0000}"/>
    <cellStyle name="Normal 3 2 2 2 3" xfId="35692" xr:uid="{00000000-0005-0000-0000-0000688B0000}"/>
    <cellStyle name="Normal 3 2 2 3" xfId="35693" xr:uid="{00000000-0005-0000-0000-0000698B0000}"/>
    <cellStyle name="Normal 3 2 2 3 2" xfId="35694" xr:uid="{00000000-0005-0000-0000-00006A8B0000}"/>
    <cellStyle name="Normal 3 2 2 3 3" xfId="35695" xr:uid="{00000000-0005-0000-0000-00006B8B0000}"/>
    <cellStyle name="Normal 3 2 2 4" xfId="35696" xr:uid="{00000000-0005-0000-0000-00006C8B0000}"/>
    <cellStyle name="Normal 3 2 2 5" xfId="35697" xr:uid="{00000000-0005-0000-0000-00006D8B0000}"/>
    <cellStyle name="Normal 3 2 3" xfId="35698" xr:uid="{00000000-0005-0000-0000-00006E8B0000}"/>
    <cellStyle name="Normal 3 2 3 2" xfId="35699" xr:uid="{00000000-0005-0000-0000-00006F8B0000}"/>
    <cellStyle name="Normal 3 2 3 2 2" xfId="35700" xr:uid="{00000000-0005-0000-0000-0000708B0000}"/>
    <cellStyle name="Normal 3 2 3 2 2 2" xfId="35701" xr:uid="{00000000-0005-0000-0000-0000718B0000}"/>
    <cellStyle name="Normal 3 2 3 2 3" xfId="35702" xr:uid="{00000000-0005-0000-0000-0000728B0000}"/>
    <cellStyle name="Normal 3 2 3 3" xfId="35703" xr:uid="{00000000-0005-0000-0000-0000738B0000}"/>
    <cellStyle name="Normal 3 2 3 3 2" xfId="35704" xr:uid="{00000000-0005-0000-0000-0000748B0000}"/>
    <cellStyle name="Normal 3 2 3 4" xfId="35705" xr:uid="{00000000-0005-0000-0000-0000758B0000}"/>
    <cellStyle name="Normal 3 2 3 5" xfId="35706" xr:uid="{00000000-0005-0000-0000-0000768B0000}"/>
    <cellStyle name="Normal 3 2 4" xfId="35707" xr:uid="{00000000-0005-0000-0000-0000778B0000}"/>
    <cellStyle name="Normal 3 2 4 2" xfId="35708" xr:uid="{00000000-0005-0000-0000-0000788B0000}"/>
    <cellStyle name="Normal 3 2 4 2 2" xfId="35709" xr:uid="{00000000-0005-0000-0000-0000798B0000}"/>
    <cellStyle name="Normal 3 2 4 3" xfId="35710" xr:uid="{00000000-0005-0000-0000-00007A8B0000}"/>
    <cellStyle name="Normal 3 2 5" xfId="35711" xr:uid="{00000000-0005-0000-0000-00007B8B0000}"/>
    <cellStyle name="Normal 3 2 5 2" xfId="35712" xr:uid="{00000000-0005-0000-0000-00007C8B0000}"/>
    <cellStyle name="Normal 3 2 5 3" xfId="35713" xr:uid="{00000000-0005-0000-0000-00007D8B0000}"/>
    <cellStyle name="Normal 3 2 6" xfId="35714" xr:uid="{00000000-0005-0000-0000-00007E8B0000}"/>
    <cellStyle name="Normal 3 2 7" xfId="35715" xr:uid="{00000000-0005-0000-0000-00007F8B0000}"/>
    <cellStyle name="Normal 3 2 8" xfId="35716" xr:uid="{00000000-0005-0000-0000-0000808B0000}"/>
    <cellStyle name="Normal 3 3" xfId="6" xr:uid="{00000000-0005-0000-0000-0000818B0000}"/>
    <cellStyle name="Normal 3 3 2" xfId="35717" xr:uid="{00000000-0005-0000-0000-0000828B0000}"/>
    <cellStyle name="Normal 3 3 2 2" xfId="35718" xr:uid="{00000000-0005-0000-0000-0000838B0000}"/>
    <cellStyle name="Normal 3 3 3" xfId="35719" xr:uid="{00000000-0005-0000-0000-0000848B0000}"/>
    <cellStyle name="Normal 3 3 4" xfId="35720" xr:uid="{00000000-0005-0000-0000-0000858B0000}"/>
    <cellStyle name="Normal 3 4" xfId="35721" xr:uid="{00000000-0005-0000-0000-0000868B0000}"/>
    <cellStyle name="Normal 3 4 2" xfId="35722" xr:uid="{00000000-0005-0000-0000-0000878B0000}"/>
    <cellStyle name="Normal 3 4 2 2" xfId="35723" xr:uid="{00000000-0005-0000-0000-0000888B0000}"/>
    <cellStyle name="Normal 3 4 2 3" xfId="35724" xr:uid="{00000000-0005-0000-0000-0000898B0000}"/>
    <cellStyle name="Normal 3 4 3" xfId="35725" xr:uid="{00000000-0005-0000-0000-00008A8B0000}"/>
    <cellStyle name="Normal 3 4 3 2" xfId="35726" xr:uid="{00000000-0005-0000-0000-00008B8B0000}"/>
    <cellStyle name="Normal 3 4 4" xfId="35727" xr:uid="{00000000-0005-0000-0000-00008C8B0000}"/>
    <cellStyle name="Normal 3 4 5" xfId="35728" xr:uid="{00000000-0005-0000-0000-00008D8B0000}"/>
    <cellStyle name="Normal 3 5" xfId="35729" xr:uid="{00000000-0005-0000-0000-00008E8B0000}"/>
    <cellStyle name="Normal 3 5 2" xfId="35730" xr:uid="{00000000-0005-0000-0000-00008F8B0000}"/>
    <cellStyle name="Normal 3 5 2 2" xfId="35731" xr:uid="{00000000-0005-0000-0000-0000908B0000}"/>
    <cellStyle name="Normal 3 5 3" xfId="35732" xr:uid="{00000000-0005-0000-0000-0000918B0000}"/>
    <cellStyle name="Normal 3 6" xfId="35733" xr:uid="{00000000-0005-0000-0000-0000928B0000}"/>
    <cellStyle name="Normal 3 6 2" xfId="35734" xr:uid="{00000000-0005-0000-0000-0000938B0000}"/>
    <cellStyle name="Normal 3 6 2 2" xfId="35735" xr:uid="{00000000-0005-0000-0000-0000948B0000}"/>
    <cellStyle name="Normal 3 6 2 2 2" xfId="35736" xr:uid="{00000000-0005-0000-0000-0000958B0000}"/>
    <cellStyle name="Normal 3 6 2 3" xfId="35737" xr:uid="{00000000-0005-0000-0000-0000968B0000}"/>
    <cellStyle name="Normal 3 6 3" xfId="35738" xr:uid="{00000000-0005-0000-0000-0000978B0000}"/>
    <cellStyle name="Normal 3 6 3 2" xfId="35739" xr:uid="{00000000-0005-0000-0000-0000988B0000}"/>
    <cellStyle name="Normal 3 6 4" xfId="35740" xr:uid="{00000000-0005-0000-0000-0000998B0000}"/>
    <cellStyle name="Normal 3 7" xfId="35741" xr:uid="{00000000-0005-0000-0000-00009A8B0000}"/>
    <cellStyle name="Normal 3 7 2" xfId="35742" xr:uid="{00000000-0005-0000-0000-00009B8B0000}"/>
    <cellStyle name="Normal 3 7 2 2" xfId="35743" xr:uid="{00000000-0005-0000-0000-00009C8B0000}"/>
    <cellStyle name="Normal 3 7 3" xfId="35744" xr:uid="{00000000-0005-0000-0000-00009D8B0000}"/>
    <cellStyle name="Normal 3 8" xfId="35745" xr:uid="{00000000-0005-0000-0000-00009E8B0000}"/>
    <cellStyle name="Normal 3 8 2" xfId="35746" xr:uid="{00000000-0005-0000-0000-00009F8B0000}"/>
    <cellStyle name="Normal 3 9" xfId="35747" xr:uid="{00000000-0005-0000-0000-0000A08B0000}"/>
    <cellStyle name="Normal 3 9 2" xfId="35748" xr:uid="{00000000-0005-0000-0000-0000A18B0000}"/>
    <cellStyle name="Normal 30" xfId="35749" xr:uid="{00000000-0005-0000-0000-0000A28B0000}"/>
    <cellStyle name="Normal 30 2" xfId="35750" xr:uid="{00000000-0005-0000-0000-0000A38B0000}"/>
    <cellStyle name="Normal 30 3" xfId="35751" xr:uid="{00000000-0005-0000-0000-0000A48B0000}"/>
    <cellStyle name="Normal 30 3 2" xfId="35752" xr:uid="{00000000-0005-0000-0000-0000A58B0000}"/>
    <cellStyle name="Normal 30 3 2 2" xfId="35753" xr:uid="{00000000-0005-0000-0000-0000A68B0000}"/>
    <cellStyle name="Normal 30 3 2 2 2" xfId="35754" xr:uid="{00000000-0005-0000-0000-0000A78B0000}"/>
    <cellStyle name="Normal 30 3 2 2 2 2" xfId="35755" xr:uid="{00000000-0005-0000-0000-0000A88B0000}"/>
    <cellStyle name="Normal 30 3 2 2 3" xfId="35756" xr:uid="{00000000-0005-0000-0000-0000A98B0000}"/>
    <cellStyle name="Normal 30 3 2 3" xfId="35757" xr:uid="{00000000-0005-0000-0000-0000AA8B0000}"/>
    <cellStyle name="Normal 30 3 2 3 2" xfId="35758" xr:uid="{00000000-0005-0000-0000-0000AB8B0000}"/>
    <cellStyle name="Normal 30 3 2 4" xfId="35759" xr:uid="{00000000-0005-0000-0000-0000AC8B0000}"/>
    <cellStyle name="Normal 30 3 3" xfId="35760" xr:uid="{00000000-0005-0000-0000-0000AD8B0000}"/>
    <cellStyle name="Normal 30 3 3 2" xfId="35761" xr:uid="{00000000-0005-0000-0000-0000AE8B0000}"/>
    <cellStyle name="Normal 30 3 3 2 2" xfId="35762" xr:uid="{00000000-0005-0000-0000-0000AF8B0000}"/>
    <cellStyle name="Normal 30 3 3 3" xfId="35763" xr:uid="{00000000-0005-0000-0000-0000B08B0000}"/>
    <cellStyle name="Normal 30 3 4" xfId="35764" xr:uid="{00000000-0005-0000-0000-0000B18B0000}"/>
    <cellStyle name="Normal 30 3 4 2" xfId="35765" xr:uid="{00000000-0005-0000-0000-0000B28B0000}"/>
    <cellStyle name="Normal 30 3 5" xfId="35766" xr:uid="{00000000-0005-0000-0000-0000B38B0000}"/>
    <cellStyle name="Normal 30 4" xfId="35767" xr:uid="{00000000-0005-0000-0000-0000B48B0000}"/>
    <cellStyle name="Normal 31" xfId="35768" xr:uid="{00000000-0005-0000-0000-0000B58B0000}"/>
    <cellStyle name="Normal 31 2" xfId="35769" xr:uid="{00000000-0005-0000-0000-0000B68B0000}"/>
    <cellStyle name="Normal 31 2 2" xfId="35770" xr:uid="{00000000-0005-0000-0000-0000B78B0000}"/>
    <cellStyle name="Normal 31 3" xfId="35771" xr:uid="{00000000-0005-0000-0000-0000B88B0000}"/>
    <cellStyle name="Normal 32" xfId="35772" xr:uid="{00000000-0005-0000-0000-0000B98B0000}"/>
    <cellStyle name="Normal 32 2" xfId="35773" xr:uid="{00000000-0005-0000-0000-0000BA8B0000}"/>
    <cellStyle name="Normal 33" xfId="35774" xr:uid="{00000000-0005-0000-0000-0000BB8B0000}"/>
    <cellStyle name="Normal 33 2" xfId="35775" xr:uid="{00000000-0005-0000-0000-0000BC8B0000}"/>
    <cellStyle name="Normal 33 3" xfId="35776" xr:uid="{00000000-0005-0000-0000-0000BD8B0000}"/>
    <cellStyle name="Normal 34" xfId="35777" xr:uid="{00000000-0005-0000-0000-0000BE8B0000}"/>
    <cellStyle name="Normal 34 2" xfId="35778" xr:uid="{00000000-0005-0000-0000-0000BF8B0000}"/>
    <cellStyle name="Normal 34 3" xfId="35779" xr:uid="{00000000-0005-0000-0000-0000C08B0000}"/>
    <cellStyle name="Normal 34 4" xfId="35780" xr:uid="{00000000-0005-0000-0000-0000C18B0000}"/>
    <cellStyle name="Normal 35" xfId="35781" xr:uid="{00000000-0005-0000-0000-0000C28B0000}"/>
    <cellStyle name="Normal 35 2" xfId="35782" xr:uid="{00000000-0005-0000-0000-0000C38B0000}"/>
    <cellStyle name="Normal 35 2 2" xfId="35783" xr:uid="{00000000-0005-0000-0000-0000C48B0000}"/>
    <cellStyle name="Normal 35 3" xfId="35784" xr:uid="{00000000-0005-0000-0000-0000C58B0000}"/>
    <cellStyle name="Normal 35 4" xfId="35785" xr:uid="{00000000-0005-0000-0000-0000C68B0000}"/>
    <cellStyle name="Normal 36" xfId="35786" xr:uid="{00000000-0005-0000-0000-0000C78B0000}"/>
    <cellStyle name="Normal 36 2" xfId="35787" xr:uid="{00000000-0005-0000-0000-0000C88B0000}"/>
    <cellStyle name="Normal 36 3" xfId="35788" xr:uid="{00000000-0005-0000-0000-0000C98B0000}"/>
    <cellStyle name="Normal 37" xfId="35789" xr:uid="{00000000-0005-0000-0000-0000CA8B0000}"/>
    <cellStyle name="Normal 37 2" xfId="35790" xr:uid="{00000000-0005-0000-0000-0000CB8B0000}"/>
    <cellStyle name="Normal 37 3" xfId="35791" xr:uid="{00000000-0005-0000-0000-0000CC8B0000}"/>
    <cellStyle name="Normal 38" xfId="35792" xr:uid="{00000000-0005-0000-0000-0000CD8B0000}"/>
    <cellStyle name="Normal 38 2" xfId="35793" xr:uid="{00000000-0005-0000-0000-0000CE8B0000}"/>
    <cellStyle name="Normal 38 3" xfId="35794" xr:uid="{00000000-0005-0000-0000-0000CF8B0000}"/>
    <cellStyle name="Normal 39" xfId="35795" xr:uid="{00000000-0005-0000-0000-0000D08B0000}"/>
    <cellStyle name="Normal 39 2" xfId="35796" xr:uid="{00000000-0005-0000-0000-0000D18B0000}"/>
    <cellStyle name="Normal 39 3" xfId="35797" xr:uid="{00000000-0005-0000-0000-0000D28B0000}"/>
    <cellStyle name="Normal 4" xfId="35798" xr:uid="{00000000-0005-0000-0000-0000D38B0000}"/>
    <cellStyle name="Normal 4 10" xfId="35799" xr:uid="{00000000-0005-0000-0000-0000D48B0000}"/>
    <cellStyle name="Normal 4 11" xfId="35800" xr:uid="{00000000-0005-0000-0000-0000D58B0000}"/>
    <cellStyle name="Normal 4 12" xfId="35801" xr:uid="{00000000-0005-0000-0000-0000D68B0000}"/>
    <cellStyle name="Normal 4 13" xfId="35802" xr:uid="{00000000-0005-0000-0000-0000D78B0000}"/>
    <cellStyle name="Normal 4 14" xfId="35803" xr:uid="{00000000-0005-0000-0000-0000D88B0000}"/>
    <cellStyle name="Normal 4 15" xfId="35804" xr:uid="{00000000-0005-0000-0000-0000D98B0000}"/>
    <cellStyle name="Normal 4 16" xfId="35805" xr:uid="{00000000-0005-0000-0000-0000DA8B0000}"/>
    <cellStyle name="Normal 4 17" xfId="35806" xr:uid="{00000000-0005-0000-0000-0000DB8B0000}"/>
    <cellStyle name="Normal 4 18" xfId="35807" xr:uid="{00000000-0005-0000-0000-0000DC8B0000}"/>
    <cellStyle name="Normal 4 19" xfId="35808" xr:uid="{00000000-0005-0000-0000-0000DD8B0000}"/>
    <cellStyle name="Normal 4 2" xfId="35809" xr:uid="{00000000-0005-0000-0000-0000DE8B0000}"/>
    <cellStyle name="Normal 4 2 2" xfId="35810" xr:uid="{00000000-0005-0000-0000-0000DF8B0000}"/>
    <cellStyle name="Normal 4 2 2 2" xfId="35811" xr:uid="{00000000-0005-0000-0000-0000E08B0000}"/>
    <cellStyle name="Normal 4 2 3" xfId="35812" xr:uid="{00000000-0005-0000-0000-0000E18B0000}"/>
    <cellStyle name="Normal 4 2 4" xfId="35813" xr:uid="{00000000-0005-0000-0000-0000E28B0000}"/>
    <cellStyle name="Normal 4 20" xfId="35814" xr:uid="{00000000-0005-0000-0000-0000E38B0000}"/>
    <cellStyle name="Normal 4 21" xfId="35815" xr:uid="{00000000-0005-0000-0000-0000E48B0000}"/>
    <cellStyle name="Normal 4 22" xfId="35816" xr:uid="{00000000-0005-0000-0000-0000E58B0000}"/>
    <cellStyle name="Normal 4 23" xfId="35817" xr:uid="{00000000-0005-0000-0000-0000E68B0000}"/>
    <cellStyle name="Normal 4 24" xfId="35818" xr:uid="{00000000-0005-0000-0000-0000E78B0000}"/>
    <cellStyle name="Normal 4 25" xfId="35819" xr:uid="{00000000-0005-0000-0000-0000E88B0000}"/>
    <cellStyle name="Normal 4 26" xfId="35820" xr:uid="{00000000-0005-0000-0000-0000E98B0000}"/>
    <cellStyle name="Normal 4 27" xfId="35821" xr:uid="{00000000-0005-0000-0000-0000EA8B0000}"/>
    <cellStyle name="Normal 4 28" xfId="35822" xr:uid="{00000000-0005-0000-0000-0000EB8B0000}"/>
    <cellStyle name="Normal 4 29" xfId="35823" xr:uid="{00000000-0005-0000-0000-0000EC8B0000}"/>
    <cellStyle name="Normal 4 3" xfId="35824" xr:uid="{00000000-0005-0000-0000-0000ED8B0000}"/>
    <cellStyle name="Normal 4 3 2" xfId="35825" xr:uid="{00000000-0005-0000-0000-0000EE8B0000}"/>
    <cellStyle name="Normal 4 3 2 2" xfId="35826" xr:uid="{00000000-0005-0000-0000-0000EF8B0000}"/>
    <cellStyle name="Normal 4 3 2 3" xfId="35827" xr:uid="{00000000-0005-0000-0000-0000F08B0000}"/>
    <cellStyle name="Normal 4 3 2 4" xfId="35828" xr:uid="{00000000-0005-0000-0000-0000F18B0000}"/>
    <cellStyle name="Normal 4 3 3" xfId="35829" xr:uid="{00000000-0005-0000-0000-0000F28B0000}"/>
    <cellStyle name="Normal 4 3 3 2" xfId="35830" xr:uid="{00000000-0005-0000-0000-0000F38B0000}"/>
    <cellStyle name="Normal 4 3 3 3" xfId="35831" xr:uid="{00000000-0005-0000-0000-0000F48B0000}"/>
    <cellStyle name="Normal 4 3 4" xfId="35832" xr:uid="{00000000-0005-0000-0000-0000F58B0000}"/>
    <cellStyle name="Normal 4 30" xfId="35833" xr:uid="{00000000-0005-0000-0000-0000F68B0000}"/>
    <cellStyle name="Normal 4 31" xfId="35834" xr:uid="{00000000-0005-0000-0000-0000F78B0000}"/>
    <cellStyle name="Normal 4 32" xfId="35835" xr:uid="{00000000-0005-0000-0000-0000F88B0000}"/>
    <cellStyle name="Normal 4 33" xfId="35836" xr:uid="{00000000-0005-0000-0000-0000F98B0000}"/>
    <cellStyle name="Normal 4 34" xfId="35837" xr:uid="{00000000-0005-0000-0000-0000FA8B0000}"/>
    <cellStyle name="Normal 4 35" xfId="35838" xr:uid="{00000000-0005-0000-0000-0000FB8B0000}"/>
    <cellStyle name="Normal 4 36" xfId="35839" xr:uid="{00000000-0005-0000-0000-0000FC8B0000}"/>
    <cellStyle name="Normal 4 37" xfId="35840" xr:uid="{00000000-0005-0000-0000-0000FD8B0000}"/>
    <cellStyle name="Normal 4 38" xfId="35841" xr:uid="{00000000-0005-0000-0000-0000FE8B0000}"/>
    <cellStyle name="Normal 4 39" xfId="35842" xr:uid="{00000000-0005-0000-0000-0000FF8B0000}"/>
    <cellStyle name="Normal 4 4" xfId="35843" xr:uid="{00000000-0005-0000-0000-0000008C0000}"/>
    <cellStyle name="Normal 4 4 2" xfId="35844" xr:uid="{00000000-0005-0000-0000-0000018C0000}"/>
    <cellStyle name="Normal 4 4 2 2" xfId="35845" xr:uid="{00000000-0005-0000-0000-0000028C0000}"/>
    <cellStyle name="Normal 4 4 3" xfId="35846" xr:uid="{00000000-0005-0000-0000-0000038C0000}"/>
    <cellStyle name="Normal 4 4 3 2" xfId="35847" xr:uid="{00000000-0005-0000-0000-0000048C0000}"/>
    <cellStyle name="Normal 4 4 4" xfId="35848" xr:uid="{00000000-0005-0000-0000-0000058C0000}"/>
    <cellStyle name="Normal 4 4 5" xfId="35849" xr:uid="{00000000-0005-0000-0000-0000068C0000}"/>
    <cellStyle name="Normal 4 40" xfId="35850" xr:uid="{00000000-0005-0000-0000-0000078C0000}"/>
    <cellStyle name="Normal 4 41" xfId="35851" xr:uid="{00000000-0005-0000-0000-0000088C0000}"/>
    <cellStyle name="Normal 4 42" xfId="35852" xr:uid="{00000000-0005-0000-0000-0000098C0000}"/>
    <cellStyle name="Normal 4 43" xfId="35853" xr:uid="{00000000-0005-0000-0000-00000A8C0000}"/>
    <cellStyle name="Normal 4 44" xfId="35854" xr:uid="{00000000-0005-0000-0000-00000B8C0000}"/>
    <cellStyle name="Normal 4 45" xfId="35855" xr:uid="{00000000-0005-0000-0000-00000C8C0000}"/>
    <cellStyle name="Normal 4 46" xfId="35856" xr:uid="{00000000-0005-0000-0000-00000D8C0000}"/>
    <cellStyle name="Normal 4 47" xfId="35857" xr:uid="{00000000-0005-0000-0000-00000E8C0000}"/>
    <cellStyle name="Normal 4 48" xfId="35858" xr:uid="{00000000-0005-0000-0000-00000F8C0000}"/>
    <cellStyle name="Normal 4 49" xfId="35859" xr:uid="{00000000-0005-0000-0000-0000108C0000}"/>
    <cellStyle name="Normal 4 5" xfId="35860" xr:uid="{00000000-0005-0000-0000-0000118C0000}"/>
    <cellStyle name="Normal 4 5 2" xfId="35861" xr:uid="{00000000-0005-0000-0000-0000128C0000}"/>
    <cellStyle name="Normal 4 5 3" xfId="35862" xr:uid="{00000000-0005-0000-0000-0000138C0000}"/>
    <cellStyle name="Normal 4 50" xfId="35863" xr:uid="{00000000-0005-0000-0000-0000148C0000}"/>
    <cellStyle name="Normal 4 51" xfId="35864" xr:uid="{00000000-0005-0000-0000-0000158C0000}"/>
    <cellStyle name="Normal 4 52" xfId="35865" xr:uid="{00000000-0005-0000-0000-0000168C0000}"/>
    <cellStyle name="Normal 4 53" xfId="35866" xr:uid="{00000000-0005-0000-0000-0000178C0000}"/>
    <cellStyle name="Normal 4 54" xfId="35867" xr:uid="{00000000-0005-0000-0000-0000188C0000}"/>
    <cellStyle name="Normal 4 55" xfId="35868" xr:uid="{00000000-0005-0000-0000-0000198C0000}"/>
    <cellStyle name="Normal 4 56" xfId="35869" xr:uid="{00000000-0005-0000-0000-00001A8C0000}"/>
    <cellStyle name="Normal 4 57" xfId="35870" xr:uid="{00000000-0005-0000-0000-00001B8C0000}"/>
    <cellStyle name="Normal 4 58" xfId="35871" xr:uid="{00000000-0005-0000-0000-00001C8C0000}"/>
    <cellStyle name="Normal 4 59" xfId="35872" xr:uid="{00000000-0005-0000-0000-00001D8C0000}"/>
    <cellStyle name="Normal 4 6" xfId="35873" xr:uid="{00000000-0005-0000-0000-00001E8C0000}"/>
    <cellStyle name="Normal 4 60" xfId="35874" xr:uid="{00000000-0005-0000-0000-00001F8C0000}"/>
    <cellStyle name="Normal 4 61" xfId="35875" xr:uid="{00000000-0005-0000-0000-0000208C0000}"/>
    <cellStyle name="Normal 4 62" xfId="35876" xr:uid="{00000000-0005-0000-0000-0000218C0000}"/>
    <cellStyle name="Normal 4 63" xfId="35877" xr:uid="{00000000-0005-0000-0000-0000228C0000}"/>
    <cellStyle name="Normal 4 64" xfId="35878" xr:uid="{00000000-0005-0000-0000-0000238C0000}"/>
    <cellStyle name="Normal 4 65" xfId="35879" xr:uid="{00000000-0005-0000-0000-0000248C0000}"/>
    <cellStyle name="Normal 4 66" xfId="35880" xr:uid="{00000000-0005-0000-0000-0000258C0000}"/>
    <cellStyle name="Normal 4 67" xfId="35881" xr:uid="{00000000-0005-0000-0000-0000268C0000}"/>
    <cellStyle name="Normal 4 68" xfId="35882" xr:uid="{00000000-0005-0000-0000-0000278C0000}"/>
    <cellStyle name="Normal 4 69" xfId="35883" xr:uid="{00000000-0005-0000-0000-0000288C0000}"/>
    <cellStyle name="Normal 4 7" xfId="35884" xr:uid="{00000000-0005-0000-0000-0000298C0000}"/>
    <cellStyle name="Normal 4 70" xfId="35885" xr:uid="{00000000-0005-0000-0000-00002A8C0000}"/>
    <cellStyle name="Normal 4 71" xfId="35886" xr:uid="{00000000-0005-0000-0000-00002B8C0000}"/>
    <cellStyle name="Normal 4 72" xfId="35887" xr:uid="{00000000-0005-0000-0000-00002C8C0000}"/>
    <cellStyle name="Normal 4 73" xfId="35888" xr:uid="{00000000-0005-0000-0000-00002D8C0000}"/>
    <cellStyle name="Normal 4 74" xfId="35889" xr:uid="{00000000-0005-0000-0000-00002E8C0000}"/>
    <cellStyle name="Normal 4 75" xfId="35890" xr:uid="{00000000-0005-0000-0000-00002F8C0000}"/>
    <cellStyle name="Normal 4 76" xfId="35891" xr:uid="{00000000-0005-0000-0000-0000308C0000}"/>
    <cellStyle name="Normal 4 77" xfId="35892" xr:uid="{00000000-0005-0000-0000-0000318C0000}"/>
    <cellStyle name="Normal 4 78" xfId="35893" xr:uid="{00000000-0005-0000-0000-0000328C0000}"/>
    <cellStyle name="Normal 4 79" xfId="35894" xr:uid="{00000000-0005-0000-0000-0000338C0000}"/>
    <cellStyle name="Normal 4 8" xfId="35895" xr:uid="{00000000-0005-0000-0000-0000348C0000}"/>
    <cellStyle name="Normal 4 80" xfId="35896" xr:uid="{00000000-0005-0000-0000-0000358C0000}"/>
    <cellStyle name="Normal 4 81" xfId="35897" xr:uid="{00000000-0005-0000-0000-0000368C0000}"/>
    <cellStyle name="Normal 4 82" xfId="35898" xr:uid="{00000000-0005-0000-0000-0000378C0000}"/>
    <cellStyle name="Normal 4 82 2" xfId="35899" xr:uid="{00000000-0005-0000-0000-0000388C0000}"/>
    <cellStyle name="Normal 4 82 3" xfId="35900" xr:uid="{00000000-0005-0000-0000-0000398C0000}"/>
    <cellStyle name="Normal 4 83" xfId="35901" xr:uid="{00000000-0005-0000-0000-00003A8C0000}"/>
    <cellStyle name="Normal 4 83 2" xfId="35902" xr:uid="{00000000-0005-0000-0000-00003B8C0000}"/>
    <cellStyle name="Normal 4 83 3" xfId="35903" xr:uid="{00000000-0005-0000-0000-00003C8C0000}"/>
    <cellStyle name="Normal 4 84" xfId="35904" xr:uid="{00000000-0005-0000-0000-00003D8C0000}"/>
    <cellStyle name="Normal 4 84 2" xfId="35905" xr:uid="{00000000-0005-0000-0000-00003E8C0000}"/>
    <cellStyle name="Normal 4 84 3" xfId="35906" xr:uid="{00000000-0005-0000-0000-00003F8C0000}"/>
    <cellStyle name="Normal 4 9" xfId="35907" xr:uid="{00000000-0005-0000-0000-0000408C0000}"/>
    <cellStyle name="Normal 4_Commercial" xfId="35908" xr:uid="{00000000-0005-0000-0000-0000418C0000}"/>
    <cellStyle name="Normal 40" xfId="35909" xr:uid="{00000000-0005-0000-0000-0000428C0000}"/>
    <cellStyle name="Normal 40 2" xfId="35910" xr:uid="{00000000-0005-0000-0000-0000438C0000}"/>
    <cellStyle name="Normal 40 3" xfId="35911" xr:uid="{00000000-0005-0000-0000-0000448C0000}"/>
    <cellStyle name="Normal 41" xfId="35912" xr:uid="{00000000-0005-0000-0000-0000458C0000}"/>
    <cellStyle name="Normal 41 2" xfId="35913" xr:uid="{00000000-0005-0000-0000-0000468C0000}"/>
    <cellStyle name="Normal 41 3" xfId="35914" xr:uid="{00000000-0005-0000-0000-0000478C0000}"/>
    <cellStyle name="Normal 42" xfId="35915" xr:uid="{00000000-0005-0000-0000-0000488C0000}"/>
    <cellStyle name="Normal 42 2" xfId="35916" xr:uid="{00000000-0005-0000-0000-0000498C0000}"/>
    <cellStyle name="Normal 42 3" xfId="35917" xr:uid="{00000000-0005-0000-0000-00004A8C0000}"/>
    <cellStyle name="Normal 42 4" xfId="35918" xr:uid="{00000000-0005-0000-0000-00004B8C0000}"/>
    <cellStyle name="Normal 43" xfId="35919" xr:uid="{00000000-0005-0000-0000-00004C8C0000}"/>
    <cellStyle name="Normal 43 2" xfId="35920" xr:uid="{00000000-0005-0000-0000-00004D8C0000}"/>
    <cellStyle name="Normal 43 3" xfId="35921" xr:uid="{00000000-0005-0000-0000-00004E8C0000}"/>
    <cellStyle name="Normal 44" xfId="35922" xr:uid="{00000000-0005-0000-0000-00004F8C0000}"/>
    <cellStyle name="Normal 44 2" xfId="35923" xr:uid="{00000000-0005-0000-0000-0000508C0000}"/>
    <cellStyle name="Normal 44 3" xfId="35924" xr:uid="{00000000-0005-0000-0000-0000518C0000}"/>
    <cellStyle name="Normal 45" xfId="35925" xr:uid="{00000000-0005-0000-0000-0000528C0000}"/>
    <cellStyle name="Normal 45 2" xfId="35926" xr:uid="{00000000-0005-0000-0000-0000538C0000}"/>
    <cellStyle name="Normal 45 3" xfId="35927" xr:uid="{00000000-0005-0000-0000-0000548C0000}"/>
    <cellStyle name="Normal 46" xfId="35928" xr:uid="{00000000-0005-0000-0000-0000558C0000}"/>
    <cellStyle name="Normal 46 2" xfId="35929" xr:uid="{00000000-0005-0000-0000-0000568C0000}"/>
    <cellStyle name="Normal 46 3" xfId="35930" xr:uid="{00000000-0005-0000-0000-0000578C0000}"/>
    <cellStyle name="Normal 47" xfId="35931" xr:uid="{00000000-0005-0000-0000-0000588C0000}"/>
    <cellStyle name="Normal 47 2" xfId="35932" xr:uid="{00000000-0005-0000-0000-0000598C0000}"/>
    <cellStyle name="Normal 47 3" xfId="35933" xr:uid="{00000000-0005-0000-0000-00005A8C0000}"/>
    <cellStyle name="Normal 48" xfId="35934" xr:uid="{00000000-0005-0000-0000-00005B8C0000}"/>
    <cellStyle name="Normal 48 2" xfId="35935" xr:uid="{00000000-0005-0000-0000-00005C8C0000}"/>
    <cellStyle name="Normal 48 3" xfId="35936" xr:uid="{00000000-0005-0000-0000-00005D8C0000}"/>
    <cellStyle name="Normal 49" xfId="35937" xr:uid="{00000000-0005-0000-0000-00005E8C0000}"/>
    <cellStyle name="Normal 49 2" xfId="35938" xr:uid="{00000000-0005-0000-0000-00005F8C0000}"/>
    <cellStyle name="Normal 49 3" xfId="35939" xr:uid="{00000000-0005-0000-0000-0000608C0000}"/>
    <cellStyle name="Normal 5" xfId="35940" xr:uid="{00000000-0005-0000-0000-0000618C0000}"/>
    <cellStyle name="Normal 5 10" xfId="35941" xr:uid="{00000000-0005-0000-0000-0000628C0000}"/>
    <cellStyle name="Normal 5 11" xfId="35942" xr:uid="{00000000-0005-0000-0000-0000638C0000}"/>
    <cellStyle name="Normal 5 12" xfId="35943" xr:uid="{00000000-0005-0000-0000-0000648C0000}"/>
    <cellStyle name="Normal 5 13" xfId="35944" xr:uid="{00000000-0005-0000-0000-0000658C0000}"/>
    <cellStyle name="Normal 5 14" xfId="35945" xr:uid="{00000000-0005-0000-0000-0000668C0000}"/>
    <cellStyle name="Normal 5 15" xfId="35946" xr:uid="{00000000-0005-0000-0000-0000678C0000}"/>
    <cellStyle name="Normal 5 16" xfId="35947" xr:uid="{00000000-0005-0000-0000-0000688C0000}"/>
    <cellStyle name="Normal 5 17" xfId="35948" xr:uid="{00000000-0005-0000-0000-0000698C0000}"/>
    <cellStyle name="Normal 5 18" xfId="35949" xr:uid="{00000000-0005-0000-0000-00006A8C0000}"/>
    <cellStyle name="Normal 5 19" xfId="35950" xr:uid="{00000000-0005-0000-0000-00006B8C0000}"/>
    <cellStyle name="Normal 5 2" xfId="35951" xr:uid="{00000000-0005-0000-0000-00006C8C0000}"/>
    <cellStyle name="Normal 5 2 2" xfId="35952" xr:uid="{00000000-0005-0000-0000-00006D8C0000}"/>
    <cellStyle name="Normal 5 2 2 2" xfId="35953" xr:uid="{00000000-0005-0000-0000-00006E8C0000}"/>
    <cellStyle name="Normal 5 2 2 2 2" xfId="35954" xr:uid="{00000000-0005-0000-0000-00006F8C0000}"/>
    <cellStyle name="Normal 5 2 2 3" xfId="35955" xr:uid="{00000000-0005-0000-0000-0000708C0000}"/>
    <cellStyle name="Normal 5 2 3" xfId="35956" xr:uid="{00000000-0005-0000-0000-0000718C0000}"/>
    <cellStyle name="Normal 5 2 3 2" xfId="35957" xr:uid="{00000000-0005-0000-0000-0000728C0000}"/>
    <cellStyle name="Normal 5 2 4" xfId="35958" xr:uid="{00000000-0005-0000-0000-0000738C0000}"/>
    <cellStyle name="Normal 5 2 4 2" xfId="35959" xr:uid="{00000000-0005-0000-0000-0000748C0000}"/>
    <cellStyle name="Normal 5 2 5" xfId="35960" xr:uid="{00000000-0005-0000-0000-0000758C0000}"/>
    <cellStyle name="Normal 5 2 6" xfId="35961" xr:uid="{00000000-0005-0000-0000-0000768C0000}"/>
    <cellStyle name="Normal 5 20" xfId="35962" xr:uid="{00000000-0005-0000-0000-0000778C0000}"/>
    <cellStyle name="Normal 5 21" xfId="35963" xr:uid="{00000000-0005-0000-0000-0000788C0000}"/>
    <cellStyle name="Normal 5 22" xfId="35964" xr:uid="{00000000-0005-0000-0000-0000798C0000}"/>
    <cellStyle name="Normal 5 23" xfId="35965" xr:uid="{00000000-0005-0000-0000-00007A8C0000}"/>
    <cellStyle name="Normal 5 24" xfId="35966" xr:uid="{00000000-0005-0000-0000-00007B8C0000}"/>
    <cellStyle name="Normal 5 25" xfId="35967" xr:uid="{00000000-0005-0000-0000-00007C8C0000}"/>
    <cellStyle name="Normal 5 26" xfId="35968" xr:uid="{00000000-0005-0000-0000-00007D8C0000}"/>
    <cellStyle name="Normal 5 27" xfId="35969" xr:uid="{00000000-0005-0000-0000-00007E8C0000}"/>
    <cellStyle name="Normal 5 28" xfId="35970" xr:uid="{00000000-0005-0000-0000-00007F8C0000}"/>
    <cellStyle name="Normal 5 29" xfId="35971" xr:uid="{00000000-0005-0000-0000-0000808C0000}"/>
    <cellStyle name="Normal 5 3" xfId="35972" xr:uid="{00000000-0005-0000-0000-0000818C0000}"/>
    <cellStyle name="Normal 5 3 2" xfId="35973" xr:uid="{00000000-0005-0000-0000-0000828C0000}"/>
    <cellStyle name="Normal 5 3 2 2" xfId="35974" xr:uid="{00000000-0005-0000-0000-0000838C0000}"/>
    <cellStyle name="Normal 5 3 2 2 2" xfId="35975" xr:uid="{00000000-0005-0000-0000-0000848C0000}"/>
    <cellStyle name="Normal 5 3 2 3" xfId="35976" xr:uid="{00000000-0005-0000-0000-0000858C0000}"/>
    <cellStyle name="Normal 5 3 3" xfId="35977" xr:uid="{00000000-0005-0000-0000-0000868C0000}"/>
    <cellStyle name="Normal 5 3 3 2" xfId="35978" xr:uid="{00000000-0005-0000-0000-0000878C0000}"/>
    <cellStyle name="Normal 5 3 4" xfId="35979" xr:uid="{00000000-0005-0000-0000-0000888C0000}"/>
    <cellStyle name="Normal 5 3 4 2" xfId="35980" xr:uid="{00000000-0005-0000-0000-0000898C0000}"/>
    <cellStyle name="Normal 5 3 5" xfId="35981" xr:uid="{00000000-0005-0000-0000-00008A8C0000}"/>
    <cellStyle name="Normal 5 3 6" xfId="35982" xr:uid="{00000000-0005-0000-0000-00008B8C0000}"/>
    <cellStyle name="Normal 5 30" xfId="35983" xr:uid="{00000000-0005-0000-0000-00008C8C0000}"/>
    <cellStyle name="Normal 5 31" xfId="35984" xr:uid="{00000000-0005-0000-0000-00008D8C0000}"/>
    <cellStyle name="Normal 5 32" xfId="35985" xr:uid="{00000000-0005-0000-0000-00008E8C0000}"/>
    <cellStyle name="Normal 5 33" xfId="35986" xr:uid="{00000000-0005-0000-0000-00008F8C0000}"/>
    <cellStyle name="Normal 5 34" xfId="35987" xr:uid="{00000000-0005-0000-0000-0000908C0000}"/>
    <cellStyle name="Normal 5 35" xfId="35988" xr:uid="{00000000-0005-0000-0000-0000918C0000}"/>
    <cellStyle name="Normal 5 36" xfId="35989" xr:uid="{00000000-0005-0000-0000-0000928C0000}"/>
    <cellStyle name="Normal 5 37" xfId="35990" xr:uid="{00000000-0005-0000-0000-0000938C0000}"/>
    <cellStyle name="Normal 5 38" xfId="35991" xr:uid="{00000000-0005-0000-0000-0000948C0000}"/>
    <cellStyle name="Normal 5 39" xfId="35992" xr:uid="{00000000-0005-0000-0000-0000958C0000}"/>
    <cellStyle name="Normal 5 4" xfId="35993" xr:uid="{00000000-0005-0000-0000-0000968C0000}"/>
    <cellStyle name="Normal 5 4 2" xfId="35994" xr:uid="{00000000-0005-0000-0000-0000978C0000}"/>
    <cellStyle name="Normal 5 4 2 2" xfId="35995" xr:uid="{00000000-0005-0000-0000-0000988C0000}"/>
    <cellStyle name="Normal 5 4 2 3" xfId="35996" xr:uid="{00000000-0005-0000-0000-0000998C0000}"/>
    <cellStyle name="Normal 5 4 3" xfId="35997" xr:uid="{00000000-0005-0000-0000-00009A8C0000}"/>
    <cellStyle name="Normal 5 4 3 2" xfId="35998" xr:uid="{00000000-0005-0000-0000-00009B8C0000}"/>
    <cellStyle name="Normal 5 4 3 3" xfId="35999" xr:uid="{00000000-0005-0000-0000-00009C8C0000}"/>
    <cellStyle name="Normal 5 40" xfId="36000" xr:uid="{00000000-0005-0000-0000-00009D8C0000}"/>
    <cellStyle name="Normal 5 41" xfId="36001" xr:uid="{00000000-0005-0000-0000-00009E8C0000}"/>
    <cellStyle name="Normal 5 42" xfId="36002" xr:uid="{00000000-0005-0000-0000-00009F8C0000}"/>
    <cellStyle name="Normal 5 43" xfId="36003" xr:uid="{00000000-0005-0000-0000-0000A08C0000}"/>
    <cellStyle name="Normal 5 44" xfId="36004" xr:uid="{00000000-0005-0000-0000-0000A18C0000}"/>
    <cellStyle name="Normal 5 45" xfId="36005" xr:uid="{00000000-0005-0000-0000-0000A28C0000}"/>
    <cellStyle name="Normal 5 46" xfId="36006" xr:uid="{00000000-0005-0000-0000-0000A38C0000}"/>
    <cellStyle name="Normal 5 47" xfId="36007" xr:uid="{00000000-0005-0000-0000-0000A48C0000}"/>
    <cellStyle name="Normal 5 48" xfId="36008" xr:uid="{00000000-0005-0000-0000-0000A58C0000}"/>
    <cellStyle name="Normal 5 49" xfId="36009" xr:uid="{00000000-0005-0000-0000-0000A68C0000}"/>
    <cellStyle name="Normal 5 5" xfId="36010" xr:uid="{00000000-0005-0000-0000-0000A78C0000}"/>
    <cellStyle name="Normal 5 5 2" xfId="36011" xr:uid="{00000000-0005-0000-0000-0000A88C0000}"/>
    <cellStyle name="Normal 5 5 2 2" xfId="36012" xr:uid="{00000000-0005-0000-0000-0000A98C0000}"/>
    <cellStyle name="Normal 5 5 2 2 2" xfId="36013" xr:uid="{00000000-0005-0000-0000-0000AA8C0000}"/>
    <cellStyle name="Normal 5 5 2 3" xfId="36014" xr:uid="{00000000-0005-0000-0000-0000AB8C0000}"/>
    <cellStyle name="Normal 5 5 3" xfId="36015" xr:uid="{00000000-0005-0000-0000-0000AC8C0000}"/>
    <cellStyle name="Normal 5 5 3 2" xfId="36016" xr:uid="{00000000-0005-0000-0000-0000AD8C0000}"/>
    <cellStyle name="Normal 5 5 4" xfId="36017" xr:uid="{00000000-0005-0000-0000-0000AE8C0000}"/>
    <cellStyle name="Normal 5 5 4 2" xfId="36018" xr:uid="{00000000-0005-0000-0000-0000AF8C0000}"/>
    <cellStyle name="Normal 5 5 5" xfId="36019" xr:uid="{00000000-0005-0000-0000-0000B08C0000}"/>
    <cellStyle name="Normal 5 5 6" xfId="36020" xr:uid="{00000000-0005-0000-0000-0000B18C0000}"/>
    <cellStyle name="Normal 5 50" xfId="36021" xr:uid="{00000000-0005-0000-0000-0000B28C0000}"/>
    <cellStyle name="Normal 5 51" xfId="36022" xr:uid="{00000000-0005-0000-0000-0000B38C0000}"/>
    <cellStyle name="Normal 5 52" xfId="36023" xr:uid="{00000000-0005-0000-0000-0000B48C0000}"/>
    <cellStyle name="Normal 5 53" xfId="36024" xr:uid="{00000000-0005-0000-0000-0000B58C0000}"/>
    <cellStyle name="Normal 5 54" xfId="36025" xr:uid="{00000000-0005-0000-0000-0000B68C0000}"/>
    <cellStyle name="Normal 5 55" xfId="36026" xr:uid="{00000000-0005-0000-0000-0000B78C0000}"/>
    <cellStyle name="Normal 5 56" xfId="36027" xr:uid="{00000000-0005-0000-0000-0000B88C0000}"/>
    <cellStyle name="Normal 5 57" xfId="36028" xr:uid="{00000000-0005-0000-0000-0000B98C0000}"/>
    <cellStyle name="Normal 5 58" xfId="36029" xr:uid="{00000000-0005-0000-0000-0000BA8C0000}"/>
    <cellStyle name="Normal 5 59" xfId="36030" xr:uid="{00000000-0005-0000-0000-0000BB8C0000}"/>
    <cellStyle name="Normal 5 6" xfId="36031" xr:uid="{00000000-0005-0000-0000-0000BC8C0000}"/>
    <cellStyle name="Normal 5 6 2" xfId="36032" xr:uid="{00000000-0005-0000-0000-0000BD8C0000}"/>
    <cellStyle name="Normal 5 60" xfId="36033" xr:uid="{00000000-0005-0000-0000-0000BE8C0000}"/>
    <cellStyle name="Normal 5 61" xfId="36034" xr:uid="{00000000-0005-0000-0000-0000BF8C0000}"/>
    <cellStyle name="Normal 5 62" xfId="36035" xr:uid="{00000000-0005-0000-0000-0000C08C0000}"/>
    <cellStyle name="Normal 5 63" xfId="36036" xr:uid="{00000000-0005-0000-0000-0000C18C0000}"/>
    <cellStyle name="Normal 5 64" xfId="36037" xr:uid="{00000000-0005-0000-0000-0000C28C0000}"/>
    <cellStyle name="Normal 5 65" xfId="36038" xr:uid="{00000000-0005-0000-0000-0000C38C0000}"/>
    <cellStyle name="Normal 5 66" xfId="36039" xr:uid="{00000000-0005-0000-0000-0000C48C0000}"/>
    <cellStyle name="Normal 5 67" xfId="36040" xr:uid="{00000000-0005-0000-0000-0000C58C0000}"/>
    <cellStyle name="Normal 5 68" xfId="36041" xr:uid="{00000000-0005-0000-0000-0000C68C0000}"/>
    <cellStyle name="Normal 5 69" xfId="36042" xr:uid="{00000000-0005-0000-0000-0000C78C0000}"/>
    <cellStyle name="Normal 5 7" xfId="36043" xr:uid="{00000000-0005-0000-0000-0000C88C0000}"/>
    <cellStyle name="Normal 5 70" xfId="36044" xr:uid="{00000000-0005-0000-0000-0000C98C0000}"/>
    <cellStyle name="Normal 5 71" xfId="36045" xr:uid="{00000000-0005-0000-0000-0000CA8C0000}"/>
    <cellStyle name="Normal 5 72" xfId="36046" xr:uid="{00000000-0005-0000-0000-0000CB8C0000}"/>
    <cellStyle name="Normal 5 73" xfId="36047" xr:uid="{00000000-0005-0000-0000-0000CC8C0000}"/>
    <cellStyle name="Normal 5 74" xfId="36048" xr:uid="{00000000-0005-0000-0000-0000CD8C0000}"/>
    <cellStyle name="Normal 5 75" xfId="36049" xr:uid="{00000000-0005-0000-0000-0000CE8C0000}"/>
    <cellStyle name="Normal 5 76" xfId="36050" xr:uid="{00000000-0005-0000-0000-0000CF8C0000}"/>
    <cellStyle name="Normal 5 77" xfId="36051" xr:uid="{00000000-0005-0000-0000-0000D08C0000}"/>
    <cellStyle name="Normal 5 78" xfId="36052" xr:uid="{00000000-0005-0000-0000-0000D18C0000}"/>
    <cellStyle name="Normal 5 79" xfId="36053" xr:uid="{00000000-0005-0000-0000-0000D28C0000}"/>
    <cellStyle name="Normal 5 8" xfId="36054" xr:uid="{00000000-0005-0000-0000-0000D38C0000}"/>
    <cellStyle name="Normal 5 80" xfId="36055" xr:uid="{00000000-0005-0000-0000-0000D48C0000}"/>
    <cellStyle name="Normal 5 81" xfId="36056" xr:uid="{00000000-0005-0000-0000-0000D58C0000}"/>
    <cellStyle name="Normal 5 81 2" xfId="36057" xr:uid="{00000000-0005-0000-0000-0000D68C0000}"/>
    <cellStyle name="Normal 5 81 3" xfId="36058" xr:uid="{00000000-0005-0000-0000-0000D78C0000}"/>
    <cellStyle name="Normal 5 82" xfId="36059" xr:uid="{00000000-0005-0000-0000-0000D88C0000}"/>
    <cellStyle name="Normal 5 82 2" xfId="36060" xr:uid="{00000000-0005-0000-0000-0000D98C0000}"/>
    <cellStyle name="Normal 5 82 3" xfId="36061" xr:uid="{00000000-0005-0000-0000-0000DA8C0000}"/>
    <cellStyle name="Normal 5 9" xfId="36062" xr:uid="{00000000-0005-0000-0000-0000DB8C0000}"/>
    <cellStyle name="Normal 5_Commercial" xfId="36063" xr:uid="{00000000-0005-0000-0000-0000DC8C0000}"/>
    <cellStyle name="Normal 50" xfId="36064" xr:uid="{00000000-0005-0000-0000-0000DD8C0000}"/>
    <cellStyle name="Normal 50 2" xfId="36065" xr:uid="{00000000-0005-0000-0000-0000DE8C0000}"/>
    <cellStyle name="Normal 50 3" xfId="36066" xr:uid="{00000000-0005-0000-0000-0000DF8C0000}"/>
    <cellStyle name="Normal 51" xfId="36067" xr:uid="{00000000-0005-0000-0000-0000E08C0000}"/>
    <cellStyle name="Normal 51 2" xfId="36068" xr:uid="{00000000-0005-0000-0000-0000E18C0000}"/>
    <cellStyle name="Normal 51 2 2" xfId="36069" xr:uid="{00000000-0005-0000-0000-0000E28C0000}"/>
    <cellStyle name="Normal 51 2 2 2" xfId="36070" xr:uid="{00000000-0005-0000-0000-0000E38C0000}"/>
    <cellStyle name="Normal 51 2 3" xfId="36071" xr:uid="{00000000-0005-0000-0000-0000E48C0000}"/>
    <cellStyle name="Normal 51 2 3 2" xfId="36072" xr:uid="{00000000-0005-0000-0000-0000E58C0000}"/>
    <cellStyle name="Normal 51 2 4" xfId="36073" xr:uid="{00000000-0005-0000-0000-0000E68C0000}"/>
    <cellStyle name="Normal 51 3" xfId="36074" xr:uid="{00000000-0005-0000-0000-0000E78C0000}"/>
    <cellStyle name="Normal 51 3 2" xfId="36075" xr:uid="{00000000-0005-0000-0000-0000E88C0000}"/>
    <cellStyle name="Normal 51 4" xfId="36076" xr:uid="{00000000-0005-0000-0000-0000E98C0000}"/>
    <cellStyle name="Normal 51 4 2" xfId="36077" xr:uid="{00000000-0005-0000-0000-0000EA8C0000}"/>
    <cellStyle name="Normal 51 5" xfId="36078" xr:uid="{00000000-0005-0000-0000-0000EB8C0000}"/>
    <cellStyle name="Normal 52" xfId="36079" xr:uid="{00000000-0005-0000-0000-0000EC8C0000}"/>
    <cellStyle name="Normal 52 2" xfId="36080" xr:uid="{00000000-0005-0000-0000-0000ED8C0000}"/>
    <cellStyle name="Normal 52 2 2" xfId="36081" xr:uid="{00000000-0005-0000-0000-0000EE8C0000}"/>
    <cellStyle name="Normal 52 2 2 2" xfId="36082" xr:uid="{00000000-0005-0000-0000-0000EF8C0000}"/>
    <cellStyle name="Normal 52 2 3" xfId="36083" xr:uid="{00000000-0005-0000-0000-0000F08C0000}"/>
    <cellStyle name="Normal 52 2 3 2" xfId="36084" xr:uid="{00000000-0005-0000-0000-0000F18C0000}"/>
    <cellStyle name="Normal 52 2 4" xfId="36085" xr:uid="{00000000-0005-0000-0000-0000F28C0000}"/>
    <cellStyle name="Normal 52 3" xfId="36086" xr:uid="{00000000-0005-0000-0000-0000F38C0000}"/>
    <cellStyle name="Normal 52 3 2" xfId="36087" xr:uid="{00000000-0005-0000-0000-0000F48C0000}"/>
    <cellStyle name="Normal 52 4" xfId="36088" xr:uid="{00000000-0005-0000-0000-0000F58C0000}"/>
    <cellStyle name="Normal 52 4 2" xfId="36089" xr:uid="{00000000-0005-0000-0000-0000F68C0000}"/>
    <cellStyle name="Normal 52 5" xfId="36090" xr:uid="{00000000-0005-0000-0000-0000F78C0000}"/>
    <cellStyle name="Normal 53" xfId="36091" xr:uid="{00000000-0005-0000-0000-0000F88C0000}"/>
    <cellStyle name="Normal 53 2" xfId="36092" xr:uid="{00000000-0005-0000-0000-0000F98C0000}"/>
    <cellStyle name="Normal 53 2 2" xfId="36093" xr:uid="{00000000-0005-0000-0000-0000FA8C0000}"/>
    <cellStyle name="Normal 53 2 2 2" xfId="36094" xr:uid="{00000000-0005-0000-0000-0000FB8C0000}"/>
    <cellStyle name="Normal 53 2 3" xfId="36095" xr:uid="{00000000-0005-0000-0000-0000FC8C0000}"/>
    <cellStyle name="Normal 53 2 3 2" xfId="36096" xr:uid="{00000000-0005-0000-0000-0000FD8C0000}"/>
    <cellStyle name="Normal 53 2 4" xfId="36097" xr:uid="{00000000-0005-0000-0000-0000FE8C0000}"/>
    <cellStyle name="Normal 53 3" xfId="36098" xr:uid="{00000000-0005-0000-0000-0000FF8C0000}"/>
    <cellStyle name="Normal 53 3 2" xfId="36099" xr:uid="{00000000-0005-0000-0000-0000008D0000}"/>
    <cellStyle name="Normal 53 4" xfId="36100" xr:uid="{00000000-0005-0000-0000-0000018D0000}"/>
    <cellStyle name="Normal 53 4 2" xfId="36101" xr:uid="{00000000-0005-0000-0000-0000028D0000}"/>
    <cellStyle name="Normal 53 5" xfId="36102" xr:uid="{00000000-0005-0000-0000-0000038D0000}"/>
    <cellStyle name="Normal 54" xfId="36103" xr:uid="{00000000-0005-0000-0000-0000048D0000}"/>
    <cellStyle name="Normal 54 2" xfId="36104" xr:uid="{00000000-0005-0000-0000-0000058D0000}"/>
    <cellStyle name="Normal 54 2 2" xfId="36105" xr:uid="{00000000-0005-0000-0000-0000068D0000}"/>
    <cellStyle name="Normal 54 2 2 2" xfId="36106" xr:uid="{00000000-0005-0000-0000-0000078D0000}"/>
    <cellStyle name="Normal 54 2 3" xfId="36107" xr:uid="{00000000-0005-0000-0000-0000088D0000}"/>
    <cellStyle name="Normal 54 2 3 2" xfId="36108" xr:uid="{00000000-0005-0000-0000-0000098D0000}"/>
    <cellStyle name="Normal 54 2 4" xfId="36109" xr:uid="{00000000-0005-0000-0000-00000A8D0000}"/>
    <cellStyle name="Normal 54 3" xfId="36110" xr:uid="{00000000-0005-0000-0000-00000B8D0000}"/>
    <cellStyle name="Normal 54 3 2" xfId="36111" xr:uid="{00000000-0005-0000-0000-00000C8D0000}"/>
    <cellStyle name="Normal 54 4" xfId="36112" xr:uid="{00000000-0005-0000-0000-00000D8D0000}"/>
    <cellStyle name="Normal 54 4 2" xfId="36113" xr:uid="{00000000-0005-0000-0000-00000E8D0000}"/>
    <cellStyle name="Normal 54 5" xfId="36114" xr:uid="{00000000-0005-0000-0000-00000F8D0000}"/>
    <cellStyle name="Normal 55" xfId="36115" xr:uid="{00000000-0005-0000-0000-0000108D0000}"/>
    <cellStyle name="Normal 55 2" xfId="36116" xr:uid="{00000000-0005-0000-0000-0000118D0000}"/>
    <cellStyle name="Normal 55 2 2" xfId="36117" xr:uid="{00000000-0005-0000-0000-0000128D0000}"/>
    <cellStyle name="Normal 55 3" xfId="36118" xr:uid="{00000000-0005-0000-0000-0000138D0000}"/>
    <cellStyle name="Normal 55 3 2" xfId="36119" xr:uid="{00000000-0005-0000-0000-0000148D0000}"/>
    <cellStyle name="Normal 55 4" xfId="36120" xr:uid="{00000000-0005-0000-0000-0000158D0000}"/>
    <cellStyle name="Normal 56" xfId="36121" xr:uid="{00000000-0005-0000-0000-0000168D0000}"/>
    <cellStyle name="Normal 56 2" xfId="36122" xr:uid="{00000000-0005-0000-0000-0000178D0000}"/>
    <cellStyle name="Normal 56 2 2" xfId="36123" xr:uid="{00000000-0005-0000-0000-0000188D0000}"/>
    <cellStyle name="Normal 56 3" xfId="36124" xr:uid="{00000000-0005-0000-0000-0000198D0000}"/>
    <cellStyle name="Normal 56 3 2" xfId="36125" xr:uid="{00000000-0005-0000-0000-00001A8D0000}"/>
    <cellStyle name="Normal 56 4" xfId="36126" xr:uid="{00000000-0005-0000-0000-00001B8D0000}"/>
    <cellStyle name="Normal 57" xfId="36127" xr:uid="{00000000-0005-0000-0000-00001C8D0000}"/>
    <cellStyle name="Normal 57 2" xfId="36128" xr:uid="{00000000-0005-0000-0000-00001D8D0000}"/>
    <cellStyle name="Normal 57 2 2" xfId="36129" xr:uid="{00000000-0005-0000-0000-00001E8D0000}"/>
    <cellStyle name="Normal 57 3" xfId="36130" xr:uid="{00000000-0005-0000-0000-00001F8D0000}"/>
    <cellStyle name="Normal 57 3 2" xfId="36131" xr:uid="{00000000-0005-0000-0000-0000208D0000}"/>
    <cellStyle name="Normal 57 4" xfId="36132" xr:uid="{00000000-0005-0000-0000-0000218D0000}"/>
    <cellStyle name="Normal 58" xfId="36133" xr:uid="{00000000-0005-0000-0000-0000228D0000}"/>
    <cellStyle name="Normal 58 2" xfId="36134" xr:uid="{00000000-0005-0000-0000-0000238D0000}"/>
    <cellStyle name="Normal 58 2 2" xfId="36135" xr:uid="{00000000-0005-0000-0000-0000248D0000}"/>
    <cellStyle name="Normal 58 3" xfId="36136" xr:uid="{00000000-0005-0000-0000-0000258D0000}"/>
    <cellStyle name="Normal 58 3 2" xfId="36137" xr:uid="{00000000-0005-0000-0000-0000268D0000}"/>
    <cellStyle name="Normal 58 4" xfId="36138" xr:uid="{00000000-0005-0000-0000-0000278D0000}"/>
    <cellStyle name="Normal 59" xfId="36139" xr:uid="{00000000-0005-0000-0000-0000288D0000}"/>
    <cellStyle name="Normal 59 2" xfId="36140" xr:uid="{00000000-0005-0000-0000-0000298D0000}"/>
    <cellStyle name="Normal 59 2 2" xfId="36141" xr:uid="{00000000-0005-0000-0000-00002A8D0000}"/>
    <cellStyle name="Normal 59 3" xfId="36142" xr:uid="{00000000-0005-0000-0000-00002B8D0000}"/>
    <cellStyle name="Normal 59 3 2" xfId="36143" xr:uid="{00000000-0005-0000-0000-00002C8D0000}"/>
    <cellStyle name="Normal 59 4" xfId="36144" xr:uid="{00000000-0005-0000-0000-00002D8D0000}"/>
    <cellStyle name="Normal 6" xfId="36145" xr:uid="{00000000-0005-0000-0000-00002E8D0000}"/>
    <cellStyle name="Normal 6 2" xfId="36146" xr:uid="{00000000-0005-0000-0000-00002F8D0000}"/>
    <cellStyle name="Normal 6 2 2" xfId="36147" xr:uid="{00000000-0005-0000-0000-0000308D0000}"/>
    <cellStyle name="Normal 6 2 2 2" xfId="36148" xr:uid="{00000000-0005-0000-0000-0000318D0000}"/>
    <cellStyle name="Normal 6 2 2 2 2" xfId="36149" xr:uid="{00000000-0005-0000-0000-0000328D0000}"/>
    <cellStyle name="Normal 6 2 2 3" xfId="36150" xr:uid="{00000000-0005-0000-0000-0000338D0000}"/>
    <cellStyle name="Normal 6 2 3" xfId="36151" xr:uid="{00000000-0005-0000-0000-0000348D0000}"/>
    <cellStyle name="Normal 6 2 3 2" xfId="36152" xr:uid="{00000000-0005-0000-0000-0000358D0000}"/>
    <cellStyle name="Normal 6 2 3 3" xfId="36153" xr:uid="{00000000-0005-0000-0000-0000368D0000}"/>
    <cellStyle name="Normal 6 2 4" xfId="36154" xr:uid="{00000000-0005-0000-0000-0000378D0000}"/>
    <cellStyle name="Normal 6 2 4 2" xfId="36155" xr:uid="{00000000-0005-0000-0000-0000388D0000}"/>
    <cellStyle name="Normal 6 2 5" xfId="36156" xr:uid="{00000000-0005-0000-0000-0000398D0000}"/>
    <cellStyle name="Normal 6 3" xfId="36157" xr:uid="{00000000-0005-0000-0000-00003A8D0000}"/>
    <cellStyle name="Normal 6 3 2" xfId="36158" xr:uid="{00000000-0005-0000-0000-00003B8D0000}"/>
    <cellStyle name="Normal 6 3 2 2" xfId="36159" xr:uid="{00000000-0005-0000-0000-00003C8D0000}"/>
    <cellStyle name="Normal 6 3 2 2 2" xfId="36160" xr:uid="{00000000-0005-0000-0000-00003D8D0000}"/>
    <cellStyle name="Normal 6 3 2 3" xfId="36161" xr:uid="{00000000-0005-0000-0000-00003E8D0000}"/>
    <cellStyle name="Normal 6 3 3" xfId="36162" xr:uid="{00000000-0005-0000-0000-00003F8D0000}"/>
    <cellStyle name="Normal 6 3 3 2" xfId="36163" xr:uid="{00000000-0005-0000-0000-0000408D0000}"/>
    <cellStyle name="Normal 6 3 4" xfId="36164" xr:uid="{00000000-0005-0000-0000-0000418D0000}"/>
    <cellStyle name="Normal 6 3 4 2" xfId="36165" xr:uid="{00000000-0005-0000-0000-0000428D0000}"/>
    <cellStyle name="Normal 6 3 5" xfId="36166" xr:uid="{00000000-0005-0000-0000-0000438D0000}"/>
    <cellStyle name="Normal 6 3 6" xfId="7" xr:uid="{00000000-0005-0000-0000-0000448D0000}"/>
    <cellStyle name="Normal 6 4" xfId="36167" xr:uid="{00000000-0005-0000-0000-0000458D0000}"/>
    <cellStyle name="Normal 6 4 2" xfId="36168" xr:uid="{00000000-0005-0000-0000-0000468D0000}"/>
    <cellStyle name="Normal 6 4 2 2" xfId="36169" xr:uid="{00000000-0005-0000-0000-0000478D0000}"/>
    <cellStyle name="Normal 6 4 2 2 2" xfId="36170" xr:uid="{00000000-0005-0000-0000-0000488D0000}"/>
    <cellStyle name="Normal 6 4 2 3" xfId="36171" xr:uid="{00000000-0005-0000-0000-0000498D0000}"/>
    <cellStyle name="Normal 6 4 3" xfId="36172" xr:uid="{00000000-0005-0000-0000-00004A8D0000}"/>
    <cellStyle name="Normal 6 4 3 2" xfId="36173" xr:uid="{00000000-0005-0000-0000-00004B8D0000}"/>
    <cellStyle name="Normal 6 4 4" xfId="36174" xr:uid="{00000000-0005-0000-0000-00004C8D0000}"/>
    <cellStyle name="Normal 6 4 4 2" xfId="36175" xr:uid="{00000000-0005-0000-0000-00004D8D0000}"/>
    <cellStyle name="Normal 6 4 5" xfId="36176" xr:uid="{00000000-0005-0000-0000-00004E8D0000}"/>
    <cellStyle name="Normal 6 5" xfId="36177" xr:uid="{00000000-0005-0000-0000-00004F8D0000}"/>
    <cellStyle name="Normal 6 5 2" xfId="36178" xr:uid="{00000000-0005-0000-0000-0000508D0000}"/>
    <cellStyle name="Normal 6 5 2 2" xfId="36179" xr:uid="{00000000-0005-0000-0000-0000518D0000}"/>
    <cellStyle name="Normal 6 5 2 2 2" xfId="36180" xr:uid="{00000000-0005-0000-0000-0000528D0000}"/>
    <cellStyle name="Normal 6 5 2 3" xfId="36181" xr:uid="{00000000-0005-0000-0000-0000538D0000}"/>
    <cellStyle name="Normal 6 5 3" xfId="36182" xr:uid="{00000000-0005-0000-0000-0000548D0000}"/>
    <cellStyle name="Normal 6 5 3 2" xfId="36183" xr:uid="{00000000-0005-0000-0000-0000558D0000}"/>
    <cellStyle name="Normal 6 5 4" xfId="36184" xr:uid="{00000000-0005-0000-0000-0000568D0000}"/>
    <cellStyle name="Normal 6 5 4 2" xfId="36185" xr:uid="{00000000-0005-0000-0000-0000578D0000}"/>
    <cellStyle name="Normal 6 5 5" xfId="36186" xr:uid="{00000000-0005-0000-0000-0000588D0000}"/>
    <cellStyle name="Normal 6 6" xfId="36187" xr:uid="{00000000-0005-0000-0000-0000598D0000}"/>
    <cellStyle name="Normal 6 6 2" xfId="36188" xr:uid="{00000000-0005-0000-0000-00005A8D0000}"/>
    <cellStyle name="Normal 6 6 2 2" xfId="36189" xr:uid="{00000000-0005-0000-0000-00005B8D0000}"/>
    <cellStyle name="Normal 6 6 3" xfId="36190" xr:uid="{00000000-0005-0000-0000-00005C8D0000}"/>
    <cellStyle name="Normal 6 7" xfId="36191" xr:uid="{00000000-0005-0000-0000-00005D8D0000}"/>
    <cellStyle name="Normal 6 7 2" xfId="36192" xr:uid="{00000000-0005-0000-0000-00005E8D0000}"/>
    <cellStyle name="Normal 6 8" xfId="36193" xr:uid="{00000000-0005-0000-0000-00005F8D0000}"/>
    <cellStyle name="Normal 6 8 2" xfId="36194" xr:uid="{00000000-0005-0000-0000-0000608D0000}"/>
    <cellStyle name="Normal 6 9" xfId="36195" xr:uid="{00000000-0005-0000-0000-0000618D0000}"/>
    <cellStyle name="Normal 60" xfId="36196" xr:uid="{00000000-0005-0000-0000-0000628D0000}"/>
    <cellStyle name="Normal 60 2" xfId="36197" xr:uid="{00000000-0005-0000-0000-0000638D0000}"/>
    <cellStyle name="Normal 60 2 2" xfId="36198" xr:uid="{00000000-0005-0000-0000-0000648D0000}"/>
    <cellStyle name="Normal 60 3" xfId="36199" xr:uid="{00000000-0005-0000-0000-0000658D0000}"/>
    <cellStyle name="Normal 60 3 2" xfId="36200" xr:uid="{00000000-0005-0000-0000-0000668D0000}"/>
    <cellStyle name="Normal 60 4" xfId="36201" xr:uid="{00000000-0005-0000-0000-0000678D0000}"/>
    <cellStyle name="Normal 61" xfId="36202" xr:uid="{00000000-0005-0000-0000-0000688D0000}"/>
    <cellStyle name="Normal 61 2" xfId="36203" xr:uid="{00000000-0005-0000-0000-0000698D0000}"/>
    <cellStyle name="Normal 61 2 2" xfId="36204" xr:uid="{00000000-0005-0000-0000-00006A8D0000}"/>
    <cellStyle name="Normal 61 3" xfId="36205" xr:uid="{00000000-0005-0000-0000-00006B8D0000}"/>
    <cellStyle name="Normal 61 4" xfId="36206" xr:uid="{00000000-0005-0000-0000-00006C8D0000}"/>
    <cellStyle name="Normal 62" xfId="36207" xr:uid="{00000000-0005-0000-0000-00006D8D0000}"/>
    <cellStyle name="Normal 62 2" xfId="36208" xr:uid="{00000000-0005-0000-0000-00006E8D0000}"/>
    <cellStyle name="Normal 62 3" xfId="36209" xr:uid="{00000000-0005-0000-0000-00006F8D0000}"/>
    <cellStyle name="Normal 62 3 2" xfId="36210" xr:uid="{00000000-0005-0000-0000-0000708D0000}"/>
    <cellStyle name="Normal 62 4" xfId="36211" xr:uid="{00000000-0005-0000-0000-0000718D0000}"/>
    <cellStyle name="Normal 62 4 2" xfId="36212" xr:uid="{00000000-0005-0000-0000-0000728D0000}"/>
    <cellStyle name="Normal 62 5" xfId="36213" xr:uid="{00000000-0005-0000-0000-0000738D0000}"/>
    <cellStyle name="Normal 63" xfId="36214" xr:uid="{00000000-0005-0000-0000-0000748D0000}"/>
    <cellStyle name="Normal 63 2" xfId="36215" xr:uid="{00000000-0005-0000-0000-0000758D0000}"/>
    <cellStyle name="Normal 63 3" xfId="36216" xr:uid="{00000000-0005-0000-0000-0000768D0000}"/>
    <cellStyle name="Normal 63 3 2" xfId="36217" xr:uid="{00000000-0005-0000-0000-0000778D0000}"/>
    <cellStyle name="Normal 63 4" xfId="36218" xr:uid="{00000000-0005-0000-0000-0000788D0000}"/>
    <cellStyle name="Normal 63 4 2" xfId="36219" xr:uid="{00000000-0005-0000-0000-0000798D0000}"/>
    <cellStyle name="Normal 63 5" xfId="36220" xr:uid="{00000000-0005-0000-0000-00007A8D0000}"/>
    <cellStyle name="Normal 64" xfId="36221" xr:uid="{00000000-0005-0000-0000-00007B8D0000}"/>
    <cellStyle name="Normal 64 2" xfId="36222" xr:uid="{00000000-0005-0000-0000-00007C8D0000}"/>
    <cellStyle name="Normal 64 3" xfId="36223" xr:uid="{00000000-0005-0000-0000-00007D8D0000}"/>
    <cellStyle name="Normal 64 3 2" xfId="36224" xr:uid="{00000000-0005-0000-0000-00007E8D0000}"/>
    <cellStyle name="Normal 64 4" xfId="36225" xr:uid="{00000000-0005-0000-0000-00007F8D0000}"/>
    <cellStyle name="Normal 65" xfId="36226" xr:uid="{00000000-0005-0000-0000-0000808D0000}"/>
    <cellStyle name="Normal 65 2" xfId="36227" xr:uid="{00000000-0005-0000-0000-0000818D0000}"/>
    <cellStyle name="Normal 65 3" xfId="36228" xr:uid="{00000000-0005-0000-0000-0000828D0000}"/>
    <cellStyle name="Normal 65 3 2" xfId="36229" xr:uid="{00000000-0005-0000-0000-0000838D0000}"/>
    <cellStyle name="Normal 65 4" xfId="36230" xr:uid="{00000000-0005-0000-0000-0000848D0000}"/>
    <cellStyle name="Normal 66" xfId="36231" xr:uid="{00000000-0005-0000-0000-0000858D0000}"/>
    <cellStyle name="Normal 66 2" xfId="36232" xr:uid="{00000000-0005-0000-0000-0000868D0000}"/>
    <cellStyle name="Normal 66 3" xfId="36233" xr:uid="{00000000-0005-0000-0000-0000878D0000}"/>
    <cellStyle name="Normal 66 3 2" xfId="36234" xr:uid="{00000000-0005-0000-0000-0000888D0000}"/>
    <cellStyle name="Normal 66 4" xfId="36235" xr:uid="{00000000-0005-0000-0000-0000898D0000}"/>
    <cellStyle name="Normal 66 4 2" xfId="36236" xr:uid="{00000000-0005-0000-0000-00008A8D0000}"/>
    <cellStyle name="Normal 66 5" xfId="36237" xr:uid="{00000000-0005-0000-0000-00008B8D0000}"/>
    <cellStyle name="Normal 67" xfId="36238" xr:uid="{00000000-0005-0000-0000-00008C8D0000}"/>
    <cellStyle name="Normal 67 2" xfId="36239" xr:uid="{00000000-0005-0000-0000-00008D8D0000}"/>
    <cellStyle name="Normal 67 2 2" xfId="36240" xr:uid="{00000000-0005-0000-0000-00008E8D0000}"/>
    <cellStyle name="Normal 67 3" xfId="36241" xr:uid="{00000000-0005-0000-0000-00008F8D0000}"/>
    <cellStyle name="Normal 68" xfId="36242" xr:uid="{00000000-0005-0000-0000-0000908D0000}"/>
    <cellStyle name="Normal 68 2" xfId="36243" xr:uid="{00000000-0005-0000-0000-0000918D0000}"/>
    <cellStyle name="Normal 68 3" xfId="36244" xr:uid="{00000000-0005-0000-0000-0000928D0000}"/>
    <cellStyle name="Normal 69" xfId="36245" xr:uid="{00000000-0005-0000-0000-0000938D0000}"/>
    <cellStyle name="Normal 69 2" xfId="36246" xr:uid="{00000000-0005-0000-0000-0000948D0000}"/>
    <cellStyle name="Normal 69 3" xfId="36247" xr:uid="{00000000-0005-0000-0000-0000958D0000}"/>
    <cellStyle name="Normal 7" xfId="36248" xr:uid="{00000000-0005-0000-0000-0000968D0000}"/>
    <cellStyle name="Normal 7 10" xfId="36249" xr:uid="{00000000-0005-0000-0000-0000978D0000}"/>
    <cellStyle name="Normal 7 11" xfId="36250" xr:uid="{00000000-0005-0000-0000-0000988D0000}"/>
    <cellStyle name="Normal 7 12" xfId="36251" xr:uid="{00000000-0005-0000-0000-0000998D0000}"/>
    <cellStyle name="Normal 7 13" xfId="36252" xr:uid="{00000000-0005-0000-0000-00009A8D0000}"/>
    <cellStyle name="Normal 7 14" xfId="36253" xr:uid="{00000000-0005-0000-0000-00009B8D0000}"/>
    <cellStyle name="Normal 7 15" xfId="36254" xr:uid="{00000000-0005-0000-0000-00009C8D0000}"/>
    <cellStyle name="Normal 7 16" xfId="36255" xr:uid="{00000000-0005-0000-0000-00009D8D0000}"/>
    <cellStyle name="Normal 7 17" xfId="36256" xr:uid="{00000000-0005-0000-0000-00009E8D0000}"/>
    <cellStyle name="Normal 7 18" xfId="36257" xr:uid="{00000000-0005-0000-0000-00009F8D0000}"/>
    <cellStyle name="Normal 7 19" xfId="36258" xr:uid="{00000000-0005-0000-0000-0000A08D0000}"/>
    <cellStyle name="Normal 7 2" xfId="36259" xr:uid="{00000000-0005-0000-0000-0000A18D0000}"/>
    <cellStyle name="Normal 7 2 2" xfId="36260" xr:uid="{00000000-0005-0000-0000-0000A28D0000}"/>
    <cellStyle name="Normal 7 2 2 2" xfId="36261" xr:uid="{00000000-0005-0000-0000-0000A38D0000}"/>
    <cellStyle name="Normal 7 2 2 2 2" xfId="36262" xr:uid="{00000000-0005-0000-0000-0000A48D0000}"/>
    <cellStyle name="Normal 7 2 2 3" xfId="36263" xr:uid="{00000000-0005-0000-0000-0000A58D0000}"/>
    <cellStyle name="Normal 7 2 3" xfId="36264" xr:uid="{00000000-0005-0000-0000-0000A68D0000}"/>
    <cellStyle name="Normal 7 2 3 2" xfId="36265" xr:uid="{00000000-0005-0000-0000-0000A78D0000}"/>
    <cellStyle name="Normal 7 2 4" xfId="36266" xr:uid="{00000000-0005-0000-0000-0000A88D0000}"/>
    <cellStyle name="Normal 7 2 4 2" xfId="36267" xr:uid="{00000000-0005-0000-0000-0000A98D0000}"/>
    <cellStyle name="Normal 7 2 5" xfId="36268" xr:uid="{00000000-0005-0000-0000-0000AA8D0000}"/>
    <cellStyle name="Normal 7 20" xfId="36269" xr:uid="{00000000-0005-0000-0000-0000AB8D0000}"/>
    <cellStyle name="Normal 7 21" xfId="36270" xr:uid="{00000000-0005-0000-0000-0000AC8D0000}"/>
    <cellStyle name="Normal 7 22" xfId="36271" xr:uid="{00000000-0005-0000-0000-0000AD8D0000}"/>
    <cellStyle name="Normal 7 23" xfId="36272" xr:uid="{00000000-0005-0000-0000-0000AE8D0000}"/>
    <cellStyle name="Normal 7 24" xfId="36273" xr:uid="{00000000-0005-0000-0000-0000AF8D0000}"/>
    <cellStyle name="Normal 7 25" xfId="36274" xr:uid="{00000000-0005-0000-0000-0000B08D0000}"/>
    <cellStyle name="Normal 7 26" xfId="36275" xr:uid="{00000000-0005-0000-0000-0000B18D0000}"/>
    <cellStyle name="Normal 7 27" xfId="36276" xr:uid="{00000000-0005-0000-0000-0000B28D0000}"/>
    <cellStyle name="Normal 7 28" xfId="36277" xr:uid="{00000000-0005-0000-0000-0000B38D0000}"/>
    <cellStyle name="Normal 7 29" xfId="36278" xr:uid="{00000000-0005-0000-0000-0000B48D0000}"/>
    <cellStyle name="Normal 7 3" xfId="36279" xr:uid="{00000000-0005-0000-0000-0000B58D0000}"/>
    <cellStyle name="Normal 7 3 2" xfId="36280" xr:uid="{00000000-0005-0000-0000-0000B68D0000}"/>
    <cellStyle name="Normal 7 3 2 2" xfId="36281" xr:uid="{00000000-0005-0000-0000-0000B78D0000}"/>
    <cellStyle name="Normal 7 3 2 2 2" xfId="36282" xr:uid="{00000000-0005-0000-0000-0000B88D0000}"/>
    <cellStyle name="Normal 7 3 2 3" xfId="36283" xr:uid="{00000000-0005-0000-0000-0000B98D0000}"/>
    <cellStyle name="Normal 7 3 3" xfId="36284" xr:uid="{00000000-0005-0000-0000-0000BA8D0000}"/>
    <cellStyle name="Normal 7 3 3 2" xfId="36285" xr:uid="{00000000-0005-0000-0000-0000BB8D0000}"/>
    <cellStyle name="Normal 7 3 4" xfId="36286" xr:uid="{00000000-0005-0000-0000-0000BC8D0000}"/>
    <cellStyle name="Normal 7 3 4 2" xfId="36287" xr:uid="{00000000-0005-0000-0000-0000BD8D0000}"/>
    <cellStyle name="Normal 7 3 5" xfId="36288" xr:uid="{00000000-0005-0000-0000-0000BE8D0000}"/>
    <cellStyle name="Normal 7 3 6" xfId="36289" xr:uid="{00000000-0005-0000-0000-0000BF8D0000}"/>
    <cellStyle name="Normal 7 30" xfId="36290" xr:uid="{00000000-0005-0000-0000-0000C08D0000}"/>
    <cellStyle name="Normal 7 31" xfId="36291" xr:uid="{00000000-0005-0000-0000-0000C18D0000}"/>
    <cellStyle name="Normal 7 32" xfId="36292" xr:uid="{00000000-0005-0000-0000-0000C28D0000}"/>
    <cellStyle name="Normal 7 33" xfId="36293" xr:uid="{00000000-0005-0000-0000-0000C38D0000}"/>
    <cellStyle name="Normal 7 34" xfId="36294" xr:uid="{00000000-0005-0000-0000-0000C48D0000}"/>
    <cellStyle name="Normal 7 35" xfId="36295" xr:uid="{00000000-0005-0000-0000-0000C58D0000}"/>
    <cellStyle name="Normal 7 36" xfId="36296" xr:uid="{00000000-0005-0000-0000-0000C68D0000}"/>
    <cellStyle name="Normal 7 37" xfId="36297" xr:uid="{00000000-0005-0000-0000-0000C78D0000}"/>
    <cellStyle name="Normal 7 38" xfId="36298" xr:uid="{00000000-0005-0000-0000-0000C88D0000}"/>
    <cellStyle name="Normal 7 39" xfId="36299" xr:uid="{00000000-0005-0000-0000-0000C98D0000}"/>
    <cellStyle name="Normal 7 4" xfId="36300" xr:uid="{00000000-0005-0000-0000-0000CA8D0000}"/>
    <cellStyle name="Normal 7 4 2" xfId="36301" xr:uid="{00000000-0005-0000-0000-0000CB8D0000}"/>
    <cellStyle name="Normal 7 4 2 2" xfId="36302" xr:uid="{00000000-0005-0000-0000-0000CC8D0000}"/>
    <cellStyle name="Normal 7 4 2 2 2" xfId="36303" xr:uid="{00000000-0005-0000-0000-0000CD8D0000}"/>
    <cellStyle name="Normal 7 4 2 3" xfId="36304" xr:uid="{00000000-0005-0000-0000-0000CE8D0000}"/>
    <cellStyle name="Normal 7 4 3" xfId="36305" xr:uid="{00000000-0005-0000-0000-0000CF8D0000}"/>
    <cellStyle name="Normal 7 4 3 2" xfId="36306" xr:uid="{00000000-0005-0000-0000-0000D08D0000}"/>
    <cellStyle name="Normal 7 4 4" xfId="36307" xr:uid="{00000000-0005-0000-0000-0000D18D0000}"/>
    <cellStyle name="Normal 7 4 4 2" xfId="36308" xr:uid="{00000000-0005-0000-0000-0000D28D0000}"/>
    <cellStyle name="Normal 7 4 5" xfId="36309" xr:uid="{00000000-0005-0000-0000-0000D38D0000}"/>
    <cellStyle name="Normal 7 4 6" xfId="36310" xr:uid="{00000000-0005-0000-0000-0000D48D0000}"/>
    <cellStyle name="Normal 7 40" xfId="36311" xr:uid="{00000000-0005-0000-0000-0000D58D0000}"/>
    <cellStyle name="Normal 7 41" xfId="36312" xr:uid="{00000000-0005-0000-0000-0000D68D0000}"/>
    <cellStyle name="Normal 7 42" xfId="36313" xr:uid="{00000000-0005-0000-0000-0000D78D0000}"/>
    <cellStyle name="Normal 7 43" xfId="36314" xr:uid="{00000000-0005-0000-0000-0000D88D0000}"/>
    <cellStyle name="Normal 7 44" xfId="36315" xr:uid="{00000000-0005-0000-0000-0000D98D0000}"/>
    <cellStyle name="Normal 7 45" xfId="36316" xr:uid="{00000000-0005-0000-0000-0000DA8D0000}"/>
    <cellStyle name="Normal 7 46" xfId="36317" xr:uid="{00000000-0005-0000-0000-0000DB8D0000}"/>
    <cellStyle name="Normal 7 47" xfId="36318" xr:uid="{00000000-0005-0000-0000-0000DC8D0000}"/>
    <cellStyle name="Normal 7 48" xfId="36319" xr:uid="{00000000-0005-0000-0000-0000DD8D0000}"/>
    <cellStyle name="Normal 7 49" xfId="36320" xr:uid="{00000000-0005-0000-0000-0000DE8D0000}"/>
    <cellStyle name="Normal 7 5" xfId="36321" xr:uid="{00000000-0005-0000-0000-0000DF8D0000}"/>
    <cellStyle name="Normal 7 5 2" xfId="36322" xr:uid="{00000000-0005-0000-0000-0000E08D0000}"/>
    <cellStyle name="Normal 7 5 2 2" xfId="36323" xr:uid="{00000000-0005-0000-0000-0000E18D0000}"/>
    <cellStyle name="Normal 7 5 3" xfId="36324" xr:uid="{00000000-0005-0000-0000-0000E28D0000}"/>
    <cellStyle name="Normal 7 5 4" xfId="36325" xr:uid="{00000000-0005-0000-0000-0000E38D0000}"/>
    <cellStyle name="Normal 7 50" xfId="36326" xr:uid="{00000000-0005-0000-0000-0000E48D0000}"/>
    <cellStyle name="Normal 7 51" xfId="36327" xr:uid="{00000000-0005-0000-0000-0000E58D0000}"/>
    <cellStyle name="Normal 7 52" xfId="36328" xr:uid="{00000000-0005-0000-0000-0000E68D0000}"/>
    <cellStyle name="Normal 7 53" xfId="36329" xr:uid="{00000000-0005-0000-0000-0000E78D0000}"/>
    <cellStyle name="Normal 7 54" xfId="36330" xr:uid="{00000000-0005-0000-0000-0000E88D0000}"/>
    <cellStyle name="Normal 7 55" xfId="36331" xr:uid="{00000000-0005-0000-0000-0000E98D0000}"/>
    <cellStyle name="Normal 7 56" xfId="36332" xr:uid="{00000000-0005-0000-0000-0000EA8D0000}"/>
    <cellStyle name="Normal 7 57" xfId="36333" xr:uid="{00000000-0005-0000-0000-0000EB8D0000}"/>
    <cellStyle name="Normal 7 58" xfId="36334" xr:uid="{00000000-0005-0000-0000-0000EC8D0000}"/>
    <cellStyle name="Normal 7 59" xfId="36335" xr:uid="{00000000-0005-0000-0000-0000ED8D0000}"/>
    <cellStyle name="Normal 7 6" xfId="36336" xr:uid="{00000000-0005-0000-0000-0000EE8D0000}"/>
    <cellStyle name="Normal 7 6 2" xfId="36337" xr:uid="{00000000-0005-0000-0000-0000EF8D0000}"/>
    <cellStyle name="Normal 7 6 3" xfId="36338" xr:uid="{00000000-0005-0000-0000-0000F08D0000}"/>
    <cellStyle name="Normal 7 60" xfId="36339" xr:uid="{00000000-0005-0000-0000-0000F18D0000}"/>
    <cellStyle name="Normal 7 61" xfId="36340" xr:uid="{00000000-0005-0000-0000-0000F28D0000}"/>
    <cellStyle name="Normal 7 62" xfId="36341" xr:uid="{00000000-0005-0000-0000-0000F38D0000}"/>
    <cellStyle name="Normal 7 63" xfId="36342" xr:uid="{00000000-0005-0000-0000-0000F48D0000}"/>
    <cellStyle name="Normal 7 64" xfId="36343" xr:uid="{00000000-0005-0000-0000-0000F58D0000}"/>
    <cellStyle name="Normal 7 65" xfId="36344" xr:uid="{00000000-0005-0000-0000-0000F68D0000}"/>
    <cellStyle name="Normal 7 66" xfId="36345" xr:uid="{00000000-0005-0000-0000-0000F78D0000}"/>
    <cellStyle name="Normal 7 67" xfId="36346" xr:uid="{00000000-0005-0000-0000-0000F88D0000}"/>
    <cellStyle name="Normal 7 68" xfId="36347" xr:uid="{00000000-0005-0000-0000-0000F98D0000}"/>
    <cellStyle name="Normal 7 69" xfId="36348" xr:uid="{00000000-0005-0000-0000-0000FA8D0000}"/>
    <cellStyle name="Normal 7 7" xfId="36349" xr:uid="{00000000-0005-0000-0000-0000FB8D0000}"/>
    <cellStyle name="Normal 7 7 2" xfId="36350" xr:uid="{00000000-0005-0000-0000-0000FC8D0000}"/>
    <cellStyle name="Normal 7 7 3" xfId="36351" xr:uid="{00000000-0005-0000-0000-0000FD8D0000}"/>
    <cellStyle name="Normal 7 70" xfId="36352" xr:uid="{00000000-0005-0000-0000-0000FE8D0000}"/>
    <cellStyle name="Normal 7 71" xfId="36353" xr:uid="{00000000-0005-0000-0000-0000FF8D0000}"/>
    <cellStyle name="Normal 7 72" xfId="36354" xr:uid="{00000000-0005-0000-0000-0000008E0000}"/>
    <cellStyle name="Normal 7 73" xfId="36355" xr:uid="{00000000-0005-0000-0000-0000018E0000}"/>
    <cellStyle name="Normal 7 74" xfId="36356" xr:uid="{00000000-0005-0000-0000-0000028E0000}"/>
    <cellStyle name="Normal 7 75" xfId="36357" xr:uid="{00000000-0005-0000-0000-0000038E0000}"/>
    <cellStyle name="Normal 7 76" xfId="36358" xr:uid="{00000000-0005-0000-0000-0000048E0000}"/>
    <cellStyle name="Normal 7 77" xfId="36359" xr:uid="{00000000-0005-0000-0000-0000058E0000}"/>
    <cellStyle name="Normal 7 78" xfId="36360" xr:uid="{00000000-0005-0000-0000-0000068E0000}"/>
    <cellStyle name="Normal 7 79" xfId="36361" xr:uid="{00000000-0005-0000-0000-0000078E0000}"/>
    <cellStyle name="Normal 7 8" xfId="36362" xr:uid="{00000000-0005-0000-0000-0000088E0000}"/>
    <cellStyle name="Normal 7 8 2" xfId="36363" xr:uid="{00000000-0005-0000-0000-0000098E0000}"/>
    <cellStyle name="Normal 7 80" xfId="36364" xr:uid="{00000000-0005-0000-0000-00000A8E0000}"/>
    <cellStyle name="Normal 7 81" xfId="36365" xr:uid="{00000000-0005-0000-0000-00000B8E0000}"/>
    <cellStyle name="Normal 7 81 2" xfId="36366" xr:uid="{00000000-0005-0000-0000-00000C8E0000}"/>
    <cellStyle name="Normal 7 81 3" xfId="36367" xr:uid="{00000000-0005-0000-0000-00000D8E0000}"/>
    <cellStyle name="Normal 7 82" xfId="36368" xr:uid="{00000000-0005-0000-0000-00000E8E0000}"/>
    <cellStyle name="Normal 7 83" xfId="36369" xr:uid="{00000000-0005-0000-0000-00000F8E0000}"/>
    <cellStyle name="Normal 7 84" xfId="36370" xr:uid="{00000000-0005-0000-0000-0000108E0000}"/>
    <cellStyle name="Normal 7 9" xfId="36371" xr:uid="{00000000-0005-0000-0000-0000118E0000}"/>
    <cellStyle name="Normal 70" xfId="36372" xr:uid="{00000000-0005-0000-0000-0000128E0000}"/>
    <cellStyle name="Normal 70 2" xfId="36373" xr:uid="{00000000-0005-0000-0000-0000138E0000}"/>
    <cellStyle name="Normal 70 3" xfId="36374" xr:uid="{00000000-0005-0000-0000-0000148E0000}"/>
    <cellStyle name="Normal 71" xfId="36375" xr:uid="{00000000-0005-0000-0000-0000158E0000}"/>
    <cellStyle name="Normal 71 2" xfId="36376" xr:uid="{00000000-0005-0000-0000-0000168E0000}"/>
    <cellStyle name="Normal 71 3" xfId="36377" xr:uid="{00000000-0005-0000-0000-0000178E0000}"/>
    <cellStyle name="Normal 71 3 2" xfId="36378" xr:uid="{00000000-0005-0000-0000-0000188E0000}"/>
    <cellStyle name="Normal 71 3 2 2" xfId="36379" xr:uid="{00000000-0005-0000-0000-0000198E0000}"/>
    <cellStyle name="Normal 71 3 2 2 2" xfId="36380" xr:uid="{00000000-0005-0000-0000-00001A8E0000}"/>
    <cellStyle name="Normal 71 3 2 3" xfId="36381" xr:uid="{00000000-0005-0000-0000-00001B8E0000}"/>
    <cellStyle name="Normal 71 3 3" xfId="36382" xr:uid="{00000000-0005-0000-0000-00001C8E0000}"/>
    <cellStyle name="Normal 71 3 3 2" xfId="36383" xr:uid="{00000000-0005-0000-0000-00001D8E0000}"/>
    <cellStyle name="Normal 71 3 4" xfId="36384" xr:uid="{00000000-0005-0000-0000-00001E8E0000}"/>
    <cellStyle name="Normal 71 4" xfId="36385" xr:uid="{00000000-0005-0000-0000-00001F8E0000}"/>
    <cellStyle name="Normal 72" xfId="36386" xr:uid="{00000000-0005-0000-0000-0000208E0000}"/>
    <cellStyle name="Normal 72 2" xfId="36387" xr:uid="{00000000-0005-0000-0000-0000218E0000}"/>
    <cellStyle name="Normal 72 2 2" xfId="36388" xr:uid="{00000000-0005-0000-0000-0000228E0000}"/>
    <cellStyle name="Normal 72 2 2 2" xfId="36389" xr:uid="{00000000-0005-0000-0000-0000238E0000}"/>
    <cellStyle name="Normal 72 2 3" xfId="36390" xr:uid="{00000000-0005-0000-0000-0000248E0000}"/>
    <cellStyle name="Normal 72 3" xfId="36391" xr:uid="{00000000-0005-0000-0000-0000258E0000}"/>
    <cellStyle name="Normal 72 3 2" xfId="36392" xr:uid="{00000000-0005-0000-0000-0000268E0000}"/>
    <cellStyle name="Normal 72 4" xfId="36393" xr:uid="{00000000-0005-0000-0000-0000278E0000}"/>
    <cellStyle name="Normal 73" xfId="36394" xr:uid="{00000000-0005-0000-0000-0000288E0000}"/>
    <cellStyle name="Normal 73 2" xfId="36395" xr:uid="{00000000-0005-0000-0000-0000298E0000}"/>
    <cellStyle name="Normal 73 3" xfId="36396" xr:uid="{00000000-0005-0000-0000-00002A8E0000}"/>
    <cellStyle name="Normal 73 3 2" xfId="36397" xr:uid="{00000000-0005-0000-0000-00002B8E0000}"/>
    <cellStyle name="Normal 73 3 2 2" xfId="36398" xr:uid="{00000000-0005-0000-0000-00002C8E0000}"/>
    <cellStyle name="Normal 73 3 2 2 2" xfId="36399" xr:uid="{00000000-0005-0000-0000-00002D8E0000}"/>
    <cellStyle name="Normal 73 3 2 3" xfId="36400" xr:uid="{00000000-0005-0000-0000-00002E8E0000}"/>
    <cellStyle name="Normal 73 3 3" xfId="36401" xr:uid="{00000000-0005-0000-0000-00002F8E0000}"/>
    <cellStyle name="Normal 73 3 3 2" xfId="36402" xr:uid="{00000000-0005-0000-0000-0000308E0000}"/>
    <cellStyle name="Normal 73 3 4" xfId="36403" xr:uid="{00000000-0005-0000-0000-0000318E0000}"/>
    <cellStyle name="Normal 73 4" xfId="36404" xr:uid="{00000000-0005-0000-0000-0000328E0000}"/>
    <cellStyle name="Normal 74" xfId="36405" xr:uid="{00000000-0005-0000-0000-0000338E0000}"/>
    <cellStyle name="Normal 74 2" xfId="36406" xr:uid="{00000000-0005-0000-0000-0000348E0000}"/>
    <cellStyle name="Normal 74 3" xfId="36407" xr:uid="{00000000-0005-0000-0000-0000358E0000}"/>
    <cellStyle name="Normal 75" xfId="36408" xr:uid="{00000000-0005-0000-0000-0000368E0000}"/>
    <cellStyle name="Normal 75 2" xfId="36409" xr:uid="{00000000-0005-0000-0000-0000378E0000}"/>
    <cellStyle name="Normal 75 3" xfId="36410" xr:uid="{00000000-0005-0000-0000-0000388E0000}"/>
    <cellStyle name="Normal 76" xfId="36411" xr:uid="{00000000-0005-0000-0000-0000398E0000}"/>
    <cellStyle name="Normal 76 2" xfId="36412" xr:uid="{00000000-0005-0000-0000-00003A8E0000}"/>
    <cellStyle name="Normal 76 3" xfId="36413" xr:uid="{00000000-0005-0000-0000-00003B8E0000}"/>
    <cellStyle name="Normal 77" xfId="36414" xr:uid="{00000000-0005-0000-0000-00003C8E0000}"/>
    <cellStyle name="Normal 77 2" xfId="36415" xr:uid="{00000000-0005-0000-0000-00003D8E0000}"/>
    <cellStyle name="Normal 78" xfId="36416" xr:uid="{00000000-0005-0000-0000-00003E8E0000}"/>
    <cellStyle name="Normal 78 2" xfId="36417" xr:uid="{00000000-0005-0000-0000-00003F8E0000}"/>
    <cellStyle name="Normal 79" xfId="36418" xr:uid="{00000000-0005-0000-0000-0000408E0000}"/>
    <cellStyle name="Normal 79 2" xfId="36419" xr:uid="{00000000-0005-0000-0000-0000418E0000}"/>
    <cellStyle name="Normal 8" xfId="36420" xr:uid="{00000000-0005-0000-0000-0000428E0000}"/>
    <cellStyle name="Normal 8 2" xfId="36421" xr:uid="{00000000-0005-0000-0000-0000438E0000}"/>
    <cellStyle name="Normal 8 2 2" xfId="36422" xr:uid="{00000000-0005-0000-0000-0000448E0000}"/>
    <cellStyle name="Normal 8 2 2 2" xfId="36423" xr:uid="{00000000-0005-0000-0000-0000458E0000}"/>
    <cellStyle name="Normal 8 2 3" xfId="36424" xr:uid="{00000000-0005-0000-0000-0000468E0000}"/>
    <cellStyle name="Normal 8 2 4" xfId="36425" xr:uid="{00000000-0005-0000-0000-0000478E0000}"/>
    <cellStyle name="Normal 8 3" xfId="36426" xr:uid="{00000000-0005-0000-0000-0000488E0000}"/>
    <cellStyle name="Normal 8 3 2" xfId="36427" xr:uid="{00000000-0005-0000-0000-0000498E0000}"/>
    <cellStyle name="Normal 8 3 2 2" xfId="36428" xr:uid="{00000000-0005-0000-0000-00004A8E0000}"/>
    <cellStyle name="Normal 8 3 3" xfId="36429" xr:uid="{00000000-0005-0000-0000-00004B8E0000}"/>
    <cellStyle name="Normal 8 3 3 2" xfId="36430" xr:uid="{00000000-0005-0000-0000-00004C8E0000}"/>
    <cellStyle name="Normal 8 3 4" xfId="36431" xr:uid="{00000000-0005-0000-0000-00004D8E0000}"/>
    <cellStyle name="Normal 8 3 5" xfId="36432" xr:uid="{00000000-0005-0000-0000-00004E8E0000}"/>
    <cellStyle name="Normal 8 4" xfId="36433" xr:uid="{00000000-0005-0000-0000-00004F8E0000}"/>
    <cellStyle name="Normal 8 4 2" xfId="36434" xr:uid="{00000000-0005-0000-0000-0000508E0000}"/>
    <cellStyle name="Normal 8 5" xfId="36435" xr:uid="{00000000-0005-0000-0000-0000518E0000}"/>
    <cellStyle name="Normal 8 5 2" xfId="36436" xr:uid="{00000000-0005-0000-0000-0000528E0000}"/>
    <cellStyle name="Normal 80" xfId="36437" xr:uid="{00000000-0005-0000-0000-0000538E0000}"/>
    <cellStyle name="Normal 80 2" xfId="36438" xr:uid="{00000000-0005-0000-0000-0000548E0000}"/>
    <cellStyle name="Normal 81" xfId="36439" xr:uid="{00000000-0005-0000-0000-0000558E0000}"/>
    <cellStyle name="Normal 81 2" xfId="36440" xr:uid="{00000000-0005-0000-0000-0000568E0000}"/>
    <cellStyle name="Normal 82" xfId="36441" xr:uid="{00000000-0005-0000-0000-0000578E0000}"/>
    <cellStyle name="Normal 82 2" xfId="36442" xr:uid="{00000000-0005-0000-0000-0000588E0000}"/>
    <cellStyle name="Normal 83" xfId="36443" xr:uid="{00000000-0005-0000-0000-0000598E0000}"/>
    <cellStyle name="Normal 83 2" xfId="36444" xr:uid="{00000000-0005-0000-0000-00005A8E0000}"/>
    <cellStyle name="Normal 83 2 2" xfId="36445" xr:uid="{00000000-0005-0000-0000-00005B8E0000}"/>
    <cellStyle name="Normal 83 3" xfId="36446" xr:uid="{00000000-0005-0000-0000-00005C8E0000}"/>
    <cellStyle name="Normal 84" xfId="36447" xr:uid="{00000000-0005-0000-0000-00005D8E0000}"/>
    <cellStyle name="Normal 84 2" xfId="36448" xr:uid="{00000000-0005-0000-0000-00005E8E0000}"/>
    <cellStyle name="Normal 84 2 2" xfId="36449" xr:uid="{00000000-0005-0000-0000-00005F8E0000}"/>
    <cellStyle name="Normal 84 3" xfId="36450" xr:uid="{00000000-0005-0000-0000-0000608E0000}"/>
    <cellStyle name="Normal 85" xfId="36451" xr:uid="{00000000-0005-0000-0000-0000618E0000}"/>
    <cellStyle name="Normal 85 2" xfId="36452" xr:uid="{00000000-0005-0000-0000-0000628E0000}"/>
    <cellStyle name="Normal 85 2 2" xfId="36453" xr:uid="{00000000-0005-0000-0000-0000638E0000}"/>
    <cellStyle name="Normal 85 3" xfId="36454" xr:uid="{00000000-0005-0000-0000-0000648E0000}"/>
    <cellStyle name="Normal 86" xfId="36455" xr:uid="{00000000-0005-0000-0000-0000658E0000}"/>
    <cellStyle name="Normal 86 2" xfId="36456" xr:uid="{00000000-0005-0000-0000-0000668E0000}"/>
    <cellStyle name="Normal 86 2 2" xfId="36457" xr:uid="{00000000-0005-0000-0000-0000678E0000}"/>
    <cellStyle name="Normal 86 3" xfId="36458" xr:uid="{00000000-0005-0000-0000-0000688E0000}"/>
    <cellStyle name="Normal 87" xfId="36459" xr:uid="{00000000-0005-0000-0000-0000698E0000}"/>
    <cellStyle name="Normal 87 2" xfId="36460" xr:uid="{00000000-0005-0000-0000-00006A8E0000}"/>
    <cellStyle name="Normal 87 2 2" xfId="36461" xr:uid="{00000000-0005-0000-0000-00006B8E0000}"/>
    <cellStyle name="Normal 87 3" xfId="36462" xr:uid="{00000000-0005-0000-0000-00006C8E0000}"/>
    <cellStyle name="Normal 88" xfId="36463" xr:uid="{00000000-0005-0000-0000-00006D8E0000}"/>
    <cellStyle name="Normal 88 2" xfId="36464" xr:uid="{00000000-0005-0000-0000-00006E8E0000}"/>
    <cellStyle name="Normal 88 2 2" xfId="36465" xr:uid="{00000000-0005-0000-0000-00006F8E0000}"/>
    <cellStyle name="Normal 88 3" xfId="36466" xr:uid="{00000000-0005-0000-0000-0000708E0000}"/>
    <cellStyle name="Normal 89" xfId="36467" xr:uid="{00000000-0005-0000-0000-0000718E0000}"/>
    <cellStyle name="Normal 89 2" xfId="36468" xr:uid="{00000000-0005-0000-0000-0000728E0000}"/>
    <cellStyle name="Normal 89 2 2" xfId="36469" xr:uid="{00000000-0005-0000-0000-0000738E0000}"/>
    <cellStyle name="Normal 89 3" xfId="36470" xr:uid="{00000000-0005-0000-0000-0000748E0000}"/>
    <cellStyle name="Normal 9" xfId="36471" xr:uid="{00000000-0005-0000-0000-0000758E0000}"/>
    <cellStyle name="Normal 9 2" xfId="36472" xr:uid="{00000000-0005-0000-0000-0000768E0000}"/>
    <cellStyle name="Normal 9 2 2" xfId="36473" xr:uid="{00000000-0005-0000-0000-0000778E0000}"/>
    <cellStyle name="Normal 9 2 3" xfId="36474" xr:uid="{00000000-0005-0000-0000-0000788E0000}"/>
    <cellStyle name="Normal 9 3" xfId="36475" xr:uid="{00000000-0005-0000-0000-0000798E0000}"/>
    <cellStyle name="Normal 9 3 2" xfId="36476" xr:uid="{00000000-0005-0000-0000-00007A8E0000}"/>
    <cellStyle name="Normal 9 3 2 2" xfId="36477" xr:uid="{00000000-0005-0000-0000-00007B8E0000}"/>
    <cellStyle name="Normal 9 3 3" xfId="36478" xr:uid="{00000000-0005-0000-0000-00007C8E0000}"/>
    <cellStyle name="Normal 9 3 3 2" xfId="36479" xr:uid="{00000000-0005-0000-0000-00007D8E0000}"/>
    <cellStyle name="Normal 9 3 4" xfId="36480" xr:uid="{00000000-0005-0000-0000-00007E8E0000}"/>
    <cellStyle name="Normal 9 3 5" xfId="36481" xr:uid="{00000000-0005-0000-0000-00007F8E0000}"/>
    <cellStyle name="Normal 9 4" xfId="36482" xr:uid="{00000000-0005-0000-0000-0000808E0000}"/>
    <cellStyle name="Normal 9 5" xfId="36483" xr:uid="{00000000-0005-0000-0000-0000818E0000}"/>
    <cellStyle name="Normal 9 6" xfId="36484" xr:uid="{00000000-0005-0000-0000-0000828E0000}"/>
    <cellStyle name="Normal 90" xfId="36485" xr:uid="{00000000-0005-0000-0000-0000838E0000}"/>
    <cellStyle name="Normal 91" xfId="36486" xr:uid="{00000000-0005-0000-0000-0000848E0000}"/>
    <cellStyle name="Normal 92" xfId="36487" xr:uid="{00000000-0005-0000-0000-0000858E0000}"/>
    <cellStyle name="Normal 93" xfId="36488" xr:uid="{00000000-0005-0000-0000-0000868E0000}"/>
    <cellStyle name="Normal 94" xfId="36489" xr:uid="{00000000-0005-0000-0000-0000878E0000}"/>
    <cellStyle name="Normal 95" xfId="36490" xr:uid="{00000000-0005-0000-0000-0000888E0000}"/>
    <cellStyle name="Normal 96" xfId="36491" xr:uid="{00000000-0005-0000-0000-0000898E0000}"/>
    <cellStyle name="Normal 97" xfId="36492" xr:uid="{00000000-0005-0000-0000-00008A8E0000}"/>
    <cellStyle name="Normal 98" xfId="36493" xr:uid="{00000000-0005-0000-0000-00008B8E0000}"/>
    <cellStyle name="Normal 99" xfId="36494" xr:uid="{00000000-0005-0000-0000-00008C8E0000}"/>
    <cellStyle name="Not Implemented" xfId="36495" xr:uid="{00000000-0005-0000-0000-00008D8E0000}"/>
    <cellStyle name="Note 2" xfId="36496" xr:uid="{00000000-0005-0000-0000-00008E8E0000}"/>
    <cellStyle name="Note 2 10" xfId="36497" xr:uid="{00000000-0005-0000-0000-00008F8E0000}"/>
    <cellStyle name="Note 2 11" xfId="36498" xr:uid="{00000000-0005-0000-0000-0000908E0000}"/>
    <cellStyle name="Note 2 12" xfId="36499" xr:uid="{00000000-0005-0000-0000-0000918E0000}"/>
    <cellStyle name="Note 2 2" xfId="36500" xr:uid="{00000000-0005-0000-0000-0000928E0000}"/>
    <cellStyle name="Note 2 2 10" xfId="36501" xr:uid="{00000000-0005-0000-0000-0000938E0000}"/>
    <cellStyle name="Note 2 2 10 2" xfId="36502" xr:uid="{00000000-0005-0000-0000-0000948E0000}"/>
    <cellStyle name="Note 2 2 10 2 2" xfId="36503" xr:uid="{00000000-0005-0000-0000-0000958E0000}"/>
    <cellStyle name="Note 2 2 10 2 3" xfId="36504" xr:uid="{00000000-0005-0000-0000-0000968E0000}"/>
    <cellStyle name="Note 2 2 10 2 4" xfId="36505" xr:uid="{00000000-0005-0000-0000-0000978E0000}"/>
    <cellStyle name="Note 2 2 10 2 5" xfId="36506" xr:uid="{00000000-0005-0000-0000-0000988E0000}"/>
    <cellStyle name="Note 2 2 10 2 6" xfId="36507" xr:uid="{00000000-0005-0000-0000-0000998E0000}"/>
    <cellStyle name="Note 2 2 10 3" xfId="36508" xr:uid="{00000000-0005-0000-0000-00009A8E0000}"/>
    <cellStyle name="Note 2 2 10 4" xfId="36509" xr:uid="{00000000-0005-0000-0000-00009B8E0000}"/>
    <cellStyle name="Note 2 2 10 5" xfId="36510" xr:uid="{00000000-0005-0000-0000-00009C8E0000}"/>
    <cellStyle name="Note 2 2 10 6" xfId="36511" xr:uid="{00000000-0005-0000-0000-00009D8E0000}"/>
    <cellStyle name="Note 2 2 10 7" xfId="36512" xr:uid="{00000000-0005-0000-0000-00009E8E0000}"/>
    <cellStyle name="Note 2 2 11" xfId="36513" xr:uid="{00000000-0005-0000-0000-00009F8E0000}"/>
    <cellStyle name="Note 2 2 11 2" xfId="36514" xr:uid="{00000000-0005-0000-0000-0000A08E0000}"/>
    <cellStyle name="Note 2 2 11 2 2" xfId="36515" xr:uid="{00000000-0005-0000-0000-0000A18E0000}"/>
    <cellStyle name="Note 2 2 11 2 3" xfId="36516" xr:uid="{00000000-0005-0000-0000-0000A28E0000}"/>
    <cellStyle name="Note 2 2 11 2 4" xfId="36517" xr:uid="{00000000-0005-0000-0000-0000A38E0000}"/>
    <cellStyle name="Note 2 2 11 2 5" xfId="36518" xr:uid="{00000000-0005-0000-0000-0000A48E0000}"/>
    <cellStyle name="Note 2 2 11 2 6" xfId="36519" xr:uid="{00000000-0005-0000-0000-0000A58E0000}"/>
    <cellStyle name="Note 2 2 11 3" xfId="36520" xr:uid="{00000000-0005-0000-0000-0000A68E0000}"/>
    <cellStyle name="Note 2 2 11 4" xfId="36521" xr:uid="{00000000-0005-0000-0000-0000A78E0000}"/>
    <cellStyle name="Note 2 2 11 5" xfId="36522" xr:uid="{00000000-0005-0000-0000-0000A88E0000}"/>
    <cellStyle name="Note 2 2 11 6" xfId="36523" xr:uid="{00000000-0005-0000-0000-0000A98E0000}"/>
    <cellStyle name="Note 2 2 11 7" xfId="36524" xr:uid="{00000000-0005-0000-0000-0000AA8E0000}"/>
    <cellStyle name="Note 2 2 12" xfId="36525" xr:uid="{00000000-0005-0000-0000-0000AB8E0000}"/>
    <cellStyle name="Note 2 2 12 2" xfId="36526" xr:uid="{00000000-0005-0000-0000-0000AC8E0000}"/>
    <cellStyle name="Note 2 2 12 2 2" xfId="36527" xr:uid="{00000000-0005-0000-0000-0000AD8E0000}"/>
    <cellStyle name="Note 2 2 12 2 3" xfId="36528" xr:uid="{00000000-0005-0000-0000-0000AE8E0000}"/>
    <cellStyle name="Note 2 2 12 2 4" xfId="36529" xr:uid="{00000000-0005-0000-0000-0000AF8E0000}"/>
    <cellStyle name="Note 2 2 12 2 5" xfId="36530" xr:uid="{00000000-0005-0000-0000-0000B08E0000}"/>
    <cellStyle name="Note 2 2 12 2 6" xfId="36531" xr:uid="{00000000-0005-0000-0000-0000B18E0000}"/>
    <cellStyle name="Note 2 2 12 3" xfId="36532" xr:uid="{00000000-0005-0000-0000-0000B28E0000}"/>
    <cellStyle name="Note 2 2 12 4" xfId="36533" xr:uid="{00000000-0005-0000-0000-0000B38E0000}"/>
    <cellStyle name="Note 2 2 12 5" xfId="36534" xr:uid="{00000000-0005-0000-0000-0000B48E0000}"/>
    <cellStyle name="Note 2 2 12 6" xfId="36535" xr:uid="{00000000-0005-0000-0000-0000B58E0000}"/>
    <cellStyle name="Note 2 2 12 7" xfId="36536" xr:uid="{00000000-0005-0000-0000-0000B68E0000}"/>
    <cellStyle name="Note 2 2 13" xfId="36537" xr:uid="{00000000-0005-0000-0000-0000B78E0000}"/>
    <cellStyle name="Note 2 2 13 2" xfId="36538" xr:uid="{00000000-0005-0000-0000-0000B88E0000}"/>
    <cellStyle name="Note 2 2 13 2 2" xfId="36539" xr:uid="{00000000-0005-0000-0000-0000B98E0000}"/>
    <cellStyle name="Note 2 2 13 2 3" xfId="36540" xr:uid="{00000000-0005-0000-0000-0000BA8E0000}"/>
    <cellStyle name="Note 2 2 13 2 4" xfId="36541" xr:uid="{00000000-0005-0000-0000-0000BB8E0000}"/>
    <cellStyle name="Note 2 2 13 2 5" xfId="36542" xr:uid="{00000000-0005-0000-0000-0000BC8E0000}"/>
    <cellStyle name="Note 2 2 13 2 6" xfId="36543" xr:uid="{00000000-0005-0000-0000-0000BD8E0000}"/>
    <cellStyle name="Note 2 2 13 3" xfId="36544" xr:uid="{00000000-0005-0000-0000-0000BE8E0000}"/>
    <cellStyle name="Note 2 2 13 4" xfId="36545" xr:uid="{00000000-0005-0000-0000-0000BF8E0000}"/>
    <cellStyle name="Note 2 2 13 5" xfId="36546" xr:uid="{00000000-0005-0000-0000-0000C08E0000}"/>
    <cellStyle name="Note 2 2 13 6" xfId="36547" xr:uid="{00000000-0005-0000-0000-0000C18E0000}"/>
    <cellStyle name="Note 2 2 13 7" xfId="36548" xr:uid="{00000000-0005-0000-0000-0000C28E0000}"/>
    <cellStyle name="Note 2 2 14" xfId="36549" xr:uid="{00000000-0005-0000-0000-0000C38E0000}"/>
    <cellStyle name="Note 2 2 14 2" xfId="36550" xr:uid="{00000000-0005-0000-0000-0000C48E0000}"/>
    <cellStyle name="Note 2 2 14 2 2" xfId="36551" xr:uid="{00000000-0005-0000-0000-0000C58E0000}"/>
    <cellStyle name="Note 2 2 14 2 3" xfId="36552" xr:uid="{00000000-0005-0000-0000-0000C68E0000}"/>
    <cellStyle name="Note 2 2 14 2 4" xfId="36553" xr:uid="{00000000-0005-0000-0000-0000C78E0000}"/>
    <cellStyle name="Note 2 2 14 2 5" xfId="36554" xr:uid="{00000000-0005-0000-0000-0000C88E0000}"/>
    <cellStyle name="Note 2 2 14 2 6" xfId="36555" xr:uid="{00000000-0005-0000-0000-0000C98E0000}"/>
    <cellStyle name="Note 2 2 14 3" xfId="36556" xr:uid="{00000000-0005-0000-0000-0000CA8E0000}"/>
    <cellStyle name="Note 2 2 14 4" xfId="36557" xr:uid="{00000000-0005-0000-0000-0000CB8E0000}"/>
    <cellStyle name="Note 2 2 14 5" xfId="36558" xr:uid="{00000000-0005-0000-0000-0000CC8E0000}"/>
    <cellStyle name="Note 2 2 14 6" xfId="36559" xr:uid="{00000000-0005-0000-0000-0000CD8E0000}"/>
    <cellStyle name="Note 2 2 14 7" xfId="36560" xr:uid="{00000000-0005-0000-0000-0000CE8E0000}"/>
    <cellStyle name="Note 2 2 15" xfId="36561" xr:uid="{00000000-0005-0000-0000-0000CF8E0000}"/>
    <cellStyle name="Note 2 2 15 2" xfId="36562" xr:uid="{00000000-0005-0000-0000-0000D08E0000}"/>
    <cellStyle name="Note 2 2 15 2 2" xfId="36563" xr:uid="{00000000-0005-0000-0000-0000D18E0000}"/>
    <cellStyle name="Note 2 2 15 2 3" xfId="36564" xr:uid="{00000000-0005-0000-0000-0000D28E0000}"/>
    <cellStyle name="Note 2 2 15 2 4" xfId="36565" xr:uid="{00000000-0005-0000-0000-0000D38E0000}"/>
    <cellStyle name="Note 2 2 15 2 5" xfId="36566" xr:uid="{00000000-0005-0000-0000-0000D48E0000}"/>
    <cellStyle name="Note 2 2 15 2 6" xfId="36567" xr:uid="{00000000-0005-0000-0000-0000D58E0000}"/>
    <cellStyle name="Note 2 2 15 3" xfId="36568" xr:uid="{00000000-0005-0000-0000-0000D68E0000}"/>
    <cellStyle name="Note 2 2 15 4" xfId="36569" xr:uid="{00000000-0005-0000-0000-0000D78E0000}"/>
    <cellStyle name="Note 2 2 15 5" xfId="36570" xr:uid="{00000000-0005-0000-0000-0000D88E0000}"/>
    <cellStyle name="Note 2 2 15 6" xfId="36571" xr:uid="{00000000-0005-0000-0000-0000D98E0000}"/>
    <cellStyle name="Note 2 2 15 7" xfId="36572" xr:uid="{00000000-0005-0000-0000-0000DA8E0000}"/>
    <cellStyle name="Note 2 2 16" xfId="36573" xr:uid="{00000000-0005-0000-0000-0000DB8E0000}"/>
    <cellStyle name="Note 2 2 16 2" xfId="36574" xr:uid="{00000000-0005-0000-0000-0000DC8E0000}"/>
    <cellStyle name="Note 2 2 16 2 2" xfId="36575" xr:uid="{00000000-0005-0000-0000-0000DD8E0000}"/>
    <cellStyle name="Note 2 2 16 2 3" xfId="36576" xr:uid="{00000000-0005-0000-0000-0000DE8E0000}"/>
    <cellStyle name="Note 2 2 16 2 4" xfId="36577" xr:uid="{00000000-0005-0000-0000-0000DF8E0000}"/>
    <cellStyle name="Note 2 2 16 2 5" xfId="36578" xr:uid="{00000000-0005-0000-0000-0000E08E0000}"/>
    <cellStyle name="Note 2 2 16 2 6" xfId="36579" xr:uid="{00000000-0005-0000-0000-0000E18E0000}"/>
    <cellStyle name="Note 2 2 16 3" xfId="36580" xr:uid="{00000000-0005-0000-0000-0000E28E0000}"/>
    <cellStyle name="Note 2 2 16 4" xfId="36581" xr:uid="{00000000-0005-0000-0000-0000E38E0000}"/>
    <cellStyle name="Note 2 2 16 5" xfId="36582" xr:uid="{00000000-0005-0000-0000-0000E48E0000}"/>
    <cellStyle name="Note 2 2 16 6" xfId="36583" xr:uid="{00000000-0005-0000-0000-0000E58E0000}"/>
    <cellStyle name="Note 2 2 16 7" xfId="36584" xr:uid="{00000000-0005-0000-0000-0000E68E0000}"/>
    <cellStyle name="Note 2 2 17" xfId="36585" xr:uid="{00000000-0005-0000-0000-0000E78E0000}"/>
    <cellStyle name="Note 2 2 17 2" xfId="36586" xr:uid="{00000000-0005-0000-0000-0000E88E0000}"/>
    <cellStyle name="Note 2 2 17 2 2" xfId="36587" xr:uid="{00000000-0005-0000-0000-0000E98E0000}"/>
    <cellStyle name="Note 2 2 17 2 3" xfId="36588" xr:uid="{00000000-0005-0000-0000-0000EA8E0000}"/>
    <cellStyle name="Note 2 2 17 2 4" xfId="36589" xr:uid="{00000000-0005-0000-0000-0000EB8E0000}"/>
    <cellStyle name="Note 2 2 17 2 5" xfId="36590" xr:uid="{00000000-0005-0000-0000-0000EC8E0000}"/>
    <cellStyle name="Note 2 2 17 2 6" xfId="36591" xr:uid="{00000000-0005-0000-0000-0000ED8E0000}"/>
    <cellStyle name="Note 2 2 17 3" xfId="36592" xr:uid="{00000000-0005-0000-0000-0000EE8E0000}"/>
    <cellStyle name="Note 2 2 17 4" xfId="36593" xr:uid="{00000000-0005-0000-0000-0000EF8E0000}"/>
    <cellStyle name="Note 2 2 17 5" xfId="36594" xr:uid="{00000000-0005-0000-0000-0000F08E0000}"/>
    <cellStyle name="Note 2 2 17 6" xfId="36595" xr:uid="{00000000-0005-0000-0000-0000F18E0000}"/>
    <cellStyle name="Note 2 2 17 7" xfId="36596" xr:uid="{00000000-0005-0000-0000-0000F28E0000}"/>
    <cellStyle name="Note 2 2 18" xfId="36597" xr:uid="{00000000-0005-0000-0000-0000F38E0000}"/>
    <cellStyle name="Note 2 2 18 2" xfId="36598" xr:uid="{00000000-0005-0000-0000-0000F48E0000}"/>
    <cellStyle name="Note 2 2 18 2 2" xfId="36599" xr:uid="{00000000-0005-0000-0000-0000F58E0000}"/>
    <cellStyle name="Note 2 2 18 2 3" xfId="36600" xr:uid="{00000000-0005-0000-0000-0000F68E0000}"/>
    <cellStyle name="Note 2 2 18 2 4" xfId="36601" xr:uid="{00000000-0005-0000-0000-0000F78E0000}"/>
    <cellStyle name="Note 2 2 18 2 5" xfId="36602" xr:uid="{00000000-0005-0000-0000-0000F88E0000}"/>
    <cellStyle name="Note 2 2 18 2 6" xfId="36603" xr:uid="{00000000-0005-0000-0000-0000F98E0000}"/>
    <cellStyle name="Note 2 2 18 3" xfId="36604" xr:uid="{00000000-0005-0000-0000-0000FA8E0000}"/>
    <cellStyle name="Note 2 2 18 4" xfId="36605" xr:uid="{00000000-0005-0000-0000-0000FB8E0000}"/>
    <cellStyle name="Note 2 2 18 5" xfId="36606" xr:uid="{00000000-0005-0000-0000-0000FC8E0000}"/>
    <cellStyle name="Note 2 2 18 6" xfId="36607" xr:uid="{00000000-0005-0000-0000-0000FD8E0000}"/>
    <cellStyle name="Note 2 2 18 7" xfId="36608" xr:uid="{00000000-0005-0000-0000-0000FE8E0000}"/>
    <cellStyle name="Note 2 2 19" xfId="36609" xr:uid="{00000000-0005-0000-0000-0000FF8E0000}"/>
    <cellStyle name="Note 2 2 19 2" xfId="36610" xr:uid="{00000000-0005-0000-0000-0000008F0000}"/>
    <cellStyle name="Note 2 2 19 2 2" xfId="36611" xr:uid="{00000000-0005-0000-0000-0000018F0000}"/>
    <cellStyle name="Note 2 2 19 2 3" xfId="36612" xr:uid="{00000000-0005-0000-0000-0000028F0000}"/>
    <cellStyle name="Note 2 2 19 2 4" xfId="36613" xr:uid="{00000000-0005-0000-0000-0000038F0000}"/>
    <cellStyle name="Note 2 2 19 2 5" xfId="36614" xr:uid="{00000000-0005-0000-0000-0000048F0000}"/>
    <cellStyle name="Note 2 2 19 2 6" xfId="36615" xr:uid="{00000000-0005-0000-0000-0000058F0000}"/>
    <cellStyle name="Note 2 2 19 3" xfId="36616" xr:uid="{00000000-0005-0000-0000-0000068F0000}"/>
    <cellStyle name="Note 2 2 19 4" xfId="36617" xr:uid="{00000000-0005-0000-0000-0000078F0000}"/>
    <cellStyle name="Note 2 2 19 5" xfId="36618" xr:uid="{00000000-0005-0000-0000-0000088F0000}"/>
    <cellStyle name="Note 2 2 19 6" xfId="36619" xr:uid="{00000000-0005-0000-0000-0000098F0000}"/>
    <cellStyle name="Note 2 2 19 7" xfId="36620" xr:uid="{00000000-0005-0000-0000-00000A8F0000}"/>
    <cellStyle name="Note 2 2 2" xfId="36621" xr:uid="{00000000-0005-0000-0000-00000B8F0000}"/>
    <cellStyle name="Note 2 2 2 10" xfId="36622" xr:uid="{00000000-0005-0000-0000-00000C8F0000}"/>
    <cellStyle name="Note 2 2 2 10 2" xfId="36623" xr:uid="{00000000-0005-0000-0000-00000D8F0000}"/>
    <cellStyle name="Note 2 2 2 10 3" xfId="36624" xr:uid="{00000000-0005-0000-0000-00000E8F0000}"/>
    <cellStyle name="Note 2 2 2 10 4" xfId="36625" xr:uid="{00000000-0005-0000-0000-00000F8F0000}"/>
    <cellStyle name="Note 2 2 2 10 5" xfId="36626" xr:uid="{00000000-0005-0000-0000-0000108F0000}"/>
    <cellStyle name="Note 2 2 2 10 6" xfId="36627" xr:uid="{00000000-0005-0000-0000-0000118F0000}"/>
    <cellStyle name="Note 2 2 2 11" xfId="36628" xr:uid="{00000000-0005-0000-0000-0000128F0000}"/>
    <cellStyle name="Note 2 2 2 11 2" xfId="36629" xr:uid="{00000000-0005-0000-0000-0000138F0000}"/>
    <cellStyle name="Note 2 2 2 11 3" xfId="36630" xr:uid="{00000000-0005-0000-0000-0000148F0000}"/>
    <cellStyle name="Note 2 2 2 11 4" xfId="36631" xr:uid="{00000000-0005-0000-0000-0000158F0000}"/>
    <cellStyle name="Note 2 2 2 11 5" xfId="36632" xr:uid="{00000000-0005-0000-0000-0000168F0000}"/>
    <cellStyle name="Note 2 2 2 11 6" xfId="36633" xr:uid="{00000000-0005-0000-0000-0000178F0000}"/>
    <cellStyle name="Note 2 2 2 12" xfId="36634" xr:uid="{00000000-0005-0000-0000-0000188F0000}"/>
    <cellStyle name="Note 2 2 2 13" xfId="36635" xr:uid="{00000000-0005-0000-0000-0000198F0000}"/>
    <cellStyle name="Note 2 2 2 14" xfId="36636" xr:uid="{00000000-0005-0000-0000-00001A8F0000}"/>
    <cellStyle name="Note 2 2 2 15" xfId="36637" xr:uid="{00000000-0005-0000-0000-00001B8F0000}"/>
    <cellStyle name="Note 2 2 2 2" xfId="36638" xr:uid="{00000000-0005-0000-0000-00001C8F0000}"/>
    <cellStyle name="Note 2 2 2 2 10" xfId="36639" xr:uid="{00000000-0005-0000-0000-00001D8F0000}"/>
    <cellStyle name="Note 2 2 2 2 11" xfId="36640" xr:uid="{00000000-0005-0000-0000-00001E8F0000}"/>
    <cellStyle name="Note 2 2 2 2 12" xfId="36641" xr:uid="{00000000-0005-0000-0000-00001F8F0000}"/>
    <cellStyle name="Note 2 2 2 2 13" xfId="36642" xr:uid="{00000000-0005-0000-0000-0000208F0000}"/>
    <cellStyle name="Note 2 2 2 2 2" xfId="36643" xr:uid="{00000000-0005-0000-0000-0000218F0000}"/>
    <cellStyle name="Note 2 2 2 2 2 2" xfId="36644" xr:uid="{00000000-0005-0000-0000-0000228F0000}"/>
    <cellStyle name="Note 2 2 2 2 2 2 2" xfId="36645" xr:uid="{00000000-0005-0000-0000-0000238F0000}"/>
    <cellStyle name="Note 2 2 2 2 2 2 2 2" xfId="36646" xr:uid="{00000000-0005-0000-0000-0000248F0000}"/>
    <cellStyle name="Note 2 2 2 2 2 2 2 3" xfId="36647" xr:uid="{00000000-0005-0000-0000-0000258F0000}"/>
    <cellStyle name="Note 2 2 2 2 2 2 2 4" xfId="36648" xr:uid="{00000000-0005-0000-0000-0000268F0000}"/>
    <cellStyle name="Note 2 2 2 2 2 2 2 5" xfId="36649" xr:uid="{00000000-0005-0000-0000-0000278F0000}"/>
    <cellStyle name="Note 2 2 2 2 2 2 2 6" xfId="36650" xr:uid="{00000000-0005-0000-0000-0000288F0000}"/>
    <cellStyle name="Note 2 2 2 2 2 2 3" xfId="36651" xr:uid="{00000000-0005-0000-0000-0000298F0000}"/>
    <cellStyle name="Note 2 2 2 2 2 2 4" xfId="36652" xr:uid="{00000000-0005-0000-0000-00002A8F0000}"/>
    <cellStyle name="Note 2 2 2 2 2 2 5" xfId="36653" xr:uid="{00000000-0005-0000-0000-00002B8F0000}"/>
    <cellStyle name="Note 2 2 2 2 2 2 6" xfId="36654" xr:uid="{00000000-0005-0000-0000-00002C8F0000}"/>
    <cellStyle name="Note 2 2 2 2 2 3" xfId="36655" xr:uid="{00000000-0005-0000-0000-00002D8F0000}"/>
    <cellStyle name="Note 2 2 2 2 2 3 2" xfId="36656" xr:uid="{00000000-0005-0000-0000-00002E8F0000}"/>
    <cellStyle name="Note 2 2 2 2 2 3 2 2" xfId="36657" xr:uid="{00000000-0005-0000-0000-00002F8F0000}"/>
    <cellStyle name="Note 2 2 2 2 2 3 2 3" xfId="36658" xr:uid="{00000000-0005-0000-0000-0000308F0000}"/>
    <cellStyle name="Note 2 2 2 2 2 3 2 4" xfId="36659" xr:uid="{00000000-0005-0000-0000-0000318F0000}"/>
    <cellStyle name="Note 2 2 2 2 2 3 2 5" xfId="36660" xr:uid="{00000000-0005-0000-0000-0000328F0000}"/>
    <cellStyle name="Note 2 2 2 2 2 3 2 6" xfId="36661" xr:uid="{00000000-0005-0000-0000-0000338F0000}"/>
    <cellStyle name="Note 2 2 2 2 2 3 3" xfId="36662" xr:uid="{00000000-0005-0000-0000-0000348F0000}"/>
    <cellStyle name="Note 2 2 2 2 2 3 4" xfId="36663" xr:uid="{00000000-0005-0000-0000-0000358F0000}"/>
    <cellStyle name="Note 2 2 2 2 2 3 5" xfId="36664" xr:uid="{00000000-0005-0000-0000-0000368F0000}"/>
    <cellStyle name="Note 2 2 2 2 2 3 6" xfId="36665" xr:uid="{00000000-0005-0000-0000-0000378F0000}"/>
    <cellStyle name="Note 2 2 2 2 2 4" xfId="36666" xr:uid="{00000000-0005-0000-0000-0000388F0000}"/>
    <cellStyle name="Note 2 2 2 2 2 4 2" xfId="36667" xr:uid="{00000000-0005-0000-0000-0000398F0000}"/>
    <cellStyle name="Note 2 2 2 2 2 4 3" xfId="36668" xr:uid="{00000000-0005-0000-0000-00003A8F0000}"/>
    <cellStyle name="Note 2 2 2 2 2 4 4" xfId="36669" xr:uid="{00000000-0005-0000-0000-00003B8F0000}"/>
    <cellStyle name="Note 2 2 2 2 2 4 5" xfId="36670" xr:uid="{00000000-0005-0000-0000-00003C8F0000}"/>
    <cellStyle name="Note 2 2 2 2 2 4 6" xfId="36671" xr:uid="{00000000-0005-0000-0000-00003D8F0000}"/>
    <cellStyle name="Note 2 2 2 2 2 5" xfId="36672" xr:uid="{00000000-0005-0000-0000-00003E8F0000}"/>
    <cellStyle name="Note 2 2 2 2 2 6" xfId="36673" xr:uid="{00000000-0005-0000-0000-00003F8F0000}"/>
    <cellStyle name="Note 2 2 2 2 2 7" xfId="36674" xr:uid="{00000000-0005-0000-0000-0000408F0000}"/>
    <cellStyle name="Note 2 2 2 2 2 8" xfId="36675" xr:uid="{00000000-0005-0000-0000-0000418F0000}"/>
    <cellStyle name="Note 2 2 2 2 3" xfId="36676" xr:uid="{00000000-0005-0000-0000-0000428F0000}"/>
    <cellStyle name="Note 2 2 2 2 3 2" xfId="36677" xr:uid="{00000000-0005-0000-0000-0000438F0000}"/>
    <cellStyle name="Note 2 2 2 2 3 2 2" xfId="36678" xr:uid="{00000000-0005-0000-0000-0000448F0000}"/>
    <cellStyle name="Note 2 2 2 2 3 2 2 2" xfId="36679" xr:uid="{00000000-0005-0000-0000-0000458F0000}"/>
    <cellStyle name="Note 2 2 2 2 3 2 2 3" xfId="36680" xr:uid="{00000000-0005-0000-0000-0000468F0000}"/>
    <cellStyle name="Note 2 2 2 2 3 2 2 4" xfId="36681" xr:uid="{00000000-0005-0000-0000-0000478F0000}"/>
    <cellStyle name="Note 2 2 2 2 3 2 2 5" xfId="36682" xr:uid="{00000000-0005-0000-0000-0000488F0000}"/>
    <cellStyle name="Note 2 2 2 2 3 2 2 6" xfId="36683" xr:uid="{00000000-0005-0000-0000-0000498F0000}"/>
    <cellStyle name="Note 2 2 2 2 3 2 3" xfId="36684" xr:uid="{00000000-0005-0000-0000-00004A8F0000}"/>
    <cellStyle name="Note 2 2 2 2 3 2 4" xfId="36685" xr:uid="{00000000-0005-0000-0000-00004B8F0000}"/>
    <cellStyle name="Note 2 2 2 2 3 2 5" xfId="36686" xr:uid="{00000000-0005-0000-0000-00004C8F0000}"/>
    <cellStyle name="Note 2 2 2 2 3 2 6" xfId="36687" xr:uid="{00000000-0005-0000-0000-00004D8F0000}"/>
    <cellStyle name="Note 2 2 2 2 3 3" xfId="36688" xr:uid="{00000000-0005-0000-0000-00004E8F0000}"/>
    <cellStyle name="Note 2 2 2 2 3 3 2" xfId="36689" xr:uid="{00000000-0005-0000-0000-00004F8F0000}"/>
    <cellStyle name="Note 2 2 2 2 3 3 2 2" xfId="36690" xr:uid="{00000000-0005-0000-0000-0000508F0000}"/>
    <cellStyle name="Note 2 2 2 2 3 3 2 3" xfId="36691" xr:uid="{00000000-0005-0000-0000-0000518F0000}"/>
    <cellStyle name="Note 2 2 2 2 3 3 2 4" xfId="36692" xr:uid="{00000000-0005-0000-0000-0000528F0000}"/>
    <cellStyle name="Note 2 2 2 2 3 3 2 5" xfId="36693" xr:uid="{00000000-0005-0000-0000-0000538F0000}"/>
    <cellStyle name="Note 2 2 2 2 3 3 2 6" xfId="36694" xr:uid="{00000000-0005-0000-0000-0000548F0000}"/>
    <cellStyle name="Note 2 2 2 2 3 3 3" xfId="36695" xr:uid="{00000000-0005-0000-0000-0000558F0000}"/>
    <cellStyle name="Note 2 2 2 2 3 3 4" xfId="36696" xr:uid="{00000000-0005-0000-0000-0000568F0000}"/>
    <cellStyle name="Note 2 2 2 2 3 3 5" xfId="36697" xr:uid="{00000000-0005-0000-0000-0000578F0000}"/>
    <cellStyle name="Note 2 2 2 2 3 3 6" xfId="36698" xr:uid="{00000000-0005-0000-0000-0000588F0000}"/>
    <cellStyle name="Note 2 2 2 2 3 4" xfId="36699" xr:uid="{00000000-0005-0000-0000-0000598F0000}"/>
    <cellStyle name="Note 2 2 2 2 3 4 2" xfId="36700" xr:uid="{00000000-0005-0000-0000-00005A8F0000}"/>
    <cellStyle name="Note 2 2 2 2 3 4 3" xfId="36701" xr:uid="{00000000-0005-0000-0000-00005B8F0000}"/>
    <cellStyle name="Note 2 2 2 2 3 4 4" xfId="36702" xr:uid="{00000000-0005-0000-0000-00005C8F0000}"/>
    <cellStyle name="Note 2 2 2 2 3 4 5" xfId="36703" xr:uid="{00000000-0005-0000-0000-00005D8F0000}"/>
    <cellStyle name="Note 2 2 2 2 3 4 6" xfId="36704" xr:uid="{00000000-0005-0000-0000-00005E8F0000}"/>
    <cellStyle name="Note 2 2 2 2 3 5" xfId="36705" xr:uid="{00000000-0005-0000-0000-00005F8F0000}"/>
    <cellStyle name="Note 2 2 2 2 3 6" xfId="36706" xr:uid="{00000000-0005-0000-0000-0000608F0000}"/>
    <cellStyle name="Note 2 2 2 2 3 7" xfId="36707" xr:uid="{00000000-0005-0000-0000-0000618F0000}"/>
    <cellStyle name="Note 2 2 2 2 3 8" xfId="36708" xr:uid="{00000000-0005-0000-0000-0000628F0000}"/>
    <cellStyle name="Note 2 2 2 2 4" xfId="36709" xr:uid="{00000000-0005-0000-0000-0000638F0000}"/>
    <cellStyle name="Note 2 2 2 2 4 2" xfId="36710" xr:uid="{00000000-0005-0000-0000-0000648F0000}"/>
    <cellStyle name="Note 2 2 2 2 4 2 2" xfId="36711" xr:uid="{00000000-0005-0000-0000-0000658F0000}"/>
    <cellStyle name="Note 2 2 2 2 4 2 2 2" xfId="36712" xr:uid="{00000000-0005-0000-0000-0000668F0000}"/>
    <cellStyle name="Note 2 2 2 2 4 2 2 3" xfId="36713" xr:uid="{00000000-0005-0000-0000-0000678F0000}"/>
    <cellStyle name="Note 2 2 2 2 4 2 2 4" xfId="36714" xr:uid="{00000000-0005-0000-0000-0000688F0000}"/>
    <cellStyle name="Note 2 2 2 2 4 2 2 5" xfId="36715" xr:uid="{00000000-0005-0000-0000-0000698F0000}"/>
    <cellStyle name="Note 2 2 2 2 4 2 2 6" xfId="36716" xr:uid="{00000000-0005-0000-0000-00006A8F0000}"/>
    <cellStyle name="Note 2 2 2 2 4 2 3" xfId="36717" xr:uid="{00000000-0005-0000-0000-00006B8F0000}"/>
    <cellStyle name="Note 2 2 2 2 4 2 4" xfId="36718" xr:uid="{00000000-0005-0000-0000-00006C8F0000}"/>
    <cellStyle name="Note 2 2 2 2 4 2 5" xfId="36719" xr:uid="{00000000-0005-0000-0000-00006D8F0000}"/>
    <cellStyle name="Note 2 2 2 2 4 2 6" xfId="36720" xr:uid="{00000000-0005-0000-0000-00006E8F0000}"/>
    <cellStyle name="Note 2 2 2 2 4 3" xfId="36721" xr:uid="{00000000-0005-0000-0000-00006F8F0000}"/>
    <cellStyle name="Note 2 2 2 2 4 3 2" xfId="36722" xr:uid="{00000000-0005-0000-0000-0000708F0000}"/>
    <cellStyle name="Note 2 2 2 2 4 3 2 2" xfId="36723" xr:uid="{00000000-0005-0000-0000-0000718F0000}"/>
    <cellStyle name="Note 2 2 2 2 4 3 2 3" xfId="36724" xr:uid="{00000000-0005-0000-0000-0000728F0000}"/>
    <cellStyle name="Note 2 2 2 2 4 3 2 4" xfId="36725" xr:uid="{00000000-0005-0000-0000-0000738F0000}"/>
    <cellStyle name="Note 2 2 2 2 4 3 2 5" xfId="36726" xr:uid="{00000000-0005-0000-0000-0000748F0000}"/>
    <cellStyle name="Note 2 2 2 2 4 3 2 6" xfId="36727" xr:uid="{00000000-0005-0000-0000-0000758F0000}"/>
    <cellStyle name="Note 2 2 2 2 4 3 3" xfId="36728" xr:uid="{00000000-0005-0000-0000-0000768F0000}"/>
    <cellStyle name="Note 2 2 2 2 4 3 4" xfId="36729" xr:uid="{00000000-0005-0000-0000-0000778F0000}"/>
    <cellStyle name="Note 2 2 2 2 4 3 5" xfId="36730" xr:uid="{00000000-0005-0000-0000-0000788F0000}"/>
    <cellStyle name="Note 2 2 2 2 4 3 6" xfId="36731" xr:uid="{00000000-0005-0000-0000-0000798F0000}"/>
    <cellStyle name="Note 2 2 2 2 4 4" xfId="36732" xr:uid="{00000000-0005-0000-0000-00007A8F0000}"/>
    <cellStyle name="Note 2 2 2 2 4 4 2" xfId="36733" xr:uid="{00000000-0005-0000-0000-00007B8F0000}"/>
    <cellStyle name="Note 2 2 2 2 4 4 3" xfId="36734" xr:uid="{00000000-0005-0000-0000-00007C8F0000}"/>
    <cellStyle name="Note 2 2 2 2 4 4 4" xfId="36735" xr:uid="{00000000-0005-0000-0000-00007D8F0000}"/>
    <cellStyle name="Note 2 2 2 2 4 4 5" xfId="36736" xr:uid="{00000000-0005-0000-0000-00007E8F0000}"/>
    <cellStyle name="Note 2 2 2 2 4 4 6" xfId="36737" xr:uid="{00000000-0005-0000-0000-00007F8F0000}"/>
    <cellStyle name="Note 2 2 2 2 4 5" xfId="36738" xr:uid="{00000000-0005-0000-0000-0000808F0000}"/>
    <cellStyle name="Note 2 2 2 2 4 6" xfId="36739" xr:uid="{00000000-0005-0000-0000-0000818F0000}"/>
    <cellStyle name="Note 2 2 2 2 4 7" xfId="36740" xr:uid="{00000000-0005-0000-0000-0000828F0000}"/>
    <cellStyle name="Note 2 2 2 2 4 8" xfId="36741" xr:uid="{00000000-0005-0000-0000-0000838F0000}"/>
    <cellStyle name="Note 2 2 2 2 5" xfId="36742" xr:uid="{00000000-0005-0000-0000-0000848F0000}"/>
    <cellStyle name="Note 2 2 2 2 5 2" xfId="36743" xr:uid="{00000000-0005-0000-0000-0000858F0000}"/>
    <cellStyle name="Note 2 2 2 2 5 2 2" xfId="36744" xr:uid="{00000000-0005-0000-0000-0000868F0000}"/>
    <cellStyle name="Note 2 2 2 2 5 2 2 2" xfId="36745" xr:uid="{00000000-0005-0000-0000-0000878F0000}"/>
    <cellStyle name="Note 2 2 2 2 5 2 2 3" xfId="36746" xr:uid="{00000000-0005-0000-0000-0000888F0000}"/>
    <cellStyle name="Note 2 2 2 2 5 2 2 4" xfId="36747" xr:uid="{00000000-0005-0000-0000-0000898F0000}"/>
    <cellStyle name="Note 2 2 2 2 5 2 2 5" xfId="36748" xr:uid="{00000000-0005-0000-0000-00008A8F0000}"/>
    <cellStyle name="Note 2 2 2 2 5 2 2 6" xfId="36749" xr:uid="{00000000-0005-0000-0000-00008B8F0000}"/>
    <cellStyle name="Note 2 2 2 2 5 2 3" xfId="36750" xr:uid="{00000000-0005-0000-0000-00008C8F0000}"/>
    <cellStyle name="Note 2 2 2 2 5 2 4" xfId="36751" xr:uid="{00000000-0005-0000-0000-00008D8F0000}"/>
    <cellStyle name="Note 2 2 2 2 5 2 5" xfId="36752" xr:uid="{00000000-0005-0000-0000-00008E8F0000}"/>
    <cellStyle name="Note 2 2 2 2 5 2 6" xfId="36753" xr:uid="{00000000-0005-0000-0000-00008F8F0000}"/>
    <cellStyle name="Note 2 2 2 2 5 3" xfId="36754" xr:uid="{00000000-0005-0000-0000-0000908F0000}"/>
    <cellStyle name="Note 2 2 2 2 5 3 2" xfId="36755" xr:uid="{00000000-0005-0000-0000-0000918F0000}"/>
    <cellStyle name="Note 2 2 2 2 5 3 2 2" xfId="36756" xr:uid="{00000000-0005-0000-0000-0000928F0000}"/>
    <cellStyle name="Note 2 2 2 2 5 3 2 3" xfId="36757" xr:uid="{00000000-0005-0000-0000-0000938F0000}"/>
    <cellStyle name="Note 2 2 2 2 5 3 2 4" xfId="36758" xr:uid="{00000000-0005-0000-0000-0000948F0000}"/>
    <cellStyle name="Note 2 2 2 2 5 3 2 5" xfId="36759" xr:uid="{00000000-0005-0000-0000-0000958F0000}"/>
    <cellStyle name="Note 2 2 2 2 5 3 2 6" xfId="36760" xr:uid="{00000000-0005-0000-0000-0000968F0000}"/>
    <cellStyle name="Note 2 2 2 2 5 3 3" xfId="36761" xr:uid="{00000000-0005-0000-0000-0000978F0000}"/>
    <cellStyle name="Note 2 2 2 2 5 3 4" xfId="36762" xr:uid="{00000000-0005-0000-0000-0000988F0000}"/>
    <cellStyle name="Note 2 2 2 2 5 3 5" xfId="36763" xr:uid="{00000000-0005-0000-0000-0000998F0000}"/>
    <cellStyle name="Note 2 2 2 2 5 3 6" xfId="36764" xr:uid="{00000000-0005-0000-0000-00009A8F0000}"/>
    <cellStyle name="Note 2 2 2 2 5 4" xfId="36765" xr:uid="{00000000-0005-0000-0000-00009B8F0000}"/>
    <cellStyle name="Note 2 2 2 2 5 4 2" xfId="36766" xr:uid="{00000000-0005-0000-0000-00009C8F0000}"/>
    <cellStyle name="Note 2 2 2 2 5 4 3" xfId="36767" xr:uid="{00000000-0005-0000-0000-00009D8F0000}"/>
    <cellStyle name="Note 2 2 2 2 5 4 4" xfId="36768" xr:uid="{00000000-0005-0000-0000-00009E8F0000}"/>
    <cellStyle name="Note 2 2 2 2 5 4 5" xfId="36769" xr:uid="{00000000-0005-0000-0000-00009F8F0000}"/>
    <cellStyle name="Note 2 2 2 2 5 4 6" xfId="36770" xr:uid="{00000000-0005-0000-0000-0000A08F0000}"/>
    <cellStyle name="Note 2 2 2 2 5 5" xfId="36771" xr:uid="{00000000-0005-0000-0000-0000A18F0000}"/>
    <cellStyle name="Note 2 2 2 2 5 6" xfId="36772" xr:uid="{00000000-0005-0000-0000-0000A28F0000}"/>
    <cellStyle name="Note 2 2 2 2 5 7" xfId="36773" xr:uid="{00000000-0005-0000-0000-0000A38F0000}"/>
    <cellStyle name="Note 2 2 2 2 5 8" xfId="36774" xr:uid="{00000000-0005-0000-0000-0000A48F0000}"/>
    <cellStyle name="Note 2 2 2 2 6" xfId="36775" xr:uid="{00000000-0005-0000-0000-0000A58F0000}"/>
    <cellStyle name="Note 2 2 2 2 6 2" xfId="36776" xr:uid="{00000000-0005-0000-0000-0000A68F0000}"/>
    <cellStyle name="Note 2 2 2 2 6 2 2" xfId="36777" xr:uid="{00000000-0005-0000-0000-0000A78F0000}"/>
    <cellStyle name="Note 2 2 2 2 6 2 3" xfId="36778" xr:uid="{00000000-0005-0000-0000-0000A88F0000}"/>
    <cellStyle name="Note 2 2 2 2 6 2 4" xfId="36779" xr:uid="{00000000-0005-0000-0000-0000A98F0000}"/>
    <cellStyle name="Note 2 2 2 2 6 2 5" xfId="36780" xr:uid="{00000000-0005-0000-0000-0000AA8F0000}"/>
    <cellStyle name="Note 2 2 2 2 6 2 6" xfId="36781" xr:uid="{00000000-0005-0000-0000-0000AB8F0000}"/>
    <cellStyle name="Note 2 2 2 2 6 3" xfId="36782" xr:uid="{00000000-0005-0000-0000-0000AC8F0000}"/>
    <cellStyle name="Note 2 2 2 2 6 4" xfId="36783" xr:uid="{00000000-0005-0000-0000-0000AD8F0000}"/>
    <cellStyle name="Note 2 2 2 2 6 5" xfId="36784" xr:uid="{00000000-0005-0000-0000-0000AE8F0000}"/>
    <cellStyle name="Note 2 2 2 2 6 6" xfId="36785" xr:uid="{00000000-0005-0000-0000-0000AF8F0000}"/>
    <cellStyle name="Note 2 2 2 2 7" xfId="36786" xr:uid="{00000000-0005-0000-0000-0000B08F0000}"/>
    <cellStyle name="Note 2 2 2 2 7 2" xfId="36787" xr:uid="{00000000-0005-0000-0000-0000B18F0000}"/>
    <cellStyle name="Note 2 2 2 2 7 2 2" xfId="36788" xr:uid="{00000000-0005-0000-0000-0000B28F0000}"/>
    <cellStyle name="Note 2 2 2 2 7 2 3" xfId="36789" xr:uid="{00000000-0005-0000-0000-0000B38F0000}"/>
    <cellStyle name="Note 2 2 2 2 7 2 4" xfId="36790" xr:uid="{00000000-0005-0000-0000-0000B48F0000}"/>
    <cellStyle name="Note 2 2 2 2 7 2 5" xfId="36791" xr:uid="{00000000-0005-0000-0000-0000B58F0000}"/>
    <cellStyle name="Note 2 2 2 2 7 2 6" xfId="36792" xr:uid="{00000000-0005-0000-0000-0000B68F0000}"/>
    <cellStyle name="Note 2 2 2 2 7 3" xfId="36793" xr:uid="{00000000-0005-0000-0000-0000B78F0000}"/>
    <cellStyle name="Note 2 2 2 2 7 4" xfId="36794" xr:uid="{00000000-0005-0000-0000-0000B88F0000}"/>
    <cellStyle name="Note 2 2 2 2 7 5" xfId="36795" xr:uid="{00000000-0005-0000-0000-0000B98F0000}"/>
    <cellStyle name="Note 2 2 2 2 7 6" xfId="36796" xr:uid="{00000000-0005-0000-0000-0000BA8F0000}"/>
    <cellStyle name="Note 2 2 2 2 8" xfId="36797" xr:uid="{00000000-0005-0000-0000-0000BB8F0000}"/>
    <cellStyle name="Note 2 2 2 2 8 2" xfId="36798" xr:uid="{00000000-0005-0000-0000-0000BC8F0000}"/>
    <cellStyle name="Note 2 2 2 2 8 3" xfId="36799" xr:uid="{00000000-0005-0000-0000-0000BD8F0000}"/>
    <cellStyle name="Note 2 2 2 2 8 4" xfId="36800" xr:uid="{00000000-0005-0000-0000-0000BE8F0000}"/>
    <cellStyle name="Note 2 2 2 2 8 5" xfId="36801" xr:uid="{00000000-0005-0000-0000-0000BF8F0000}"/>
    <cellStyle name="Note 2 2 2 2 8 6" xfId="36802" xr:uid="{00000000-0005-0000-0000-0000C08F0000}"/>
    <cellStyle name="Note 2 2 2 2 9" xfId="36803" xr:uid="{00000000-0005-0000-0000-0000C18F0000}"/>
    <cellStyle name="Note 2 2 2 2 9 2" xfId="36804" xr:uid="{00000000-0005-0000-0000-0000C28F0000}"/>
    <cellStyle name="Note 2 2 2 2 9 3" xfId="36805" xr:uid="{00000000-0005-0000-0000-0000C38F0000}"/>
    <cellStyle name="Note 2 2 2 2 9 4" xfId="36806" xr:uid="{00000000-0005-0000-0000-0000C48F0000}"/>
    <cellStyle name="Note 2 2 2 2 9 5" xfId="36807" xr:uid="{00000000-0005-0000-0000-0000C58F0000}"/>
    <cellStyle name="Note 2 2 2 2 9 6" xfId="36808" xr:uid="{00000000-0005-0000-0000-0000C68F0000}"/>
    <cellStyle name="Note 2 2 2 3" xfId="36809" xr:uid="{00000000-0005-0000-0000-0000C78F0000}"/>
    <cellStyle name="Note 2 2 2 3 2" xfId="36810" xr:uid="{00000000-0005-0000-0000-0000C88F0000}"/>
    <cellStyle name="Note 2 2 2 3 2 2" xfId="36811" xr:uid="{00000000-0005-0000-0000-0000C98F0000}"/>
    <cellStyle name="Note 2 2 2 3 2 2 2" xfId="36812" xr:uid="{00000000-0005-0000-0000-0000CA8F0000}"/>
    <cellStyle name="Note 2 2 2 3 2 2 3" xfId="36813" xr:uid="{00000000-0005-0000-0000-0000CB8F0000}"/>
    <cellStyle name="Note 2 2 2 3 2 2 4" xfId="36814" xr:uid="{00000000-0005-0000-0000-0000CC8F0000}"/>
    <cellStyle name="Note 2 2 2 3 2 2 5" xfId="36815" xr:uid="{00000000-0005-0000-0000-0000CD8F0000}"/>
    <cellStyle name="Note 2 2 2 3 2 2 6" xfId="36816" xr:uid="{00000000-0005-0000-0000-0000CE8F0000}"/>
    <cellStyle name="Note 2 2 2 3 2 3" xfId="36817" xr:uid="{00000000-0005-0000-0000-0000CF8F0000}"/>
    <cellStyle name="Note 2 2 2 3 2 4" xfId="36818" xr:uid="{00000000-0005-0000-0000-0000D08F0000}"/>
    <cellStyle name="Note 2 2 2 3 2 5" xfId="36819" xr:uid="{00000000-0005-0000-0000-0000D18F0000}"/>
    <cellStyle name="Note 2 2 2 3 2 6" xfId="36820" xr:uid="{00000000-0005-0000-0000-0000D28F0000}"/>
    <cellStyle name="Note 2 2 2 3 3" xfId="36821" xr:uid="{00000000-0005-0000-0000-0000D38F0000}"/>
    <cellStyle name="Note 2 2 2 3 3 2" xfId="36822" xr:uid="{00000000-0005-0000-0000-0000D48F0000}"/>
    <cellStyle name="Note 2 2 2 3 3 2 2" xfId="36823" xr:uid="{00000000-0005-0000-0000-0000D58F0000}"/>
    <cellStyle name="Note 2 2 2 3 3 2 3" xfId="36824" xr:uid="{00000000-0005-0000-0000-0000D68F0000}"/>
    <cellStyle name="Note 2 2 2 3 3 2 4" xfId="36825" xr:uid="{00000000-0005-0000-0000-0000D78F0000}"/>
    <cellStyle name="Note 2 2 2 3 3 2 5" xfId="36826" xr:uid="{00000000-0005-0000-0000-0000D88F0000}"/>
    <cellStyle name="Note 2 2 2 3 3 2 6" xfId="36827" xr:uid="{00000000-0005-0000-0000-0000D98F0000}"/>
    <cellStyle name="Note 2 2 2 3 3 3" xfId="36828" xr:uid="{00000000-0005-0000-0000-0000DA8F0000}"/>
    <cellStyle name="Note 2 2 2 3 3 4" xfId="36829" xr:uid="{00000000-0005-0000-0000-0000DB8F0000}"/>
    <cellStyle name="Note 2 2 2 3 3 5" xfId="36830" xr:uid="{00000000-0005-0000-0000-0000DC8F0000}"/>
    <cellStyle name="Note 2 2 2 3 3 6" xfId="36831" xr:uid="{00000000-0005-0000-0000-0000DD8F0000}"/>
    <cellStyle name="Note 2 2 2 3 4" xfId="36832" xr:uid="{00000000-0005-0000-0000-0000DE8F0000}"/>
    <cellStyle name="Note 2 2 2 3 4 2" xfId="36833" xr:uid="{00000000-0005-0000-0000-0000DF8F0000}"/>
    <cellStyle name="Note 2 2 2 3 4 3" xfId="36834" xr:uid="{00000000-0005-0000-0000-0000E08F0000}"/>
    <cellStyle name="Note 2 2 2 3 4 4" xfId="36835" xr:uid="{00000000-0005-0000-0000-0000E18F0000}"/>
    <cellStyle name="Note 2 2 2 3 4 5" xfId="36836" xr:uid="{00000000-0005-0000-0000-0000E28F0000}"/>
    <cellStyle name="Note 2 2 2 3 4 6" xfId="36837" xr:uid="{00000000-0005-0000-0000-0000E38F0000}"/>
    <cellStyle name="Note 2 2 2 3 5" xfId="36838" xr:uid="{00000000-0005-0000-0000-0000E48F0000}"/>
    <cellStyle name="Note 2 2 2 3 6" xfId="36839" xr:uid="{00000000-0005-0000-0000-0000E58F0000}"/>
    <cellStyle name="Note 2 2 2 3 7" xfId="36840" xr:uid="{00000000-0005-0000-0000-0000E68F0000}"/>
    <cellStyle name="Note 2 2 2 3 8" xfId="36841" xr:uid="{00000000-0005-0000-0000-0000E78F0000}"/>
    <cellStyle name="Note 2 2 2 4" xfId="36842" xr:uid="{00000000-0005-0000-0000-0000E88F0000}"/>
    <cellStyle name="Note 2 2 2 4 2" xfId="36843" xr:uid="{00000000-0005-0000-0000-0000E98F0000}"/>
    <cellStyle name="Note 2 2 2 4 2 2" xfId="36844" xr:uid="{00000000-0005-0000-0000-0000EA8F0000}"/>
    <cellStyle name="Note 2 2 2 4 2 2 2" xfId="36845" xr:uid="{00000000-0005-0000-0000-0000EB8F0000}"/>
    <cellStyle name="Note 2 2 2 4 2 2 3" xfId="36846" xr:uid="{00000000-0005-0000-0000-0000EC8F0000}"/>
    <cellStyle name="Note 2 2 2 4 2 2 4" xfId="36847" xr:uid="{00000000-0005-0000-0000-0000ED8F0000}"/>
    <cellStyle name="Note 2 2 2 4 2 2 5" xfId="36848" xr:uid="{00000000-0005-0000-0000-0000EE8F0000}"/>
    <cellStyle name="Note 2 2 2 4 2 2 6" xfId="36849" xr:uid="{00000000-0005-0000-0000-0000EF8F0000}"/>
    <cellStyle name="Note 2 2 2 4 2 3" xfId="36850" xr:uid="{00000000-0005-0000-0000-0000F08F0000}"/>
    <cellStyle name="Note 2 2 2 4 2 4" xfId="36851" xr:uid="{00000000-0005-0000-0000-0000F18F0000}"/>
    <cellStyle name="Note 2 2 2 4 2 5" xfId="36852" xr:uid="{00000000-0005-0000-0000-0000F28F0000}"/>
    <cellStyle name="Note 2 2 2 4 2 6" xfId="36853" xr:uid="{00000000-0005-0000-0000-0000F38F0000}"/>
    <cellStyle name="Note 2 2 2 4 3" xfId="36854" xr:uid="{00000000-0005-0000-0000-0000F48F0000}"/>
    <cellStyle name="Note 2 2 2 4 3 2" xfId="36855" xr:uid="{00000000-0005-0000-0000-0000F58F0000}"/>
    <cellStyle name="Note 2 2 2 4 3 2 2" xfId="36856" xr:uid="{00000000-0005-0000-0000-0000F68F0000}"/>
    <cellStyle name="Note 2 2 2 4 3 2 3" xfId="36857" xr:uid="{00000000-0005-0000-0000-0000F78F0000}"/>
    <cellStyle name="Note 2 2 2 4 3 2 4" xfId="36858" xr:uid="{00000000-0005-0000-0000-0000F88F0000}"/>
    <cellStyle name="Note 2 2 2 4 3 2 5" xfId="36859" xr:uid="{00000000-0005-0000-0000-0000F98F0000}"/>
    <cellStyle name="Note 2 2 2 4 3 2 6" xfId="36860" xr:uid="{00000000-0005-0000-0000-0000FA8F0000}"/>
    <cellStyle name="Note 2 2 2 4 3 3" xfId="36861" xr:uid="{00000000-0005-0000-0000-0000FB8F0000}"/>
    <cellStyle name="Note 2 2 2 4 3 4" xfId="36862" xr:uid="{00000000-0005-0000-0000-0000FC8F0000}"/>
    <cellStyle name="Note 2 2 2 4 3 5" xfId="36863" xr:uid="{00000000-0005-0000-0000-0000FD8F0000}"/>
    <cellStyle name="Note 2 2 2 4 3 6" xfId="36864" xr:uid="{00000000-0005-0000-0000-0000FE8F0000}"/>
    <cellStyle name="Note 2 2 2 4 4" xfId="36865" xr:uid="{00000000-0005-0000-0000-0000FF8F0000}"/>
    <cellStyle name="Note 2 2 2 4 4 2" xfId="36866" xr:uid="{00000000-0005-0000-0000-000000900000}"/>
    <cellStyle name="Note 2 2 2 4 4 3" xfId="36867" xr:uid="{00000000-0005-0000-0000-000001900000}"/>
    <cellStyle name="Note 2 2 2 4 4 4" xfId="36868" xr:uid="{00000000-0005-0000-0000-000002900000}"/>
    <cellStyle name="Note 2 2 2 4 4 5" xfId="36869" xr:uid="{00000000-0005-0000-0000-000003900000}"/>
    <cellStyle name="Note 2 2 2 4 4 6" xfId="36870" xr:uid="{00000000-0005-0000-0000-000004900000}"/>
    <cellStyle name="Note 2 2 2 4 5" xfId="36871" xr:uid="{00000000-0005-0000-0000-000005900000}"/>
    <cellStyle name="Note 2 2 2 4 6" xfId="36872" xr:uid="{00000000-0005-0000-0000-000006900000}"/>
    <cellStyle name="Note 2 2 2 4 7" xfId="36873" xr:uid="{00000000-0005-0000-0000-000007900000}"/>
    <cellStyle name="Note 2 2 2 4 8" xfId="36874" xr:uid="{00000000-0005-0000-0000-000008900000}"/>
    <cellStyle name="Note 2 2 2 5" xfId="36875" xr:uid="{00000000-0005-0000-0000-000009900000}"/>
    <cellStyle name="Note 2 2 2 5 2" xfId="36876" xr:uid="{00000000-0005-0000-0000-00000A900000}"/>
    <cellStyle name="Note 2 2 2 5 2 2" xfId="36877" xr:uid="{00000000-0005-0000-0000-00000B900000}"/>
    <cellStyle name="Note 2 2 2 5 2 2 2" xfId="36878" xr:uid="{00000000-0005-0000-0000-00000C900000}"/>
    <cellStyle name="Note 2 2 2 5 2 2 3" xfId="36879" xr:uid="{00000000-0005-0000-0000-00000D900000}"/>
    <cellStyle name="Note 2 2 2 5 2 2 4" xfId="36880" xr:uid="{00000000-0005-0000-0000-00000E900000}"/>
    <cellStyle name="Note 2 2 2 5 2 2 5" xfId="36881" xr:uid="{00000000-0005-0000-0000-00000F900000}"/>
    <cellStyle name="Note 2 2 2 5 2 2 6" xfId="36882" xr:uid="{00000000-0005-0000-0000-000010900000}"/>
    <cellStyle name="Note 2 2 2 5 2 3" xfId="36883" xr:uid="{00000000-0005-0000-0000-000011900000}"/>
    <cellStyle name="Note 2 2 2 5 2 4" xfId="36884" xr:uid="{00000000-0005-0000-0000-000012900000}"/>
    <cellStyle name="Note 2 2 2 5 2 5" xfId="36885" xr:uid="{00000000-0005-0000-0000-000013900000}"/>
    <cellStyle name="Note 2 2 2 5 2 6" xfId="36886" xr:uid="{00000000-0005-0000-0000-000014900000}"/>
    <cellStyle name="Note 2 2 2 5 3" xfId="36887" xr:uid="{00000000-0005-0000-0000-000015900000}"/>
    <cellStyle name="Note 2 2 2 5 3 2" xfId="36888" xr:uid="{00000000-0005-0000-0000-000016900000}"/>
    <cellStyle name="Note 2 2 2 5 3 2 2" xfId="36889" xr:uid="{00000000-0005-0000-0000-000017900000}"/>
    <cellStyle name="Note 2 2 2 5 3 2 3" xfId="36890" xr:uid="{00000000-0005-0000-0000-000018900000}"/>
    <cellStyle name="Note 2 2 2 5 3 2 4" xfId="36891" xr:uid="{00000000-0005-0000-0000-000019900000}"/>
    <cellStyle name="Note 2 2 2 5 3 2 5" xfId="36892" xr:uid="{00000000-0005-0000-0000-00001A900000}"/>
    <cellStyle name="Note 2 2 2 5 3 2 6" xfId="36893" xr:uid="{00000000-0005-0000-0000-00001B900000}"/>
    <cellStyle name="Note 2 2 2 5 3 3" xfId="36894" xr:uid="{00000000-0005-0000-0000-00001C900000}"/>
    <cellStyle name="Note 2 2 2 5 3 4" xfId="36895" xr:uid="{00000000-0005-0000-0000-00001D900000}"/>
    <cellStyle name="Note 2 2 2 5 3 5" xfId="36896" xr:uid="{00000000-0005-0000-0000-00001E900000}"/>
    <cellStyle name="Note 2 2 2 5 3 6" xfId="36897" xr:uid="{00000000-0005-0000-0000-00001F900000}"/>
    <cellStyle name="Note 2 2 2 5 4" xfId="36898" xr:uid="{00000000-0005-0000-0000-000020900000}"/>
    <cellStyle name="Note 2 2 2 5 4 2" xfId="36899" xr:uid="{00000000-0005-0000-0000-000021900000}"/>
    <cellStyle name="Note 2 2 2 5 4 3" xfId="36900" xr:uid="{00000000-0005-0000-0000-000022900000}"/>
    <cellStyle name="Note 2 2 2 5 4 4" xfId="36901" xr:uid="{00000000-0005-0000-0000-000023900000}"/>
    <cellStyle name="Note 2 2 2 5 4 5" xfId="36902" xr:uid="{00000000-0005-0000-0000-000024900000}"/>
    <cellStyle name="Note 2 2 2 5 4 6" xfId="36903" xr:uid="{00000000-0005-0000-0000-000025900000}"/>
    <cellStyle name="Note 2 2 2 5 5" xfId="36904" xr:uid="{00000000-0005-0000-0000-000026900000}"/>
    <cellStyle name="Note 2 2 2 5 6" xfId="36905" xr:uid="{00000000-0005-0000-0000-000027900000}"/>
    <cellStyle name="Note 2 2 2 5 7" xfId="36906" xr:uid="{00000000-0005-0000-0000-000028900000}"/>
    <cellStyle name="Note 2 2 2 5 8" xfId="36907" xr:uid="{00000000-0005-0000-0000-000029900000}"/>
    <cellStyle name="Note 2 2 2 6" xfId="36908" xr:uid="{00000000-0005-0000-0000-00002A900000}"/>
    <cellStyle name="Note 2 2 2 6 2" xfId="36909" xr:uid="{00000000-0005-0000-0000-00002B900000}"/>
    <cellStyle name="Note 2 2 2 6 2 2" xfId="36910" xr:uid="{00000000-0005-0000-0000-00002C900000}"/>
    <cellStyle name="Note 2 2 2 6 2 2 2" xfId="36911" xr:uid="{00000000-0005-0000-0000-00002D900000}"/>
    <cellStyle name="Note 2 2 2 6 2 2 3" xfId="36912" xr:uid="{00000000-0005-0000-0000-00002E900000}"/>
    <cellStyle name="Note 2 2 2 6 2 2 4" xfId="36913" xr:uid="{00000000-0005-0000-0000-00002F900000}"/>
    <cellStyle name="Note 2 2 2 6 2 2 5" xfId="36914" xr:uid="{00000000-0005-0000-0000-000030900000}"/>
    <cellStyle name="Note 2 2 2 6 2 2 6" xfId="36915" xr:uid="{00000000-0005-0000-0000-000031900000}"/>
    <cellStyle name="Note 2 2 2 6 2 3" xfId="36916" xr:uid="{00000000-0005-0000-0000-000032900000}"/>
    <cellStyle name="Note 2 2 2 6 2 4" xfId="36917" xr:uid="{00000000-0005-0000-0000-000033900000}"/>
    <cellStyle name="Note 2 2 2 6 2 5" xfId="36918" xr:uid="{00000000-0005-0000-0000-000034900000}"/>
    <cellStyle name="Note 2 2 2 6 2 6" xfId="36919" xr:uid="{00000000-0005-0000-0000-000035900000}"/>
    <cellStyle name="Note 2 2 2 6 3" xfId="36920" xr:uid="{00000000-0005-0000-0000-000036900000}"/>
    <cellStyle name="Note 2 2 2 6 3 2" xfId="36921" xr:uid="{00000000-0005-0000-0000-000037900000}"/>
    <cellStyle name="Note 2 2 2 6 3 2 2" xfId="36922" xr:uid="{00000000-0005-0000-0000-000038900000}"/>
    <cellStyle name="Note 2 2 2 6 3 2 3" xfId="36923" xr:uid="{00000000-0005-0000-0000-000039900000}"/>
    <cellStyle name="Note 2 2 2 6 3 2 4" xfId="36924" xr:uid="{00000000-0005-0000-0000-00003A900000}"/>
    <cellStyle name="Note 2 2 2 6 3 2 5" xfId="36925" xr:uid="{00000000-0005-0000-0000-00003B900000}"/>
    <cellStyle name="Note 2 2 2 6 3 2 6" xfId="36926" xr:uid="{00000000-0005-0000-0000-00003C900000}"/>
    <cellStyle name="Note 2 2 2 6 3 3" xfId="36927" xr:uid="{00000000-0005-0000-0000-00003D900000}"/>
    <cellStyle name="Note 2 2 2 6 3 4" xfId="36928" xr:uid="{00000000-0005-0000-0000-00003E900000}"/>
    <cellStyle name="Note 2 2 2 6 3 5" xfId="36929" xr:uid="{00000000-0005-0000-0000-00003F900000}"/>
    <cellStyle name="Note 2 2 2 6 3 6" xfId="36930" xr:uid="{00000000-0005-0000-0000-000040900000}"/>
    <cellStyle name="Note 2 2 2 6 4" xfId="36931" xr:uid="{00000000-0005-0000-0000-000041900000}"/>
    <cellStyle name="Note 2 2 2 6 4 2" xfId="36932" xr:uid="{00000000-0005-0000-0000-000042900000}"/>
    <cellStyle name="Note 2 2 2 6 4 3" xfId="36933" xr:uid="{00000000-0005-0000-0000-000043900000}"/>
    <cellStyle name="Note 2 2 2 6 4 4" xfId="36934" xr:uid="{00000000-0005-0000-0000-000044900000}"/>
    <cellStyle name="Note 2 2 2 6 4 5" xfId="36935" xr:uid="{00000000-0005-0000-0000-000045900000}"/>
    <cellStyle name="Note 2 2 2 6 4 6" xfId="36936" xr:uid="{00000000-0005-0000-0000-000046900000}"/>
    <cellStyle name="Note 2 2 2 6 5" xfId="36937" xr:uid="{00000000-0005-0000-0000-000047900000}"/>
    <cellStyle name="Note 2 2 2 6 6" xfId="36938" xr:uid="{00000000-0005-0000-0000-000048900000}"/>
    <cellStyle name="Note 2 2 2 6 7" xfId="36939" xr:uid="{00000000-0005-0000-0000-000049900000}"/>
    <cellStyle name="Note 2 2 2 6 8" xfId="36940" xr:uid="{00000000-0005-0000-0000-00004A900000}"/>
    <cellStyle name="Note 2 2 2 7" xfId="36941" xr:uid="{00000000-0005-0000-0000-00004B900000}"/>
    <cellStyle name="Note 2 2 2 7 2" xfId="36942" xr:uid="{00000000-0005-0000-0000-00004C900000}"/>
    <cellStyle name="Note 2 2 2 7 2 2" xfId="36943" xr:uid="{00000000-0005-0000-0000-00004D900000}"/>
    <cellStyle name="Note 2 2 2 7 2 2 2" xfId="36944" xr:uid="{00000000-0005-0000-0000-00004E900000}"/>
    <cellStyle name="Note 2 2 2 7 2 2 3" xfId="36945" xr:uid="{00000000-0005-0000-0000-00004F900000}"/>
    <cellStyle name="Note 2 2 2 7 2 2 4" xfId="36946" xr:uid="{00000000-0005-0000-0000-000050900000}"/>
    <cellStyle name="Note 2 2 2 7 2 2 5" xfId="36947" xr:uid="{00000000-0005-0000-0000-000051900000}"/>
    <cellStyle name="Note 2 2 2 7 2 2 6" xfId="36948" xr:uid="{00000000-0005-0000-0000-000052900000}"/>
    <cellStyle name="Note 2 2 2 7 2 3" xfId="36949" xr:uid="{00000000-0005-0000-0000-000053900000}"/>
    <cellStyle name="Note 2 2 2 7 2 4" xfId="36950" xr:uid="{00000000-0005-0000-0000-000054900000}"/>
    <cellStyle name="Note 2 2 2 7 2 5" xfId="36951" xr:uid="{00000000-0005-0000-0000-000055900000}"/>
    <cellStyle name="Note 2 2 2 7 2 6" xfId="36952" xr:uid="{00000000-0005-0000-0000-000056900000}"/>
    <cellStyle name="Note 2 2 2 7 3" xfId="36953" xr:uid="{00000000-0005-0000-0000-000057900000}"/>
    <cellStyle name="Note 2 2 2 7 3 2" xfId="36954" xr:uid="{00000000-0005-0000-0000-000058900000}"/>
    <cellStyle name="Note 2 2 2 7 3 2 2" xfId="36955" xr:uid="{00000000-0005-0000-0000-000059900000}"/>
    <cellStyle name="Note 2 2 2 7 3 2 3" xfId="36956" xr:uid="{00000000-0005-0000-0000-00005A900000}"/>
    <cellStyle name="Note 2 2 2 7 3 2 4" xfId="36957" xr:uid="{00000000-0005-0000-0000-00005B900000}"/>
    <cellStyle name="Note 2 2 2 7 3 2 5" xfId="36958" xr:uid="{00000000-0005-0000-0000-00005C900000}"/>
    <cellStyle name="Note 2 2 2 7 3 2 6" xfId="36959" xr:uid="{00000000-0005-0000-0000-00005D900000}"/>
    <cellStyle name="Note 2 2 2 7 3 3" xfId="36960" xr:uid="{00000000-0005-0000-0000-00005E900000}"/>
    <cellStyle name="Note 2 2 2 7 3 4" xfId="36961" xr:uid="{00000000-0005-0000-0000-00005F900000}"/>
    <cellStyle name="Note 2 2 2 7 3 5" xfId="36962" xr:uid="{00000000-0005-0000-0000-000060900000}"/>
    <cellStyle name="Note 2 2 2 7 3 6" xfId="36963" xr:uid="{00000000-0005-0000-0000-000061900000}"/>
    <cellStyle name="Note 2 2 2 7 4" xfId="36964" xr:uid="{00000000-0005-0000-0000-000062900000}"/>
    <cellStyle name="Note 2 2 2 7 4 2" xfId="36965" xr:uid="{00000000-0005-0000-0000-000063900000}"/>
    <cellStyle name="Note 2 2 2 7 4 3" xfId="36966" xr:uid="{00000000-0005-0000-0000-000064900000}"/>
    <cellStyle name="Note 2 2 2 7 4 4" xfId="36967" xr:uid="{00000000-0005-0000-0000-000065900000}"/>
    <cellStyle name="Note 2 2 2 7 4 5" xfId="36968" xr:uid="{00000000-0005-0000-0000-000066900000}"/>
    <cellStyle name="Note 2 2 2 7 4 6" xfId="36969" xr:uid="{00000000-0005-0000-0000-000067900000}"/>
    <cellStyle name="Note 2 2 2 7 5" xfId="36970" xr:uid="{00000000-0005-0000-0000-000068900000}"/>
    <cellStyle name="Note 2 2 2 7 6" xfId="36971" xr:uid="{00000000-0005-0000-0000-000069900000}"/>
    <cellStyle name="Note 2 2 2 7 7" xfId="36972" xr:uid="{00000000-0005-0000-0000-00006A900000}"/>
    <cellStyle name="Note 2 2 2 7 8" xfId="36973" xr:uid="{00000000-0005-0000-0000-00006B900000}"/>
    <cellStyle name="Note 2 2 2 8" xfId="36974" xr:uid="{00000000-0005-0000-0000-00006C900000}"/>
    <cellStyle name="Note 2 2 2 8 2" xfId="36975" xr:uid="{00000000-0005-0000-0000-00006D900000}"/>
    <cellStyle name="Note 2 2 2 8 2 2" xfId="36976" xr:uid="{00000000-0005-0000-0000-00006E900000}"/>
    <cellStyle name="Note 2 2 2 8 2 3" xfId="36977" xr:uid="{00000000-0005-0000-0000-00006F900000}"/>
    <cellStyle name="Note 2 2 2 8 2 4" xfId="36978" xr:uid="{00000000-0005-0000-0000-000070900000}"/>
    <cellStyle name="Note 2 2 2 8 2 5" xfId="36979" xr:uid="{00000000-0005-0000-0000-000071900000}"/>
    <cellStyle name="Note 2 2 2 8 2 6" xfId="36980" xr:uid="{00000000-0005-0000-0000-000072900000}"/>
    <cellStyle name="Note 2 2 2 8 3" xfId="36981" xr:uid="{00000000-0005-0000-0000-000073900000}"/>
    <cellStyle name="Note 2 2 2 8 4" xfId="36982" xr:uid="{00000000-0005-0000-0000-000074900000}"/>
    <cellStyle name="Note 2 2 2 8 5" xfId="36983" xr:uid="{00000000-0005-0000-0000-000075900000}"/>
    <cellStyle name="Note 2 2 2 8 6" xfId="36984" xr:uid="{00000000-0005-0000-0000-000076900000}"/>
    <cellStyle name="Note 2 2 2 9" xfId="36985" xr:uid="{00000000-0005-0000-0000-000077900000}"/>
    <cellStyle name="Note 2 2 2 9 2" xfId="36986" xr:uid="{00000000-0005-0000-0000-000078900000}"/>
    <cellStyle name="Note 2 2 2 9 2 2" xfId="36987" xr:uid="{00000000-0005-0000-0000-000079900000}"/>
    <cellStyle name="Note 2 2 2 9 2 3" xfId="36988" xr:uid="{00000000-0005-0000-0000-00007A900000}"/>
    <cellStyle name="Note 2 2 2 9 2 4" xfId="36989" xr:uid="{00000000-0005-0000-0000-00007B900000}"/>
    <cellStyle name="Note 2 2 2 9 2 5" xfId="36990" xr:uid="{00000000-0005-0000-0000-00007C900000}"/>
    <cellStyle name="Note 2 2 2 9 2 6" xfId="36991" xr:uid="{00000000-0005-0000-0000-00007D900000}"/>
    <cellStyle name="Note 2 2 2 9 3" xfId="36992" xr:uid="{00000000-0005-0000-0000-00007E900000}"/>
    <cellStyle name="Note 2 2 2 9 4" xfId="36993" xr:uid="{00000000-0005-0000-0000-00007F900000}"/>
    <cellStyle name="Note 2 2 2 9 5" xfId="36994" xr:uid="{00000000-0005-0000-0000-000080900000}"/>
    <cellStyle name="Note 2 2 2 9 6" xfId="36995" xr:uid="{00000000-0005-0000-0000-000081900000}"/>
    <cellStyle name="Note 2 2 20" xfId="36996" xr:uid="{00000000-0005-0000-0000-000082900000}"/>
    <cellStyle name="Note 2 2 20 2" xfId="36997" xr:uid="{00000000-0005-0000-0000-000083900000}"/>
    <cellStyle name="Note 2 2 20 2 2" xfId="36998" xr:uid="{00000000-0005-0000-0000-000084900000}"/>
    <cellStyle name="Note 2 2 20 2 3" xfId="36999" xr:uid="{00000000-0005-0000-0000-000085900000}"/>
    <cellStyle name="Note 2 2 20 2 4" xfId="37000" xr:uid="{00000000-0005-0000-0000-000086900000}"/>
    <cellStyle name="Note 2 2 20 2 5" xfId="37001" xr:uid="{00000000-0005-0000-0000-000087900000}"/>
    <cellStyle name="Note 2 2 20 2 6" xfId="37002" xr:uid="{00000000-0005-0000-0000-000088900000}"/>
    <cellStyle name="Note 2 2 20 3" xfId="37003" xr:uid="{00000000-0005-0000-0000-000089900000}"/>
    <cellStyle name="Note 2 2 20 4" xfId="37004" xr:uid="{00000000-0005-0000-0000-00008A900000}"/>
    <cellStyle name="Note 2 2 20 5" xfId="37005" xr:uid="{00000000-0005-0000-0000-00008B900000}"/>
    <cellStyle name="Note 2 2 20 6" xfId="37006" xr:uid="{00000000-0005-0000-0000-00008C900000}"/>
    <cellStyle name="Note 2 2 20 7" xfId="37007" xr:uid="{00000000-0005-0000-0000-00008D900000}"/>
    <cellStyle name="Note 2 2 21" xfId="37008" xr:uid="{00000000-0005-0000-0000-00008E900000}"/>
    <cellStyle name="Note 2 2 21 2" xfId="37009" xr:uid="{00000000-0005-0000-0000-00008F900000}"/>
    <cellStyle name="Note 2 2 21 2 2" xfId="37010" xr:uid="{00000000-0005-0000-0000-000090900000}"/>
    <cellStyle name="Note 2 2 21 2 3" xfId="37011" xr:uid="{00000000-0005-0000-0000-000091900000}"/>
    <cellStyle name="Note 2 2 21 2 4" xfId="37012" xr:uid="{00000000-0005-0000-0000-000092900000}"/>
    <cellStyle name="Note 2 2 21 2 5" xfId="37013" xr:uid="{00000000-0005-0000-0000-000093900000}"/>
    <cellStyle name="Note 2 2 21 2 6" xfId="37014" xr:uid="{00000000-0005-0000-0000-000094900000}"/>
    <cellStyle name="Note 2 2 21 3" xfId="37015" xr:uid="{00000000-0005-0000-0000-000095900000}"/>
    <cellStyle name="Note 2 2 21 4" xfId="37016" xr:uid="{00000000-0005-0000-0000-000096900000}"/>
    <cellStyle name="Note 2 2 21 5" xfId="37017" xr:uid="{00000000-0005-0000-0000-000097900000}"/>
    <cellStyle name="Note 2 2 21 6" xfId="37018" xr:uid="{00000000-0005-0000-0000-000098900000}"/>
    <cellStyle name="Note 2 2 21 7" xfId="37019" xr:uid="{00000000-0005-0000-0000-000099900000}"/>
    <cellStyle name="Note 2 2 22" xfId="37020" xr:uid="{00000000-0005-0000-0000-00009A900000}"/>
    <cellStyle name="Note 2 2 22 2" xfId="37021" xr:uid="{00000000-0005-0000-0000-00009B900000}"/>
    <cellStyle name="Note 2 2 22 2 2" xfId="37022" xr:uid="{00000000-0005-0000-0000-00009C900000}"/>
    <cellStyle name="Note 2 2 22 2 3" xfId="37023" xr:uid="{00000000-0005-0000-0000-00009D900000}"/>
    <cellStyle name="Note 2 2 22 2 4" xfId="37024" xr:uid="{00000000-0005-0000-0000-00009E900000}"/>
    <cellStyle name="Note 2 2 22 2 5" xfId="37025" xr:uid="{00000000-0005-0000-0000-00009F900000}"/>
    <cellStyle name="Note 2 2 22 2 6" xfId="37026" xr:uid="{00000000-0005-0000-0000-0000A0900000}"/>
    <cellStyle name="Note 2 2 22 3" xfId="37027" xr:uid="{00000000-0005-0000-0000-0000A1900000}"/>
    <cellStyle name="Note 2 2 22 4" xfId="37028" xr:uid="{00000000-0005-0000-0000-0000A2900000}"/>
    <cellStyle name="Note 2 2 22 5" xfId="37029" xr:uid="{00000000-0005-0000-0000-0000A3900000}"/>
    <cellStyle name="Note 2 2 22 6" xfId="37030" xr:uid="{00000000-0005-0000-0000-0000A4900000}"/>
    <cellStyle name="Note 2 2 22 7" xfId="37031" xr:uid="{00000000-0005-0000-0000-0000A5900000}"/>
    <cellStyle name="Note 2 2 23" xfId="37032" xr:uid="{00000000-0005-0000-0000-0000A6900000}"/>
    <cellStyle name="Note 2 2 23 2" xfId="37033" xr:uid="{00000000-0005-0000-0000-0000A7900000}"/>
    <cellStyle name="Note 2 2 23 2 2" xfId="37034" xr:uid="{00000000-0005-0000-0000-0000A8900000}"/>
    <cellStyle name="Note 2 2 23 2 3" xfId="37035" xr:uid="{00000000-0005-0000-0000-0000A9900000}"/>
    <cellStyle name="Note 2 2 23 2 4" xfId="37036" xr:uid="{00000000-0005-0000-0000-0000AA900000}"/>
    <cellStyle name="Note 2 2 23 2 5" xfId="37037" xr:uid="{00000000-0005-0000-0000-0000AB900000}"/>
    <cellStyle name="Note 2 2 23 2 6" xfId="37038" xr:uid="{00000000-0005-0000-0000-0000AC900000}"/>
    <cellStyle name="Note 2 2 23 3" xfId="37039" xr:uid="{00000000-0005-0000-0000-0000AD900000}"/>
    <cellStyle name="Note 2 2 23 4" xfId="37040" xr:uid="{00000000-0005-0000-0000-0000AE900000}"/>
    <cellStyle name="Note 2 2 23 5" xfId="37041" xr:uid="{00000000-0005-0000-0000-0000AF900000}"/>
    <cellStyle name="Note 2 2 23 6" xfId="37042" xr:uid="{00000000-0005-0000-0000-0000B0900000}"/>
    <cellStyle name="Note 2 2 23 7" xfId="37043" xr:uid="{00000000-0005-0000-0000-0000B1900000}"/>
    <cellStyle name="Note 2 2 24" xfId="37044" xr:uid="{00000000-0005-0000-0000-0000B2900000}"/>
    <cellStyle name="Note 2 2 24 2" xfId="37045" xr:uid="{00000000-0005-0000-0000-0000B3900000}"/>
    <cellStyle name="Note 2 2 24 2 2" xfId="37046" xr:uid="{00000000-0005-0000-0000-0000B4900000}"/>
    <cellStyle name="Note 2 2 24 2 3" xfId="37047" xr:uid="{00000000-0005-0000-0000-0000B5900000}"/>
    <cellStyle name="Note 2 2 24 2 4" xfId="37048" xr:uid="{00000000-0005-0000-0000-0000B6900000}"/>
    <cellStyle name="Note 2 2 24 2 5" xfId="37049" xr:uid="{00000000-0005-0000-0000-0000B7900000}"/>
    <cellStyle name="Note 2 2 24 2 6" xfId="37050" xr:uid="{00000000-0005-0000-0000-0000B8900000}"/>
    <cellStyle name="Note 2 2 24 3" xfId="37051" xr:uid="{00000000-0005-0000-0000-0000B9900000}"/>
    <cellStyle name="Note 2 2 24 4" xfId="37052" xr:uid="{00000000-0005-0000-0000-0000BA900000}"/>
    <cellStyle name="Note 2 2 24 5" xfId="37053" xr:uid="{00000000-0005-0000-0000-0000BB900000}"/>
    <cellStyle name="Note 2 2 24 6" xfId="37054" xr:uid="{00000000-0005-0000-0000-0000BC900000}"/>
    <cellStyle name="Note 2 2 24 7" xfId="37055" xr:uid="{00000000-0005-0000-0000-0000BD900000}"/>
    <cellStyle name="Note 2 2 25" xfId="37056" xr:uid="{00000000-0005-0000-0000-0000BE900000}"/>
    <cellStyle name="Note 2 2 25 2" xfId="37057" xr:uid="{00000000-0005-0000-0000-0000BF900000}"/>
    <cellStyle name="Note 2 2 25 2 2" xfId="37058" xr:uid="{00000000-0005-0000-0000-0000C0900000}"/>
    <cellStyle name="Note 2 2 25 2 3" xfId="37059" xr:uid="{00000000-0005-0000-0000-0000C1900000}"/>
    <cellStyle name="Note 2 2 25 2 4" xfId="37060" xr:uid="{00000000-0005-0000-0000-0000C2900000}"/>
    <cellStyle name="Note 2 2 25 2 5" xfId="37061" xr:uid="{00000000-0005-0000-0000-0000C3900000}"/>
    <cellStyle name="Note 2 2 25 2 6" xfId="37062" xr:uid="{00000000-0005-0000-0000-0000C4900000}"/>
    <cellStyle name="Note 2 2 25 3" xfId="37063" xr:uid="{00000000-0005-0000-0000-0000C5900000}"/>
    <cellStyle name="Note 2 2 25 4" xfId="37064" xr:uid="{00000000-0005-0000-0000-0000C6900000}"/>
    <cellStyle name="Note 2 2 25 5" xfId="37065" xr:uid="{00000000-0005-0000-0000-0000C7900000}"/>
    <cellStyle name="Note 2 2 25 6" xfId="37066" xr:uid="{00000000-0005-0000-0000-0000C8900000}"/>
    <cellStyle name="Note 2 2 25 7" xfId="37067" xr:uid="{00000000-0005-0000-0000-0000C9900000}"/>
    <cellStyle name="Note 2 2 26" xfId="37068" xr:uid="{00000000-0005-0000-0000-0000CA900000}"/>
    <cellStyle name="Note 2 2 26 2" xfId="37069" xr:uid="{00000000-0005-0000-0000-0000CB900000}"/>
    <cellStyle name="Note 2 2 26 2 2" xfId="37070" xr:uid="{00000000-0005-0000-0000-0000CC900000}"/>
    <cellStyle name="Note 2 2 26 2 3" xfId="37071" xr:uid="{00000000-0005-0000-0000-0000CD900000}"/>
    <cellStyle name="Note 2 2 26 2 4" xfId="37072" xr:uid="{00000000-0005-0000-0000-0000CE900000}"/>
    <cellStyle name="Note 2 2 26 2 5" xfId="37073" xr:uid="{00000000-0005-0000-0000-0000CF900000}"/>
    <cellStyle name="Note 2 2 26 2 6" xfId="37074" xr:uid="{00000000-0005-0000-0000-0000D0900000}"/>
    <cellStyle name="Note 2 2 26 3" xfId="37075" xr:uid="{00000000-0005-0000-0000-0000D1900000}"/>
    <cellStyle name="Note 2 2 26 4" xfId="37076" xr:uid="{00000000-0005-0000-0000-0000D2900000}"/>
    <cellStyle name="Note 2 2 26 5" xfId="37077" xr:uid="{00000000-0005-0000-0000-0000D3900000}"/>
    <cellStyle name="Note 2 2 26 6" xfId="37078" xr:uid="{00000000-0005-0000-0000-0000D4900000}"/>
    <cellStyle name="Note 2 2 26 7" xfId="37079" xr:uid="{00000000-0005-0000-0000-0000D5900000}"/>
    <cellStyle name="Note 2 2 27" xfId="37080" xr:uid="{00000000-0005-0000-0000-0000D6900000}"/>
    <cellStyle name="Note 2 2 27 2" xfId="37081" xr:uid="{00000000-0005-0000-0000-0000D7900000}"/>
    <cellStyle name="Note 2 2 27 2 2" xfId="37082" xr:uid="{00000000-0005-0000-0000-0000D8900000}"/>
    <cellStyle name="Note 2 2 27 2 3" xfId="37083" xr:uid="{00000000-0005-0000-0000-0000D9900000}"/>
    <cellStyle name="Note 2 2 27 2 4" xfId="37084" xr:uid="{00000000-0005-0000-0000-0000DA900000}"/>
    <cellStyle name="Note 2 2 27 2 5" xfId="37085" xr:uid="{00000000-0005-0000-0000-0000DB900000}"/>
    <cellStyle name="Note 2 2 27 2 6" xfId="37086" xr:uid="{00000000-0005-0000-0000-0000DC900000}"/>
    <cellStyle name="Note 2 2 27 3" xfId="37087" xr:uid="{00000000-0005-0000-0000-0000DD900000}"/>
    <cellStyle name="Note 2 2 27 4" xfId="37088" xr:uid="{00000000-0005-0000-0000-0000DE900000}"/>
    <cellStyle name="Note 2 2 27 5" xfId="37089" xr:uid="{00000000-0005-0000-0000-0000DF900000}"/>
    <cellStyle name="Note 2 2 27 6" xfId="37090" xr:uid="{00000000-0005-0000-0000-0000E0900000}"/>
    <cellStyle name="Note 2 2 27 7" xfId="37091" xr:uid="{00000000-0005-0000-0000-0000E1900000}"/>
    <cellStyle name="Note 2 2 28" xfId="37092" xr:uid="{00000000-0005-0000-0000-0000E2900000}"/>
    <cellStyle name="Note 2 2 28 2" xfId="37093" xr:uid="{00000000-0005-0000-0000-0000E3900000}"/>
    <cellStyle name="Note 2 2 28 2 2" xfId="37094" xr:uid="{00000000-0005-0000-0000-0000E4900000}"/>
    <cellStyle name="Note 2 2 28 2 3" xfId="37095" xr:uid="{00000000-0005-0000-0000-0000E5900000}"/>
    <cellStyle name="Note 2 2 28 2 4" xfId="37096" xr:uid="{00000000-0005-0000-0000-0000E6900000}"/>
    <cellStyle name="Note 2 2 28 2 5" xfId="37097" xr:uid="{00000000-0005-0000-0000-0000E7900000}"/>
    <cellStyle name="Note 2 2 28 2 6" xfId="37098" xr:uid="{00000000-0005-0000-0000-0000E8900000}"/>
    <cellStyle name="Note 2 2 28 3" xfId="37099" xr:uid="{00000000-0005-0000-0000-0000E9900000}"/>
    <cellStyle name="Note 2 2 28 4" xfId="37100" xr:uid="{00000000-0005-0000-0000-0000EA900000}"/>
    <cellStyle name="Note 2 2 28 5" xfId="37101" xr:uid="{00000000-0005-0000-0000-0000EB900000}"/>
    <cellStyle name="Note 2 2 28 6" xfId="37102" xr:uid="{00000000-0005-0000-0000-0000EC900000}"/>
    <cellStyle name="Note 2 2 28 7" xfId="37103" xr:uid="{00000000-0005-0000-0000-0000ED900000}"/>
    <cellStyle name="Note 2 2 29" xfId="37104" xr:uid="{00000000-0005-0000-0000-0000EE900000}"/>
    <cellStyle name="Note 2 2 29 2" xfId="37105" xr:uid="{00000000-0005-0000-0000-0000EF900000}"/>
    <cellStyle name="Note 2 2 29 2 2" xfId="37106" xr:uid="{00000000-0005-0000-0000-0000F0900000}"/>
    <cellStyle name="Note 2 2 29 2 3" xfId="37107" xr:uid="{00000000-0005-0000-0000-0000F1900000}"/>
    <cellStyle name="Note 2 2 29 2 4" xfId="37108" xr:uid="{00000000-0005-0000-0000-0000F2900000}"/>
    <cellStyle name="Note 2 2 29 2 5" xfId="37109" xr:uid="{00000000-0005-0000-0000-0000F3900000}"/>
    <cellStyle name="Note 2 2 29 2 6" xfId="37110" xr:uid="{00000000-0005-0000-0000-0000F4900000}"/>
    <cellStyle name="Note 2 2 29 3" xfId="37111" xr:uid="{00000000-0005-0000-0000-0000F5900000}"/>
    <cellStyle name="Note 2 2 29 4" xfId="37112" xr:uid="{00000000-0005-0000-0000-0000F6900000}"/>
    <cellStyle name="Note 2 2 29 5" xfId="37113" xr:uid="{00000000-0005-0000-0000-0000F7900000}"/>
    <cellStyle name="Note 2 2 29 6" xfId="37114" xr:uid="{00000000-0005-0000-0000-0000F8900000}"/>
    <cellStyle name="Note 2 2 29 7" xfId="37115" xr:uid="{00000000-0005-0000-0000-0000F9900000}"/>
    <cellStyle name="Note 2 2 3" xfId="37116" xr:uid="{00000000-0005-0000-0000-0000FA900000}"/>
    <cellStyle name="Note 2 2 3 2" xfId="37117" xr:uid="{00000000-0005-0000-0000-0000FB900000}"/>
    <cellStyle name="Note 2 2 3 2 2" xfId="37118" xr:uid="{00000000-0005-0000-0000-0000FC900000}"/>
    <cellStyle name="Note 2 2 3 2 2 2" xfId="37119" xr:uid="{00000000-0005-0000-0000-0000FD900000}"/>
    <cellStyle name="Note 2 2 3 2 2 3" xfId="37120" xr:uid="{00000000-0005-0000-0000-0000FE900000}"/>
    <cellStyle name="Note 2 2 3 2 2 4" xfId="37121" xr:uid="{00000000-0005-0000-0000-0000FF900000}"/>
    <cellStyle name="Note 2 2 3 2 2 5" xfId="37122" xr:uid="{00000000-0005-0000-0000-000000910000}"/>
    <cellStyle name="Note 2 2 3 2 2 6" xfId="37123" xr:uid="{00000000-0005-0000-0000-000001910000}"/>
    <cellStyle name="Note 2 2 3 2 3" xfId="37124" xr:uid="{00000000-0005-0000-0000-000002910000}"/>
    <cellStyle name="Note 2 2 3 2 3 2" xfId="37125" xr:uid="{00000000-0005-0000-0000-000003910000}"/>
    <cellStyle name="Note 2 2 3 2 3 3" xfId="37126" xr:uid="{00000000-0005-0000-0000-000004910000}"/>
    <cellStyle name="Note 2 2 3 2 3 4" xfId="37127" xr:uid="{00000000-0005-0000-0000-000005910000}"/>
    <cellStyle name="Note 2 2 3 2 3 5" xfId="37128" xr:uid="{00000000-0005-0000-0000-000006910000}"/>
    <cellStyle name="Note 2 2 3 2 3 6" xfId="37129" xr:uid="{00000000-0005-0000-0000-000007910000}"/>
    <cellStyle name="Note 2 2 3 2 4" xfId="37130" xr:uid="{00000000-0005-0000-0000-000008910000}"/>
    <cellStyle name="Note 2 2 3 2 5" xfId="37131" xr:uid="{00000000-0005-0000-0000-000009910000}"/>
    <cellStyle name="Note 2 2 3 2 6" xfId="37132" xr:uid="{00000000-0005-0000-0000-00000A910000}"/>
    <cellStyle name="Note 2 2 3 2 7" xfId="37133" xr:uid="{00000000-0005-0000-0000-00000B910000}"/>
    <cellStyle name="Note 2 2 3 3" xfId="37134" xr:uid="{00000000-0005-0000-0000-00000C910000}"/>
    <cellStyle name="Note 2 2 3 3 2" xfId="37135" xr:uid="{00000000-0005-0000-0000-00000D910000}"/>
    <cellStyle name="Note 2 2 3 3 2 2" xfId="37136" xr:uid="{00000000-0005-0000-0000-00000E910000}"/>
    <cellStyle name="Note 2 2 3 3 2 3" xfId="37137" xr:uid="{00000000-0005-0000-0000-00000F910000}"/>
    <cellStyle name="Note 2 2 3 3 2 4" xfId="37138" xr:uid="{00000000-0005-0000-0000-000010910000}"/>
    <cellStyle name="Note 2 2 3 3 2 5" xfId="37139" xr:uid="{00000000-0005-0000-0000-000011910000}"/>
    <cellStyle name="Note 2 2 3 3 2 6" xfId="37140" xr:uid="{00000000-0005-0000-0000-000012910000}"/>
    <cellStyle name="Note 2 2 3 3 3" xfId="37141" xr:uid="{00000000-0005-0000-0000-000013910000}"/>
    <cellStyle name="Note 2 2 3 3 4" xfId="37142" xr:uid="{00000000-0005-0000-0000-000014910000}"/>
    <cellStyle name="Note 2 2 3 3 5" xfId="37143" xr:uid="{00000000-0005-0000-0000-000015910000}"/>
    <cellStyle name="Note 2 2 3 3 6" xfId="37144" xr:uid="{00000000-0005-0000-0000-000016910000}"/>
    <cellStyle name="Note 2 2 3 4" xfId="37145" xr:uid="{00000000-0005-0000-0000-000017910000}"/>
    <cellStyle name="Note 2 2 3 4 2" xfId="37146" xr:uid="{00000000-0005-0000-0000-000018910000}"/>
    <cellStyle name="Note 2 2 3 4 3" xfId="37147" xr:uid="{00000000-0005-0000-0000-000019910000}"/>
    <cellStyle name="Note 2 2 3 4 4" xfId="37148" xr:uid="{00000000-0005-0000-0000-00001A910000}"/>
    <cellStyle name="Note 2 2 3 4 5" xfId="37149" xr:uid="{00000000-0005-0000-0000-00001B910000}"/>
    <cellStyle name="Note 2 2 3 4 6" xfId="37150" xr:uid="{00000000-0005-0000-0000-00001C910000}"/>
    <cellStyle name="Note 2 2 3 5" xfId="37151" xr:uid="{00000000-0005-0000-0000-00001D910000}"/>
    <cellStyle name="Note 2 2 3 5 2" xfId="37152" xr:uid="{00000000-0005-0000-0000-00001E910000}"/>
    <cellStyle name="Note 2 2 3 5 3" xfId="37153" xr:uid="{00000000-0005-0000-0000-00001F910000}"/>
    <cellStyle name="Note 2 2 3 5 4" xfId="37154" xr:uid="{00000000-0005-0000-0000-000020910000}"/>
    <cellStyle name="Note 2 2 3 5 5" xfId="37155" xr:uid="{00000000-0005-0000-0000-000021910000}"/>
    <cellStyle name="Note 2 2 3 5 6" xfId="37156" xr:uid="{00000000-0005-0000-0000-000022910000}"/>
    <cellStyle name="Note 2 2 3 6" xfId="37157" xr:uid="{00000000-0005-0000-0000-000023910000}"/>
    <cellStyle name="Note 2 2 3 7" xfId="37158" xr:uid="{00000000-0005-0000-0000-000024910000}"/>
    <cellStyle name="Note 2 2 3 8" xfId="37159" xr:uid="{00000000-0005-0000-0000-000025910000}"/>
    <cellStyle name="Note 2 2 3 9" xfId="37160" xr:uid="{00000000-0005-0000-0000-000026910000}"/>
    <cellStyle name="Note 2 2 30" xfId="37161" xr:uid="{00000000-0005-0000-0000-000027910000}"/>
    <cellStyle name="Note 2 2 30 2" xfId="37162" xr:uid="{00000000-0005-0000-0000-000028910000}"/>
    <cellStyle name="Note 2 2 30 2 2" xfId="37163" xr:uid="{00000000-0005-0000-0000-000029910000}"/>
    <cellStyle name="Note 2 2 30 2 3" xfId="37164" xr:uid="{00000000-0005-0000-0000-00002A910000}"/>
    <cellStyle name="Note 2 2 30 2 4" xfId="37165" xr:uid="{00000000-0005-0000-0000-00002B910000}"/>
    <cellStyle name="Note 2 2 30 2 5" xfId="37166" xr:uid="{00000000-0005-0000-0000-00002C910000}"/>
    <cellStyle name="Note 2 2 30 2 6" xfId="37167" xr:uid="{00000000-0005-0000-0000-00002D910000}"/>
    <cellStyle name="Note 2 2 30 3" xfId="37168" xr:uid="{00000000-0005-0000-0000-00002E910000}"/>
    <cellStyle name="Note 2 2 30 4" xfId="37169" xr:uid="{00000000-0005-0000-0000-00002F910000}"/>
    <cellStyle name="Note 2 2 30 5" xfId="37170" xr:uid="{00000000-0005-0000-0000-000030910000}"/>
    <cellStyle name="Note 2 2 30 6" xfId="37171" xr:uid="{00000000-0005-0000-0000-000031910000}"/>
    <cellStyle name="Note 2 2 30 7" xfId="37172" xr:uid="{00000000-0005-0000-0000-000032910000}"/>
    <cellStyle name="Note 2 2 31" xfId="37173" xr:uid="{00000000-0005-0000-0000-000033910000}"/>
    <cellStyle name="Note 2 2 31 2" xfId="37174" xr:uid="{00000000-0005-0000-0000-000034910000}"/>
    <cellStyle name="Note 2 2 31 2 2" xfId="37175" xr:uid="{00000000-0005-0000-0000-000035910000}"/>
    <cellStyle name="Note 2 2 31 2 3" xfId="37176" xr:uid="{00000000-0005-0000-0000-000036910000}"/>
    <cellStyle name="Note 2 2 31 2 4" xfId="37177" xr:uid="{00000000-0005-0000-0000-000037910000}"/>
    <cellStyle name="Note 2 2 31 2 5" xfId="37178" xr:uid="{00000000-0005-0000-0000-000038910000}"/>
    <cellStyle name="Note 2 2 31 2 6" xfId="37179" xr:uid="{00000000-0005-0000-0000-000039910000}"/>
    <cellStyle name="Note 2 2 31 3" xfId="37180" xr:uid="{00000000-0005-0000-0000-00003A910000}"/>
    <cellStyle name="Note 2 2 31 4" xfId="37181" xr:uid="{00000000-0005-0000-0000-00003B910000}"/>
    <cellStyle name="Note 2 2 31 5" xfId="37182" xr:uid="{00000000-0005-0000-0000-00003C910000}"/>
    <cellStyle name="Note 2 2 31 6" xfId="37183" xr:uid="{00000000-0005-0000-0000-00003D910000}"/>
    <cellStyle name="Note 2 2 31 7" xfId="37184" xr:uid="{00000000-0005-0000-0000-00003E910000}"/>
    <cellStyle name="Note 2 2 32" xfId="37185" xr:uid="{00000000-0005-0000-0000-00003F910000}"/>
    <cellStyle name="Note 2 2 32 2" xfId="37186" xr:uid="{00000000-0005-0000-0000-000040910000}"/>
    <cellStyle name="Note 2 2 32 2 2" xfId="37187" xr:uid="{00000000-0005-0000-0000-000041910000}"/>
    <cellStyle name="Note 2 2 32 2 3" xfId="37188" xr:uid="{00000000-0005-0000-0000-000042910000}"/>
    <cellStyle name="Note 2 2 32 2 4" xfId="37189" xr:uid="{00000000-0005-0000-0000-000043910000}"/>
    <cellStyle name="Note 2 2 32 2 5" xfId="37190" xr:uid="{00000000-0005-0000-0000-000044910000}"/>
    <cellStyle name="Note 2 2 32 2 6" xfId="37191" xr:uid="{00000000-0005-0000-0000-000045910000}"/>
    <cellStyle name="Note 2 2 32 3" xfId="37192" xr:uid="{00000000-0005-0000-0000-000046910000}"/>
    <cellStyle name="Note 2 2 32 4" xfId="37193" xr:uid="{00000000-0005-0000-0000-000047910000}"/>
    <cellStyle name="Note 2 2 32 5" xfId="37194" xr:uid="{00000000-0005-0000-0000-000048910000}"/>
    <cellStyle name="Note 2 2 32 6" xfId="37195" xr:uid="{00000000-0005-0000-0000-000049910000}"/>
    <cellStyle name="Note 2 2 32 7" xfId="37196" xr:uid="{00000000-0005-0000-0000-00004A910000}"/>
    <cellStyle name="Note 2 2 33" xfId="37197" xr:uid="{00000000-0005-0000-0000-00004B910000}"/>
    <cellStyle name="Note 2 2 33 2" xfId="37198" xr:uid="{00000000-0005-0000-0000-00004C910000}"/>
    <cellStyle name="Note 2 2 33 2 2" xfId="37199" xr:uid="{00000000-0005-0000-0000-00004D910000}"/>
    <cellStyle name="Note 2 2 33 2 3" xfId="37200" xr:uid="{00000000-0005-0000-0000-00004E910000}"/>
    <cellStyle name="Note 2 2 33 2 4" xfId="37201" xr:uid="{00000000-0005-0000-0000-00004F910000}"/>
    <cellStyle name="Note 2 2 33 2 5" xfId="37202" xr:uid="{00000000-0005-0000-0000-000050910000}"/>
    <cellStyle name="Note 2 2 33 2 6" xfId="37203" xr:uid="{00000000-0005-0000-0000-000051910000}"/>
    <cellStyle name="Note 2 2 33 3" xfId="37204" xr:uid="{00000000-0005-0000-0000-000052910000}"/>
    <cellStyle name="Note 2 2 33 4" xfId="37205" xr:uid="{00000000-0005-0000-0000-000053910000}"/>
    <cellStyle name="Note 2 2 33 5" xfId="37206" xr:uid="{00000000-0005-0000-0000-000054910000}"/>
    <cellStyle name="Note 2 2 33 6" xfId="37207" xr:uid="{00000000-0005-0000-0000-000055910000}"/>
    <cellStyle name="Note 2 2 33 7" xfId="37208" xr:uid="{00000000-0005-0000-0000-000056910000}"/>
    <cellStyle name="Note 2 2 34" xfId="37209" xr:uid="{00000000-0005-0000-0000-000057910000}"/>
    <cellStyle name="Note 2 2 34 2" xfId="37210" xr:uid="{00000000-0005-0000-0000-000058910000}"/>
    <cellStyle name="Note 2 2 34 2 2" xfId="37211" xr:uid="{00000000-0005-0000-0000-000059910000}"/>
    <cellStyle name="Note 2 2 34 2 3" xfId="37212" xr:uid="{00000000-0005-0000-0000-00005A910000}"/>
    <cellStyle name="Note 2 2 34 2 4" xfId="37213" xr:uid="{00000000-0005-0000-0000-00005B910000}"/>
    <cellStyle name="Note 2 2 34 2 5" xfId="37214" xr:uid="{00000000-0005-0000-0000-00005C910000}"/>
    <cellStyle name="Note 2 2 34 2 6" xfId="37215" xr:uid="{00000000-0005-0000-0000-00005D910000}"/>
    <cellStyle name="Note 2 2 34 3" xfId="37216" xr:uid="{00000000-0005-0000-0000-00005E910000}"/>
    <cellStyle name="Note 2 2 34 4" xfId="37217" xr:uid="{00000000-0005-0000-0000-00005F910000}"/>
    <cellStyle name="Note 2 2 34 5" xfId="37218" xr:uid="{00000000-0005-0000-0000-000060910000}"/>
    <cellStyle name="Note 2 2 34 6" xfId="37219" xr:uid="{00000000-0005-0000-0000-000061910000}"/>
    <cellStyle name="Note 2 2 34 7" xfId="37220" xr:uid="{00000000-0005-0000-0000-000062910000}"/>
    <cellStyle name="Note 2 2 35" xfId="37221" xr:uid="{00000000-0005-0000-0000-000063910000}"/>
    <cellStyle name="Note 2 2 35 2" xfId="37222" xr:uid="{00000000-0005-0000-0000-000064910000}"/>
    <cellStyle name="Note 2 2 35 2 2" xfId="37223" xr:uid="{00000000-0005-0000-0000-000065910000}"/>
    <cellStyle name="Note 2 2 35 2 3" xfId="37224" xr:uid="{00000000-0005-0000-0000-000066910000}"/>
    <cellStyle name="Note 2 2 35 2 4" xfId="37225" xr:uid="{00000000-0005-0000-0000-000067910000}"/>
    <cellStyle name="Note 2 2 35 2 5" xfId="37226" xr:uid="{00000000-0005-0000-0000-000068910000}"/>
    <cellStyle name="Note 2 2 35 2 6" xfId="37227" xr:uid="{00000000-0005-0000-0000-000069910000}"/>
    <cellStyle name="Note 2 2 35 3" xfId="37228" xr:uid="{00000000-0005-0000-0000-00006A910000}"/>
    <cellStyle name="Note 2 2 35 4" xfId="37229" xr:uid="{00000000-0005-0000-0000-00006B910000}"/>
    <cellStyle name="Note 2 2 35 5" xfId="37230" xr:uid="{00000000-0005-0000-0000-00006C910000}"/>
    <cellStyle name="Note 2 2 35 6" xfId="37231" xr:uid="{00000000-0005-0000-0000-00006D910000}"/>
    <cellStyle name="Note 2 2 35 7" xfId="37232" xr:uid="{00000000-0005-0000-0000-00006E910000}"/>
    <cellStyle name="Note 2 2 36" xfId="37233" xr:uid="{00000000-0005-0000-0000-00006F910000}"/>
    <cellStyle name="Note 2 2 36 2" xfId="37234" xr:uid="{00000000-0005-0000-0000-000070910000}"/>
    <cellStyle name="Note 2 2 36 2 2" xfId="37235" xr:uid="{00000000-0005-0000-0000-000071910000}"/>
    <cellStyle name="Note 2 2 36 2 3" xfId="37236" xr:uid="{00000000-0005-0000-0000-000072910000}"/>
    <cellStyle name="Note 2 2 36 2 4" xfId="37237" xr:uid="{00000000-0005-0000-0000-000073910000}"/>
    <cellStyle name="Note 2 2 36 2 5" xfId="37238" xr:uid="{00000000-0005-0000-0000-000074910000}"/>
    <cellStyle name="Note 2 2 36 2 6" xfId="37239" xr:uid="{00000000-0005-0000-0000-000075910000}"/>
    <cellStyle name="Note 2 2 36 3" xfId="37240" xr:uid="{00000000-0005-0000-0000-000076910000}"/>
    <cellStyle name="Note 2 2 36 4" xfId="37241" xr:uid="{00000000-0005-0000-0000-000077910000}"/>
    <cellStyle name="Note 2 2 36 5" xfId="37242" xr:uid="{00000000-0005-0000-0000-000078910000}"/>
    <cellStyle name="Note 2 2 36 6" xfId="37243" xr:uid="{00000000-0005-0000-0000-000079910000}"/>
    <cellStyle name="Note 2 2 36 7" xfId="37244" xr:uid="{00000000-0005-0000-0000-00007A910000}"/>
    <cellStyle name="Note 2 2 37" xfId="37245" xr:uid="{00000000-0005-0000-0000-00007B910000}"/>
    <cellStyle name="Note 2 2 37 2" xfId="37246" xr:uid="{00000000-0005-0000-0000-00007C910000}"/>
    <cellStyle name="Note 2 2 37 2 2" xfId="37247" xr:uid="{00000000-0005-0000-0000-00007D910000}"/>
    <cellStyle name="Note 2 2 37 2 3" xfId="37248" xr:uid="{00000000-0005-0000-0000-00007E910000}"/>
    <cellStyle name="Note 2 2 37 2 4" xfId="37249" xr:uid="{00000000-0005-0000-0000-00007F910000}"/>
    <cellStyle name="Note 2 2 37 2 5" xfId="37250" xr:uid="{00000000-0005-0000-0000-000080910000}"/>
    <cellStyle name="Note 2 2 37 2 6" xfId="37251" xr:uid="{00000000-0005-0000-0000-000081910000}"/>
    <cellStyle name="Note 2 2 37 3" xfId="37252" xr:uid="{00000000-0005-0000-0000-000082910000}"/>
    <cellStyle name="Note 2 2 37 4" xfId="37253" xr:uid="{00000000-0005-0000-0000-000083910000}"/>
    <cellStyle name="Note 2 2 37 5" xfId="37254" xr:uid="{00000000-0005-0000-0000-000084910000}"/>
    <cellStyle name="Note 2 2 37 6" xfId="37255" xr:uid="{00000000-0005-0000-0000-000085910000}"/>
    <cellStyle name="Note 2 2 37 7" xfId="37256" xr:uid="{00000000-0005-0000-0000-000086910000}"/>
    <cellStyle name="Note 2 2 38" xfId="37257" xr:uid="{00000000-0005-0000-0000-000087910000}"/>
    <cellStyle name="Note 2 2 38 2" xfId="37258" xr:uid="{00000000-0005-0000-0000-000088910000}"/>
    <cellStyle name="Note 2 2 38 2 2" xfId="37259" xr:uid="{00000000-0005-0000-0000-000089910000}"/>
    <cellStyle name="Note 2 2 38 2 3" xfId="37260" xr:uid="{00000000-0005-0000-0000-00008A910000}"/>
    <cellStyle name="Note 2 2 38 2 4" xfId="37261" xr:uid="{00000000-0005-0000-0000-00008B910000}"/>
    <cellStyle name="Note 2 2 38 2 5" xfId="37262" xr:uid="{00000000-0005-0000-0000-00008C910000}"/>
    <cellStyle name="Note 2 2 38 2 6" xfId="37263" xr:uid="{00000000-0005-0000-0000-00008D910000}"/>
    <cellStyle name="Note 2 2 38 3" xfId="37264" xr:uid="{00000000-0005-0000-0000-00008E910000}"/>
    <cellStyle name="Note 2 2 38 4" xfId="37265" xr:uid="{00000000-0005-0000-0000-00008F910000}"/>
    <cellStyle name="Note 2 2 38 5" xfId="37266" xr:uid="{00000000-0005-0000-0000-000090910000}"/>
    <cellStyle name="Note 2 2 38 6" xfId="37267" xr:uid="{00000000-0005-0000-0000-000091910000}"/>
    <cellStyle name="Note 2 2 38 7" xfId="37268" xr:uid="{00000000-0005-0000-0000-000092910000}"/>
    <cellStyle name="Note 2 2 39" xfId="37269" xr:uid="{00000000-0005-0000-0000-000093910000}"/>
    <cellStyle name="Note 2 2 39 2" xfId="37270" xr:uid="{00000000-0005-0000-0000-000094910000}"/>
    <cellStyle name="Note 2 2 39 2 2" xfId="37271" xr:uid="{00000000-0005-0000-0000-000095910000}"/>
    <cellStyle name="Note 2 2 39 2 3" xfId="37272" xr:uid="{00000000-0005-0000-0000-000096910000}"/>
    <cellStyle name="Note 2 2 39 2 4" xfId="37273" xr:uid="{00000000-0005-0000-0000-000097910000}"/>
    <cellStyle name="Note 2 2 39 2 5" xfId="37274" xr:uid="{00000000-0005-0000-0000-000098910000}"/>
    <cellStyle name="Note 2 2 39 2 6" xfId="37275" xr:uid="{00000000-0005-0000-0000-000099910000}"/>
    <cellStyle name="Note 2 2 39 3" xfId="37276" xr:uid="{00000000-0005-0000-0000-00009A910000}"/>
    <cellStyle name="Note 2 2 39 4" xfId="37277" xr:uid="{00000000-0005-0000-0000-00009B910000}"/>
    <cellStyle name="Note 2 2 39 5" xfId="37278" xr:uid="{00000000-0005-0000-0000-00009C910000}"/>
    <cellStyle name="Note 2 2 39 6" xfId="37279" xr:uid="{00000000-0005-0000-0000-00009D910000}"/>
    <cellStyle name="Note 2 2 39 7" xfId="37280" xr:uid="{00000000-0005-0000-0000-00009E910000}"/>
    <cellStyle name="Note 2 2 4" xfId="37281" xr:uid="{00000000-0005-0000-0000-00009F910000}"/>
    <cellStyle name="Note 2 2 4 2" xfId="37282" xr:uid="{00000000-0005-0000-0000-0000A0910000}"/>
    <cellStyle name="Note 2 2 4 2 2" xfId="37283" xr:uid="{00000000-0005-0000-0000-0000A1910000}"/>
    <cellStyle name="Note 2 2 4 2 2 2" xfId="37284" xr:uid="{00000000-0005-0000-0000-0000A2910000}"/>
    <cellStyle name="Note 2 2 4 2 2 3" xfId="37285" xr:uid="{00000000-0005-0000-0000-0000A3910000}"/>
    <cellStyle name="Note 2 2 4 2 2 4" xfId="37286" xr:uid="{00000000-0005-0000-0000-0000A4910000}"/>
    <cellStyle name="Note 2 2 4 2 2 5" xfId="37287" xr:uid="{00000000-0005-0000-0000-0000A5910000}"/>
    <cellStyle name="Note 2 2 4 2 2 6" xfId="37288" xr:uid="{00000000-0005-0000-0000-0000A6910000}"/>
    <cellStyle name="Note 2 2 4 2 3" xfId="37289" xr:uid="{00000000-0005-0000-0000-0000A7910000}"/>
    <cellStyle name="Note 2 2 4 2 3 2" xfId="37290" xr:uid="{00000000-0005-0000-0000-0000A8910000}"/>
    <cellStyle name="Note 2 2 4 2 3 3" xfId="37291" xr:uid="{00000000-0005-0000-0000-0000A9910000}"/>
    <cellStyle name="Note 2 2 4 2 3 4" xfId="37292" xr:uid="{00000000-0005-0000-0000-0000AA910000}"/>
    <cellStyle name="Note 2 2 4 2 3 5" xfId="37293" xr:uid="{00000000-0005-0000-0000-0000AB910000}"/>
    <cellStyle name="Note 2 2 4 2 3 6" xfId="37294" xr:uid="{00000000-0005-0000-0000-0000AC910000}"/>
    <cellStyle name="Note 2 2 4 2 4" xfId="37295" xr:uid="{00000000-0005-0000-0000-0000AD910000}"/>
    <cellStyle name="Note 2 2 4 2 5" xfId="37296" xr:uid="{00000000-0005-0000-0000-0000AE910000}"/>
    <cellStyle name="Note 2 2 4 2 6" xfId="37297" xr:uid="{00000000-0005-0000-0000-0000AF910000}"/>
    <cellStyle name="Note 2 2 4 2 7" xfId="37298" xr:uid="{00000000-0005-0000-0000-0000B0910000}"/>
    <cellStyle name="Note 2 2 4 3" xfId="37299" xr:uid="{00000000-0005-0000-0000-0000B1910000}"/>
    <cellStyle name="Note 2 2 4 3 2" xfId="37300" xr:uid="{00000000-0005-0000-0000-0000B2910000}"/>
    <cellStyle name="Note 2 2 4 3 2 2" xfId="37301" xr:uid="{00000000-0005-0000-0000-0000B3910000}"/>
    <cellStyle name="Note 2 2 4 3 2 3" xfId="37302" xr:uid="{00000000-0005-0000-0000-0000B4910000}"/>
    <cellStyle name="Note 2 2 4 3 2 4" xfId="37303" xr:uid="{00000000-0005-0000-0000-0000B5910000}"/>
    <cellStyle name="Note 2 2 4 3 2 5" xfId="37304" xr:uid="{00000000-0005-0000-0000-0000B6910000}"/>
    <cellStyle name="Note 2 2 4 3 2 6" xfId="37305" xr:uid="{00000000-0005-0000-0000-0000B7910000}"/>
    <cellStyle name="Note 2 2 4 3 3" xfId="37306" xr:uid="{00000000-0005-0000-0000-0000B8910000}"/>
    <cellStyle name="Note 2 2 4 3 4" xfId="37307" xr:uid="{00000000-0005-0000-0000-0000B9910000}"/>
    <cellStyle name="Note 2 2 4 3 5" xfId="37308" xr:uid="{00000000-0005-0000-0000-0000BA910000}"/>
    <cellStyle name="Note 2 2 4 3 6" xfId="37309" xr:uid="{00000000-0005-0000-0000-0000BB910000}"/>
    <cellStyle name="Note 2 2 4 4" xfId="37310" xr:uid="{00000000-0005-0000-0000-0000BC910000}"/>
    <cellStyle name="Note 2 2 4 4 2" xfId="37311" xr:uid="{00000000-0005-0000-0000-0000BD910000}"/>
    <cellStyle name="Note 2 2 4 4 3" xfId="37312" xr:uid="{00000000-0005-0000-0000-0000BE910000}"/>
    <cellStyle name="Note 2 2 4 4 4" xfId="37313" xr:uid="{00000000-0005-0000-0000-0000BF910000}"/>
    <cellStyle name="Note 2 2 4 4 5" xfId="37314" xr:uid="{00000000-0005-0000-0000-0000C0910000}"/>
    <cellStyle name="Note 2 2 4 4 6" xfId="37315" xr:uid="{00000000-0005-0000-0000-0000C1910000}"/>
    <cellStyle name="Note 2 2 4 5" xfId="37316" xr:uid="{00000000-0005-0000-0000-0000C2910000}"/>
    <cellStyle name="Note 2 2 4 5 2" xfId="37317" xr:uid="{00000000-0005-0000-0000-0000C3910000}"/>
    <cellStyle name="Note 2 2 4 5 3" xfId="37318" xr:uid="{00000000-0005-0000-0000-0000C4910000}"/>
    <cellStyle name="Note 2 2 4 5 4" xfId="37319" xr:uid="{00000000-0005-0000-0000-0000C5910000}"/>
    <cellStyle name="Note 2 2 4 5 5" xfId="37320" xr:uid="{00000000-0005-0000-0000-0000C6910000}"/>
    <cellStyle name="Note 2 2 4 5 6" xfId="37321" xr:uid="{00000000-0005-0000-0000-0000C7910000}"/>
    <cellStyle name="Note 2 2 4 6" xfId="37322" xr:uid="{00000000-0005-0000-0000-0000C8910000}"/>
    <cellStyle name="Note 2 2 4 7" xfId="37323" xr:uid="{00000000-0005-0000-0000-0000C9910000}"/>
    <cellStyle name="Note 2 2 4 8" xfId="37324" xr:uid="{00000000-0005-0000-0000-0000CA910000}"/>
    <cellStyle name="Note 2 2 4 9" xfId="37325" xr:uid="{00000000-0005-0000-0000-0000CB910000}"/>
    <cellStyle name="Note 2 2 40" xfId="37326" xr:uid="{00000000-0005-0000-0000-0000CC910000}"/>
    <cellStyle name="Note 2 2 40 2" xfId="37327" xr:uid="{00000000-0005-0000-0000-0000CD910000}"/>
    <cellStyle name="Note 2 2 40 2 2" xfId="37328" xr:uid="{00000000-0005-0000-0000-0000CE910000}"/>
    <cellStyle name="Note 2 2 40 2 3" xfId="37329" xr:uid="{00000000-0005-0000-0000-0000CF910000}"/>
    <cellStyle name="Note 2 2 40 2 4" xfId="37330" xr:uid="{00000000-0005-0000-0000-0000D0910000}"/>
    <cellStyle name="Note 2 2 40 2 5" xfId="37331" xr:uid="{00000000-0005-0000-0000-0000D1910000}"/>
    <cellStyle name="Note 2 2 40 2 6" xfId="37332" xr:uid="{00000000-0005-0000-0000-0000D2910000}"/>
    <cellStyle name="Note 2 2 40 3" xfId="37333" xr:uid="{00000000-0005-0000-0000-0000D3910000}"/>
    <cellStyle name="Note 2 2 40 4" xfId="37334" xr:uid="{00000000-0005-0000-0000-0000D4910000}"/>
    <cellStyle name="Note 2 2 40 5" xfId="37335" xr:uid="{00000000-0005-0000-0000-0000D5910000}"/>
    <cellStyle name="Note 2 2 40 6" xfId="37336" xr:uid="{00000000-0005-0000-0000-0000D6910000}"/>
    <cellStyle name="Note 2 2 40 7" xfId="37337" xr:uid="{00000000-0005-0000-0000-0000D7910000}"/>
    <cellStyle name="Note 2 2 41" xfId="37338" xr:uid="{00000000-0005-0000-0000-0000D8910000}"/>
    <cellStyle name="Note 2 2 41 2" xfId="37339" xr:uid="{00000000-0005-0000-0000-0000D9910000}"/>
    <cellStyle name="Note 2 2 41 2 2" xfId="37340" xr:uid="{00000000-0005-0000-0000-0000DA910000}"/>
    <cellStyle name="Note 2 2 41 2 3" xfId="37341" xr:uid="{00000000-0005-0000-0000-0000DB910000}"/>
    <cellStyle name="Note 2 2 41 2 4" xfId="37342" xr:uid="{00000000-0005-0000-0000-0000DC910000}"/>
    <cellStyle name="Note 2 2 41 2 5" xfId="37343" xr:uid="{00000000-0005-0000-0000-0000DD910000}"/>
    <cellStyle name="Note 2 2 41 2 6" xfId="37344" xr:uid="{00000000-0005-0000-0000-0000DE910000}"/>
    <cellStyle name="Note 2 2 41 3" xfId="37345" xr:uid="{00000000-0005-0000-0000-0000DF910000}"/>
    <cellStyle name="Note 2 2 41 4" xfId="37346" xr:uid="{00000000-0005-0000-0000-0000E0910000}"/>
    <cellStyle name="Note 2 2 41 5" xfId="37347" xr:uid="{00000000-0005-0000-0000-0000E1910000}"/>
    <cellStyle name="Note 2 2 41 6" xfId="37348" xr:uid="{00000000-0005-0000-0000-0000E2910000}"/>
    <cellStyle name="Note 2 2 41 7" xfId="37349" xr:uid="{00000000-0005-0000-0000-0000E3910000}"/>
    <cellStyle name="Note 2 2 42" xfId="37350" xr:uid="{00000000-0005-0000-0000-0000E4910000}"/>
    <cellStyle name="Note 2 2 42 2" xfId="37351" xr:uid="{00000000-0005-0000-0000-0000E5910000}"/>
    <cellStyle name="Note 2 2 42 3" xfId="37352" xr:uid="{00000000-0005-0000-0000-0000E6910000}"/>
    <cellStyle name="Note 2 2 42 4" xfId="37353" xr:uid="{00000000-0005-0000-0000-0000E7910000}"/>
    <cellStyle name="Note 2 2 42 5" xfId="37354" xr:uid="{00000000-0005-0000-0000-0000E8910000}"/>
    <cellStyle name="Note 2 2 42 6" xfId="37355" xr:uid="{00000000-0005-0000-0000-0000E9910000}"/>
    <cellStyle name="Note 2 2 43" xfId="37356" xr:uid="{00000000-0005-0000-0000-0000EA910000}"/>
    <cellStyle name="Note 2 2 43 2" xfId="37357" xr:uid="{00000000-0005-0000-0000-0000EB910000}"/>
    <cellStyle name="Note 2 2 43 3" xfId="37358" xr:uid="{00000000-0005-0000-0000-0000EC910000}"/>
    <cellStyle name="Note 2 2 43 4" xfId="37359" xr:uid="{00000000-0005-0000-0000-0000ED910000}"/>
    <cellStyle name="Note 2 2 43 5" xfId="37360" xr:uid="{00000000-0005-0000-0000-0000EE910000}"/>
    <cellStyle name="Note 2 2 43 6" xfId="37361" xr:uid="{00000000-0005-0000-0000-0000EF910000}"/>
    <cellStyle name="Note 2 2 44" xfId="37362" xr:uid="{00000000-0005-0000-0000-0000F0910000}"/>
    <cellStyle name="Note 2 2 45" xfId="37363" xr:uid="{00000000-0005-0000-0000-0000F1910000}"/>
    <cellStyle name="Note 2 2 46" xfId="37364" xr:uid="{00000000-0005-0000-0000-0000F2910000}"/>
    <cellStyle name="Note 2 2 47" xfId="37365" xr:uid="{00000000-0005-0000-0000-0000F3910000}"/>
    <cellStyle name="Note 2 2 5" xfId="37366" xr:uid="{00000000-0005-0000-0000-0000F4910000}"/>
    <cellStyle name="Note 2 2 5 2" xfId="37367" xr:uid="{00000000-0005-0000-0000-0000F5910000}"/>
    <cellStyle name="Note 2 2 5 2 2" xfId="37368" xr:uid="{00000000-0005-0000-0000-0000F6910000}"/>
    <cellStyle name="Note 2 2 5 2 3" xfId="37369" xr:uid="{00000000-0005-0000-0000-0000F7910000}"/>
    <cellStyle name="Note 2 2 5 2 4" xfId="37370" xr:uid="{00000000-0005-0000-0000-0000F8910000}"/>
    <cellStyle name="Note 2 2 5 2 5" xfId="37371" xr:uid="{00000000-0005-0000-0000-0000F9910000}"/>
    <cellStyle name="Note 2 2 5 2 6" xfId="37372" xr:uid="{00000000-0005-0000-0000-0000FA910000}"/>
    <cellStyle name="Note 2 2 5 3" xfId="37373" xr:uid="{00000000-0005-0000-0000-0000FB910000}"/>
    <cellStyle name="Note 2 2 5 3 2" xfId="37374" xr:uid="{00000000-0005-0000-0000-0000FC910000}"/>
    <cellStyle name="Note 2 2 5 3 3" xfId="37375" xr:uid="{00000000-0005-0000-0000-0000FD910000}"/>
    <cellStyle name="Note 2 2 5 3 4" xfId="37376" xr:uid="{00000000-0005-0000-0000-0000FE910000}"/>
    <cellStyle name="Note 2 2 5 3 5" xfId="37377" xr:uid="{00000000-0005-0000-0000-0000FF910000}"/>
    <cellStyle name="Note 2 2 5 3 6" xfId="37378" xr:uid="{00000000-0005-0000-0000-000000920000}"/>
    <cellStyle name="Note 2 2 5 4" xfId="37379" xr:uid="{00000000-0005-0000-0000-000001920000}"/>
    <cellStyle name="Note 2 2 5 5" xfId="37380" xr:uid="{00000000-0005-0000-0000-000002920000}"/>
    <cellStyle name="Note 2 2 5 6" xfId="37381" xr:uid="{00000000-0005-0000-0000-000003920000}"/>
    <cellStyle name="Note 2 2 5 7" xfId="37382" xr:uid="{00000000-0005-0000-0000-000004920000}"/>
    <cellStyle name="Note 2 2 5 8" xfId="37383" xr:uid="{00000000-0005-0000-0000-000005920000}"/>
    <cellStyle name="Note 2 2 6" xfId="37384" xr:uid="{00000000-0005-0000-0000-000006920000}"/>
    <cellStyle name="Note 2 2 6 2" xfId="37385" xr:uid="{00000000-0005-0000-0000-000007920000}"/>
    <cellStyle name="Note 2 2 6 2 2" xfId="37386" xr:uid="{00000000-0005-0000-0000-000008920000}"/>
    <cellStyle name="Note 2 2 6 2 3" xfId="37387" xr:uid="{00000000-0005-0000-0000-000009920000}"/>
    <cellStyle name="Note 2 2 6 2 4" xfId="37388" xr:uid="{00000000-0005-0000-0000-00000A920000}"/>
    <cellStyle name="Note 2 2 6 2 5" xfId="37389" xr:uid="{00000000-0005-0000-0000-00000B920000}"/>
    <cellStyle name="Note 2 2 6 2 6" xfId="37390" xr:uid="{00000000-0005-0000-0000-00000C920000}"/>
    <cellStyle name="Note 2 2 6 3" xfId="37391" xr:uid="{00000000-0005-0000-0000-00000D920000}"/>
    <cellStyle name="Note 2 2 6 4" xfId="37392" xr:uid="{00000000-0005-0000-0000-00000E920000}"/>
    <cellStyle name="Note 2 2 6 5" xfId="37393" xr:uid="{00000000-0005-0000-0000-00000F920000}"/>
    <cellStyle name="Note 2 2 6 6" xfId="37394" xr:uid="{00000000-0005-0000-0000-000010920000}"/>
    <cellStyle name="Note 2 2 6 7" xfId="37395" xr:uid="{00000000-0005-0000-0000-000011920000}"/>
    <cellStyle name="Note 2 2 7" xfId="37396" xr:uid="{00000000-0005-0000-0000-000012920000}"/>
    <cellStyle name="Note 2 2 7 2" xfId="37397" xr:uid="{00000000-0005-0000-0000-000013920000}"/>
    <cellStyle name="Note 2 2 7 2 2" xfId="37398" xr:uid="{00000000-0005-0000-0000-000014920000}"/>
    <cellStyle name="Note 2 2 7 2 3" xfId="37399" xr:uid="{00000000-0005-0000-0000-000015920000}"/>
    <cellStyle name="Note 2 2 7 2 4" xfId="37400" xr:uid="{00000000-0005-0000-0000-000016920000}"/>
    <cellStyle name="Note 2 2 7 2 5" xfId="37401" xr:uid="{00000000-0005-0000-0000-000017920000}"/>
    <cellStyle name="Note 2 2 7 2 6" xfId="37402" xr:uid="{00000000-0005-0000-0000-000018920000}"/>
    <cellStyle name="Note 2 2 7 3" xfId="37403" xr:uid="{00000000-0005-0000-0000-000019920000}"/>
    <cellStyle name="Note 2 2 7 4" xfId="37404" xr:uid="{00000000-0005-0000-0000-00001A920000}"/>
    <cellStyle name="Note 2 2 7 5" xfId="37405" xr:uid="{00000000-0005-0000-0000-00001B920000}"/>
    <cellStyle name="Note 2 2 7 6" xfId="37406" xr:uid="{00000000-0005-0000-0000-00001C920000}"/>
    <cellStyle name="Note 2 2 7 7" xfId="37407" xr:uid="{00000000-0005-0000-0000-00001D920000}"/>
    <cellStyle name="Note 2 2 8" xfId="37408" xr:uid="{00000000-0005-0000-0000-00001E920000}"/>
    <cellStyle name="Note 2 2 8 2" xfId="37409" xr:uid="{00000000-0005-0000-0000-00001F920000}"/>
    <cellStyle name="Note 2 2 8 2 2" xfId="37410" xr:uid="{00000000-0005-0000-0000-000020920000}"/>
    <cellStyle name="Note 2 2 8 2 3" xfId="37411" xr:uid="{00000000-0005-0000-0000-000021920000}"/>
    <cellStyle name="Note 2 2 8 2 4" xfId="37412" xr:uid="{00000000-0005-0000-0000-000022920000}"/>
    <cellStyle name="Note 2 2 8 2 5" xfId="37413" xr:uid="{00000000-0005-0000-0000-000023920000}"/>
    <cellStyle name="Note 2 2 8 2 6" xfId="37414" xr:uid="{00000000-0005-0000-0000-000024920000}"/>
    <cellStyle name="Note 2 2 8 3" xfId="37415" xr:uid="{00000000-0005-0000-0000-000025920000}"/>
    <cellStyle name="Note 2 2 8 4" xfId="37416" xr:uid="{00000000-0005-0000-0000-000026920000}"/>
    <cellStyle name="Note 2 2 8 5" xfId="37417" xr:uid="{00000000-0005-0000-0000-000027920000}"/>
    <cellStyle name="Note 2 2 8 6" xfId="37418" xr:uid="{00000000-0005-0000-0000-000028920000}"/>
    <cellStyle name="Note 2 2 8 7" xfId="37419" xr:uid="{00000000-0005-0000-0000-000029920000}"/>
    <cellStyle name="Note 2 2 9" xfId="37420" xr:uid="{00000000-0005-0000-0000-00002A920000}"/>
    <cellStyle name="Note 2 2 9 2" xfId="37421" xr:uid="{00000000-0005-0000-0000-00002B920000}"/>
    <cellStyle name="Note 2 2 9 2 2" xfId="37422" xr:uid="{00000000-0005-0000-0000-00002C920000}"/>
    <cellStyle name="Note 2 2 9 2 3" xfId="37423" xr:uid="{00000000-0005-0000-0000-00002D920000}"/>
    <cellStyle name="Note 2 2 9 2 4" xfId="37424" xr:uid="{00000000-0005-0000-0000-00002E920000}"/>
    <cellStyle name="Note 2 2 9 2 5" xfId="37425" xr:uid="{00000000-0005-0000-0000-00002F920000}"/>
    <cellStyle name="Note 2 2 9 2 6" xfId="37426" xr:uid="{00000000-0005-0000-0000-000030920000}"/>
    <cellStyle name="Note 2 2 9 3" xfId="37427" xr:uid="{00000000-0005-0000-0000-000031920000}"/>
    <cellStyle name="Note 2 2 9 4" xfId="37428" xr:uid="{00000000-0005-0000-0000-000032920000}"/>
    <cellStyle name="Note 2 2 9 5" xfId="37429" xr:uid="{00000000-0005-0000-0000-000033920000}"/>
    <cellStyle name="Note 2 2 9 6" xfId="37430" xr:uid="{00000000-0005-0000-0000-000034920000}"/>
    <cellStyle name="Note 2 2 9 7" xfId="37431" xr:uid="{00000000-0005-0000-0000-000035920000}"/>
    <cellStyle name="Note 2 3" xfId="37432" xr:uid="{00000000-0005-0000-0000-000036920000}"/>
    <cellStyle name="Note 2 3 10" xfId="37433" xr:uid="{00000000-0005-0000-0000-000037920000}"/>
    <cellStyle name="Note 2 3 10 2" xfId="37434" xr:uid="{00000000-0005-0000-0000-000038920000}"/>
    <cellStyle name="Note 2 3 10 2 2" xfId="37435" xr:uid="{00000000-0005-0000-0000-000039920000}"/>
    <cellStyle name="Note 2 3 10 2 3" xfId="37436" xr:uid="{00000000-0005-0000-0000-00003A920000}"/>
    <cellStyle name="Note 2 3 10 2 4" xfId="37437" xr:uid="{00000000-0005-0000-0000-00003B920000}"/>
    <cellStyle name="Note 2 3 10 2 5" xfId="37438" xr:uid="{00000000-0005-0000-0000-00003C920000}"/>
    <cellStyle name="Note 2 3 10 2 6" xfId="37439" xr:uid="{00000000-0005-0000-0000-00003D920000}"/>
    <cellStyle name="Note 2 3 10 3" xfId="37440" xr:uid="{00000000-0005-0000-0000-00003E920000}"/>
    <cellStyle name="Note 2 3 10 4" xfId="37441" xr:uid="{00000000-0005-0000-0000-00003F920000}"/>
    <cellStyle name="Note 2 3 10 5" xfId="37442" xr:uid="{00000000-0005-0000-0000-000040920000}"/>
    <cellStyle name="Note 2 3 10 6" xfId="37443" xr:uid="{00000000-0005-0000-0000-000041920000}"/>
    <cellStyle name="Note 2 3 10 7" xfId="37444" xr:uid="{00000000-0005-0000-0000-000042920000}"/>
    <cellStyle name="Note 2 3 11" xfId="37445" xr:uid="{00000000-0005-0000-0000-000043920000}"/>
    <cellStyle name="Note 2 3 11 2" xfId="37446" xr:uid="{00000000-0005-0000-0000-000044920000}"/>
    <cellStyle name="Note 2 3 11 2 2" xfId="37447" xr:uid="{00000000-0005-0000-0000-000045920000}"/>
    <cellStyle name="Note 2 3 11 2 3" xfId="37448" xr:uid="{00000000-0005-0000-0000-000046920000}"/>
    <cellStyle name="Note 2 3 11 2 4" xfId="37449" xr:uid="{00000000-0005-0000-0000-000047920000}"/>
    <cellStyle name="Note 2 3 11 2 5" xfId="37450" xr:uid="{00000000-0005-0000-0000-000048920000}"/>
    <cellStyle name="Note 2 3 11 2 6" xfId="37451" xr:uid="{00000000-0005-0000-0000-000049920000}"/>
    <cellStyle name="Note 2 3 11 3" xfId="37452" xr:uid="{00000000-0005-0000-0000-00004A920000}"/>
    <cellStyle name="Note 2 3 11 4" xfId="37453" xr:uid="{00000000-0005-0000-0000-00004B920000}"/>
    <cellStyle name="Note 2 3 11 5" xfId="37454" xr:uid="{00000000-0005-0000-0000-00004C920000}"/>
    <cellStyle name="Note 2 3 11 6" xfId="37455" xr:uid="{00000000-0005-0000-0000-00004D920000}"/>
    <cellStyle name="Note 2 3 11 7" xfId="37456" xr:uid="{00000000-0005-0000-0000-00004E920000}"/>
    <cellStyle name="Note 2 3 12" xfId="37457" xr:uid="{00000000-0005-0000-0000-00004F920000}"/>
    <cellStyle name="Note 2 3 12 2" xfId="37458" xr:uid="{00000000-0005-0000-0000-000050920000}"/>
    <cellStyle name="Note 2 3 12 2 2" xfId="37459" xr:uid="{00000000-0005-0000-0000-000051920000}"/>
    <cellStyle name="Note 2 3 12 2 3" xfId="37460" xr:uid="{00000000-0005-0000-0000-000052920000}"/>
    <cellStyle name="Note 2 3 12 2 4" xfId="37461" xr:uid="{00000000-0005-0000-0000-000053920000}"/>
    <cellStyle name="Note 2 3 12 2 5" xfId="37462" xr:uid="{00000000-0005-0000-0000-000054920000}"/>
    <cellStyle name="Note 2 3 12 2 6" xfId="37463" xr:uid="{00000000-0005-0000-0000-000055920000}"/>
    <cellStyle name="Note 2 3 12 3" xfId="37464" xr:uid="{00000000-0005-0000-0000-000056920000}"/>
    <cellStyle name="Note 2 3 12 4" xfId="37465" xr:uid="{00000000-0005-0000-0000-000057920000}"/>
    <cellStyle name="Note 2 3 12 5" xfId="37466" xr:uid="{00000000-0005-0000-0000-000058920000}"/>
    <cellStyle name="Note 2 3 12 6" xfId="37467" xr:uid="{00000000-0005-0000-0000-000059920000}"/>
    <cellStyle name="Note 2 3 12 7" xfId="37468" xr:uid="{00000000-0005-0000-0000-00005A920000}"/>
    <cellStyle name="Note 2 3 13" xfId="37469" xr:uid="{00000000-0005-0000-0000-00005B920000}"/>
    <cellStyle name="Note 2 3 13 2" xfId="37470" xr:uid="{00000000-0005-0000-0000-00005C920000}"/>
    <cellStyle name="Note 2 3 13 2 2" xfId="37471" xr:uid="{00000000-0005-0000-0000-00005D920000}"/>
    <cellStyle name="Note 2 3 13 2 3" xfId="37472" xr:uid="{00000000-0005-0000-0000-00005E920000}"/>
    <cellStyle name="Note 2 3 13 2 4" xfId="37473" xr:uid="{00000000-0005-0000-0000-00005F920000}"/>
    <cellStyle name="Note 2 3 13 2 5" xfId="37474" xr:uid="{00000000-0005-0000-0000-000060920000}"/>
    <cellStyle name="Note 2 3 13 2 6" xfId="37475" xr:uid="{00000000-0005-0000-0000-000061920000}"/>
    <cellStyle name="Note 2 3 13 3" xfId="37476" xr:uid="{00000000-0005-0000-0000-000062920000}"/>
    <cellStyle name="Note 2 3 13 4" xfId="37477" xr:uid="{00000000-0005-0000-0000-000063920000}"/>
    <cellStyle name="Note 2 3 13 5" xfId="37478" xr:uid="{00000000-0005-0000-0000-000064920000}"/>
    <cellStyle name="Note 2 3 13 6" xfId="37479" xr:uid="{00000000-0005-0000-0000-000065920000}"/>
    <cellStyle name="Note 2 3 13 7" xfId="37480" xr:uid="{00000000-0005-0000-0000-000066920000}"/>
    <cellStyle name="Note 2 3 14" xfId="37481" xr:uid="{00000000-0005-0000-0000-000067920000}"/>
    <cellStyle name="Note 2 3 14 2" xfId="37482" xr:uid="{00000000-0005-0000-0000-000068920000}"/>
    <cellStyle name="Note 2 3 14 2 2" xfId="37483" xr:uid="{00000000-0005-0000-0000-000069920000}"/>
    <cellStyle name="Note 2 3 14 2 3" xfId="37484" xr:uid="{00000000-0005-0000-0000-00006A920000}"/>
    <cellStyle name="Note 2 3 14 2 4" xfId="37485" xr:uid="{00000000-0005-0000-0000-00006B920000}"/>
    <cellStyle name="Note 2 3 14 2 5" xfId="37486" xr:uid="{00000000-0005-0000-0000-00006C920000}"/>
    <cellStyle name="Note 2 3 14 2 6" xfId="37487" xr:uid="{00000000-0005-0000-0000-00006D920000}"/>
    <cellStyle name="Note 2 3 14 3" xfId="37488" xr:uid="{00000000-0005-0000-0000-00006E920000}"/>
    <cellStyle name="Note 2 3 14 4" xfId="37489" xr:uid="{00000000-0005-0000-0000-00006F920000}"/>
    <cellStyle name="Note 2 3 14 5" xfId="37490" xr:uid="{00000000-0005-0000-0000-000070920000}"/>
    <cellStyle name="Note 2 3 14 6" xfId="37491" xr:uid="{00000000-0005-0000-0000-000071920000}"/>
    <cellStyle name="Note 2 3 14 7" xfId="37492" xr:uid="{00000000-0005-0000-0000-000072920000}"/>
    <cellStyle name="Note 2 3 15" xfId="37493" xr:uid="{00000000-0005-0000-0000-000073920000}"/>
    <cellStyle name="Note 2 3 15 2" xfId="37494" xr:uid="{00000000-0005-0000-0000-000074920000}"/>
    <cellStyle name="Note 2 3 15 2 2" xfId="37495" xr:uid="{00000000-0005-0000-0000-000075920000}"/>
    <cellStyle name="Note 2 3 15 2 3" xfId="37496" xr:uid="{00000000-0005-0000-0000-000076920000}"/>
    <cellStyle name="Note 2 3 15 2 4" xfId="37497" xr:uid="{00000000-0005-0000-0000-000077920000}"/>
    <cellStyle name="Note 2 3 15 2 5" xfId="37498" xr:uid="{00000000-0005-0000-0000-000078920000}"/>
    <cellStyle name="Note 2 3 15 2 6" xfId="37499" xr:uid="{00000000-0005-0000-0000-000079920000}"/>
    <cellStyle name="Note 2 3 15 3" xfId="37500" xr:uid="{00000000-0005-0000-0000-00007A920000}"/>
    <cellStyle name="Note 2 3 15 4" xfId="37501" xr:uid="{00000000-0005-0000-0000-00007B920000}"/>
    <cellStyle name="Note 2 3 15 5" xfId="37502" xr:uid="{00000000-0005-0000-0000-00007C920000}"/>
    <cellStyle name="Note 2 3 15 6" xfId="37503" xr:uid="{00000000-0005-0000-0000-00007D920000}"/>
    <cellStyle name="Note 2 3 15 7" xfId="37504" xr:uid="{00000000-0005-0000-0000-00007E920000}"/>
    <cellStyle name="Note 2 3 16" xfId="37505" xr:uid="{00000000-0005-0000-0000-00007F920000}"/>
    <cellStyle name="Note 2 3 16 2" xfId="37506" xr:uid="{00000000-0005-0000-0000-000080920000}"/>
    <cellStyle name="Note 2 3 16 2 2" xfId="37507" xr:uid="{00000000-0005-0000-0000-000081920000}"/>
    <cellStyle name="Note 2 3 16 2 3" xfId="37508" xr:uid="{00000000-0005-0000-0000-000082920000}"/>
    <cellStyle name="Note 2 3 16 2 4" xfId="37509" xr:uid="{00000000-0005-0000-0000-000083920000}"/>
    <cellStyle name="Note 2 3 16 2 5" xfId="37510" xr:uid="{00000000-0005-0000-0000-000084920000}"/>
    <cellStyle name="Note 2 3 16 2 6" xfId="37511" xr:uid="{00000000-0005-0000-0000-000085920000}"/>
    <cellStyle name="Note 2 3 16 3" xfId="37512" xr:uid="{00000000-0005-0000-0000-000086920000}"/>
    <cellStyle name="Note 2 3 16 4" xfId="37513" xr:uid="{00000000-0005-0000-0000-000087920000}"/>
    <cellStyle name="Note 2 3 16 5" xfId="37514" xr:uid="{00000000-0005-0000-0000-000088920000}"/>
    <cellStyle name="Note 2 3 16 6" xfId="37515" xr:uid="{00000000-0005-0000-0000-000089920000}"/>
    <cellStyle name="Note 2 3 16 7" xfId="37516" xr:uid="{00000000-0005-0000-0000-00008A920000}"/>
    <cellStyle name="Note 2 3 17" xfId="37517" xr:uid="{00000000-0005-0000-0000-00008B920000}"/>
    <cellStyle name="Note 2 3 17 2" xfId="37518" xr:uid="{00000000-0005-0000-0000-00008C920000}"/>
    <cellStyle name="Note 2 3 17 2 2" xfId="37519" xr:uid="{00000000-0005-0000-0000-00008D920000}"/>
    <cellStyle name="Note 2 3 17 2 3" xfId="37520" xr:uid="{00000000-0005-0000-0000-00008E920000}"/>
    <cellStyle name="Note 2 3 17 2 4" xfId="37521" xr:uid="{00000000-0005-0000-0000-00008F920000}"/>
    <cellStyle name="Note 2 3 17 2 5" xfId="37522" xr:uid="{00000000-0005-0000-0000-000090920000}"/>
    <cellStyle name="Note 2 3 17 2 6" xfId="37523" xr:uid="{00000000-0005-0000-0000-000091920000}"/>
    <cellStyle name="Note 2 3 17 3" xfId="37524" xr:uid="{00000000-0005-0000-0000-000092920000}"/>
    <cellStyle name="Note 2 3 17 4" xfId="37525" xr:uid="{00000000-0005-0000-0000-000093920000}"/>
    <cellStyle name="Note 2 3 17 5" xfId="37526" xr:uid="{00000000-0005-0000-0000-000094920000}"/>
    <cellStyle name="Note 2 3 17 6" xfId="37527" xr:uid="{00000000-0005-0000-0000-000095920000}"/>
    <cellStyle name="Note 2 3 17 7" xfId="37528" xr:uid="{00000000-0005-0000-0000-000096920000}"/>
    <cellStyle name="Note 2 3 18" xfId="37529" xr:uid="{00000000-0005-0000-0000-000097920000}"/>
    <cellStyle name="Note 2 3 18 2" xfId="37530" xr:uid="{00000000-0005-0000-0000-000098920000}"/>
    <cellStyle name="Note 2 3 18 2 2" xfId="37531" xr:uid="{00000000-0005-0000-0000-000099920000}"/>
    <cellStyle name="Note 2 3 18 2 3" xfId="37532" xr:uid="{00000000-0005-0000-0000-00009A920000}"/>
    <cellStyle name="Note 2 3 18 2 4" xfId="37533" xr:uid="{00000000-0005-0000-0000-00009B920000}"/>
    <cellStyle name="Note 2 3 18 2 5" xfId="37534" xr:uid="{00000000-0005-0000-0000-00009C920000}"/>
    <cellStyle name="Note 2 3 18 2 6" xfId="37535" xr:uid="{00000000-0005-0000-0000-00009D920000}"/>
    <cellStyle name="Note 2 3 18 3" xfId="37536" xr:uid="{00000000-0005-0000-0000-00009E920000}"/>
    <cellStyle name="Note 2 3 18 4" xfId="37537" xr:uid="{00000000-0005-0000-0000-00009F920000}"/>
    <cellStyle name="Note 2 3 18 5" xfId="37538" xr:uid="{00000000-0005-0000-0000-0000A0920000}"/>
    <cellStyle name="Note 2 3 18 6" xfId="37539" xr:uid="{00000000-0005-0000-0000-0000A1920000}"/>
    <cellStyle name="Note 2 3 18 7" xfId="37540" xr:uid="{00000000-0005-0000-0000-0000A2920000}"/>
    <cellStyle name="Note 2 3 19" xfId="37541" xr:uid="{00000000-0005-0000-0000-0000A3920000}"/>
    <cellStyle name="Note 2 3 19 2" xfId="37542" xr:uid="{00000000-0005-0000-0000-0000A4920000}"/>
    <cellStyle name="Note 2 3 19 2 2" xfId="37543" xr:uid="{00000000-0005-0000-0000-0000A5920000}"/>
    <cellStyle name="Note 2 3 19 2 3" xfId="37544" xr:uid="{00000000-0005-0000-0000-0000A6920000}"/>
    <cellStyle name="Note 2 3 19 2 4" xfId="37545" xr:uid="{00000000-0005-0000-0000-0000A7920000}"/>
    <cellStyle name="Note 2 3 19 2 5" xfId="37546" xr:uid="{00000000-0005-0000-0000-0000A8920000}"/>
    <cellStyle name="Note 2 3 19 2 6" xfId="37547" xr:uid="{00000000-0005-0000-0000-0000A9920000}"/>
    <cellStyle name="Note 2 3 19 3" xfId="37548" xr:uid="{00000000-0005-0000-0000-0000AA920000}"/>
    <cellStyle name="Note 2 3 19 4" xfId="37549" xr:uid="{00000000-0005-0000-0000-0000AB920000}"/>
    <cellStyle name="Note 2 3 19 5" xfId="37550" xr:uid="{00000000-0005-0000-0000-0000AC920000}"/>
    <cellStyle name="Note 2 3 19 6" xfId="37551" xr:uid="{00000000-0005-0000-0000-0000AD920000}"/>
    <cellStyle name="Note 2 3 19 7" xfId="37552" xr:uid="{00000000-0005-0000-0000-0000AE920000}"/>
    <cellStyle name="Note 2 3 2" xfId="37553" xr:uid="{00000000-0005-0000-0000-0000AF920000}"/>
    <cellStyle name="Note 2 3 2 2" xfId="37554" xr:uid="{00000000-0005-0000-0000-0000B0920000}"/>
    <cellStyle name="Note 2 3 2 2 2" xfId="37555" xr:uid="{00000000-0005-0000-0000-0000B1920000}"/>
    <cellStyle name="Note 2 3 2 2 3" xfId="37556" xr:uid="{00000000-0005-0000-0000-0000B2920000}"/>
    <cellStyle name="Note 2 3 2 2 3 2" xfId="37557" xr:uid="{00000000-0005-0000-0000-0000B3920000}"/>
    <cellStyle name="Note 2 3 2 2 3 3" xfId="37558" xr:uid="{00000000-0005-0000-0000-0000B4920000}"/>
    <cellStyle name="Note 2 3 2 2 3 4" xfId="37559" xr:uid="{00000000-0005-0000-0000-0000B5920000}"/>
    <cellStyle name="Note 2 3 2 2 3 5" xfId="37560" xr:uid="{00000000-0005-0000-0000-0000B6920000}"/>
    <cellStyle name="Note 2 3 2 2 3 6" xfId="37561" xr:uid="{00000000-0005-0000-0000-0000B7920000}"/>
    <cellStyle name="Note 2 3 2 3" xfId="37562" xr:uid="{00000000-0005-0000-0000-0000B8920000}"/>
    <cellStyle name="Note 2 3 2 4" xfId="37563" xr:uid="{00000000-0005-0000-0000-0000B9920000}"/>
    <cellStyle name="Note 2 3 2 4 2" xfId="37564" xr:uid="{00000000-0005-0000-0000-0000BA920000}"/>
    <cellStyle name="Note 2 3 2 4 3" xfId="37565" xr:uid="{00000000-0005-0000-0000-0000BB920000}"/>
    <cellStyle name="Note 2 3 2 4 4" xfId="37566" xr:uid="{00000000-0005-0000-0000-0000BC920000}"/>
    <cellStyle name="Note 2 3 2 4 5" xfId="37567" xr:uid="{00000000-0005-0000-0000-0000BD920000}"/>
    <cellStyle name="Note 2 3 2 4 6" xfId="37568" xr:uid="{00000000-0005-0000-0000-0000BE920000}"/>
    <cellStyle name="Note 2 3 20" xfId="37569" xr:uid="{00000000-0005-0000-0000-0000BF920000}"/>
    <cellStyle name="Note 2 3 20 2" xfId="37570" xr:uid="{00000000-0005-0000-0000-0000C0920000}"/>
    <cellStyle name="Note 2 3 20 2 2" xfId="37571" xr:uid="{00000000-0005-0000-0000-0000C1920000}"/>
    <cellStyle name="Note 2 3 20 2 3" xfId="37572" xr:uid="{00000000-0005-0000-0000-0000C2920000}"/>
    <cellStyle name="Note 2 3 20 2 4" xfId="37573" xr:uid="{00000000-0005-0000-0000-0000C3920000}"/>
    <cellStyle name="Note 2 3 20 2 5" xfId="37574" xr:uid="{00000000-0005-0000-0000-0000C4920000}"/>
    <cellStyle name="Note 2 3 20 2 6" xfId="37575" xr:uid="{00000000-0005-0000-0000-0000C5920000}"/>
    <cellStyle name="Note 2 3 20 3" xfId="37576" xr:uid="{00000000-0005-0000-0000-0000C6920000}"/>
    <cellStyle name="Note 2 3 20 4" xfId="37577" xr:uid="{00000000-0005-0000-0000-0000C7920000}"/>
    <cellStyle name="Note 2 3 20 5" xfId="37578" xr:uid="{00000000-0005-0000-0000-0000C8920000}"/>
    <cellStyle name="Note 2 3 20 6" xfId="37579" xr:uid="{00000000-0005-0000-0000-0000C9920000}"/>
    <cellStyle name="Note 2 3 20 7" xfId="37580" xr:uid="{00000000-0005-0000-0000-0000CA920000}"/>
    <cellStyle name="Note 2 3 21" xfId="37581" xr:uid="{00000000-0005-0000-0000-0000CB920000}"/>
    <cellStyle name="Note 2 3 21 2" xfId="37582" xr:uid="{00000000-0005-0000-0000-0000CC920000}"/>
    <cellStyle name="Note 2 3 21 2 2" xfId="37583" xr:uid="{00000000-0005-0000-0000-0000CD920000}"/>
    <cellStyle name="Note 2 3 21 2 3" xfId="37584" xr:uid="{00000000-0005-0000-0000-0000CE920000}"/>
    <cellStyle name="Note 2 3 21 2 4" xfId="37585" xr:uid="{00000000-0005-0000-0000-0000CF920000}"/>
    <cellStyle name="Note 2 3 21 2 5" xfId="37586" xr:uid="{00000000-0005-0000-0000-0000D0920000}"/>
    <cellStyle name="Note 2 3 21 2 6" xfId="37587" xr:uid="{00000000-0005-0000-0000-0000D1920000}"/>
    <cellStyle name="Note 2 3 21 3" xfId="37588" xr:uid="{00000000-0005-0000-0000-0000D2920000}"/>
    <cellStyle name="Note 2 3 21 4" xfId="37589" xr:uid="{00000000-0005-0000-0000-0000D3920000}"/>
    <cellStyle name="Note 2 3 21 5" xfId="37590" xr:uid="{00000000-0005-0000-0000-0000D4920000}"/>
    <cellStyle name="Note 2 3 21 6" xfId="37591" xr:uid="{00000000-0005-0000-0000-0000D5920000}"/>
    <cellStyle name="Note 2 3 21 7" xfId="37592" xr:uid="{00000000-0005-0000-0000-0000D6920000}"/>
    <cellStyle name="Note 2 3 22" xfId="37593" xr:uid="{00000000-0005-0000-0000-0000D7920000}"/>
    <cellStyle name="Note 2 3 22 2" xfId="37594" xr:uid="{00000000-0005-0000-0000-0000D8920000}"/>
    <cellStyle name="Note 2 3 22 2 2" xfId="37595" xr:uid="{00000000-0005-0000-0000-0000D9920000}"/>
    <cellStyle name="Note 2 3 22 2 3" xfId="37596" xr:uid="{00000000-0005-0000-0000-0000DA920000}"/>
    <cellStyle name="Note 2 3 22 2 4" xfId="37597" xr:uid="{00000000-0005-0000-0000-0000DB920000}"/>
    <cellStyle name="Note 2 3 22 2 5" xfId="37598" xr:uid="{00000000-0005-0000-0000-0000DC920000}"/>
    <cellStyle name="Note 2 3 22 2 6" xfId="37599" xr:uid="{00000000-0005-0000-0000-0000DD920000}"/>
    <cellStyle name="Note 2 3 22 3" xfId="37600" xr:uid="{00000000-0005-0000-0000-0000DE920000}"/>
    <cellStyle name="Note 2 3 22 4" xfId="37601" xr:uid="{00000000-0005-0000-0000-0000DF920000}"/>
    <cellStyle name="Note 2 3 22 5" xfId="37602" xr:uid="{00000000-0005-0000-0000-0000E0920000}"/>
    <cellStyle name="Note 2 3 22 6" xfId="37603" xr:uid="{00000000-0005-0000-0000-0000E1920000}"/>
    <cellStyle name="Note 2 3 22 7" xfId="37604" xr:uid="{00000000-0005-0000-0000-0000E2920000}"/>
    <cellStyle name="Note 2 3 23" xfId="37605" xr:uid="{00000000-0005-0000-0000-0000E3920000}"/>
    <cellStyle name="Note 2 3 23 2" xfId="37606" xr:uid="{00000000-0005-0000-0000-0000E4920000}"/>
    <cellStyle name="Note 2 3 23 2 2" xfId="37607" xr:uid="{00000000-0005-0000-0000-0000E5920000}"/>
    <cellStyle name="Note 2 3 23 2 3" xfId="37608" xr:uid="{00000000-0005-0000-0000-0000E6920000}"/>
    <cellStyle name="Note 2 3 23 2 4" xfId="37609" xr:uid="{00000000-0005-0000-0000-0000E7920000}"/>
    <cellStyle name="Note 2 3 23 2 5" xfId="37610" xr:uid="{00000000-0005-0000-0000-0000E8920000}"/>
    <cellStyle name="Note 2 3 23 2 6" xfId="37611" xr:uid="{00000000-0005-0000-0000-0000E9920000}"/>
    <cellStyle name="Note 2 3 23 3" xfId="37612" xr:uid="{00000000-0005-0000-0000-0000EA920000}"/>
    <cellStyle name="Note 2 3 23 4" xfId="37613" xr:uid="{00000000-0005-0000-0000-0000EB920000}"/>
    <cellStyle name="Note 2 3 23 5" xfId="37614" xr:uid="{00000000-0005-0000-0000-0000EC920000}"/>
    <cellStyle name="Note 2 3 23 6" xfId="37615" xr:uid="{00000000-0005-0000-0000-0000ED920000}"/>
    <cellStyle name="Note 2 3 23 7" xfId="37616" xr:uid="{00000000-0005-0000-0000-0000EE920000}"/>
    <cellStyle name="Note 2 3 24" xfId="37617" xr:uid="{00000000-0005-0000-0000-0000EF920000}"/>
    <cellStyle name="Note 2 3 24 2" xfId="37618" xr:uid="{00000000-0005-0000-0000-0000F0920000}"/>
    <cellStyle name="Note 2 3 24 2 2" xfId="37619" xr:uid="{00000000-0005-0000-0000-0000F1920000}"/>
    <cellStyle name="Note 2 3 24 2 3" xfId="37620" xr:uid="{00000000-0005-0000-0000-0000F2920000}"/>
    <cellStyle name="Note 2 3 24 2 4" xfId="37621" xr:uid="{00000000-0005-0000-0000-0000F3920000}"/>
    <cellStyle name="Note 2 3 24 2 5" xfId="37622" xr:uid="{00000000-0005-0000-0000-0000F4920000}"/>
    <cellStyle name="Note 2 3 24 2 6" xfId="37623" xr:uid="{00000000-0005-0000-0000-0000F5920000}"/>
    <cellStyle name="Note 2 3 24 3" xfId="37624" xr:uid="{00000000-0005-0000-0000-0000F6920000}"/>
    <cellStyle name="Note 2 3 24 4" xfId="37625" xr:uid="{00000000-0005-0000-0000-0000F7920000}"/>
    <cellStyle name="Note 2 3 24 5" xfId="37626" xr:uid="{00000000-0005-0000-0000-0000F8920000}"/>
    <cellStyle name="Note 2 3 24 6" xfId="37627" xr:uid="{00000000-0005-0000-0000-0000F9920000}"/>
    <cellStyle name="Note 2 3 24 7" xfId="37628" xr:uid="{00000000-0005-0000-0000-0000FA920000}"/>
    <cellStyle name="Note 2 3 25" xfId="37629" xr:uid="{00000000-0005-0000-0000-0000FB920000}"/>
    <cellStyle name="Note 2 3 25 2" xfId="37630" xr:uid="{00000000-0005-0000-0000-0000FC920000}"/>
    <cellStyle name="Note 2 3 25 2 2" xfId="37631" xr:uid="{00000000-0005-0000-0000-0000FD920000}"/>
    <cellStyle name="Note 2 3 25 2 3" xfId="37632" xr:uid="{00000000-0005-0000-0000-0000FE920000}"/>
    <cellStyle name="Note 2 3 25 2 4" xfId="37633" xr:uid="{00000000-0005-0000-0000-0000FF920000}"/>
    <cellStyle name="Note 2 3 25 2 5" xfId="37634" xr:uid="{00000000-0005-0000-0000-000000930000}"/>
    <cellStyle name="Note 2 3 25 2 6" xfId="37635" xr:uid="{00000000-0005-0000-0000-000001930000}"/>
    <cellStyle name="Note 2 3 25 3" xfId="37636" xr:uid="{00000000-0005-0000-0000-000002930000}"/>
    <cellStyle name="Note 2 3 25 4" xfId="37637" xr:uid="{00000000-0005-0000-0000-000003930000}"/>
    <cellStyle name="Note 2 3 25 5" xfId="37638" xr:uid="{00000000-0005-0000-0000-000004930000}"/>
    <cellStyle name="Note 2 3 25 6" xfId="37639" xr:uid="{00000000-0005-0000-0000-000005930000}"/>
    <cellStyle name="Note 2 3 25 7" xfId="37640" xr:uid="{00000000-0005-0000-0000-000006930000}"/>
    <cellStyle name="Note 2 3 26" xfId="37641" xr:uid="{00000000-0005-0000-0000-000007930000}"/>
    <cellStyle name="Note 2 3 26 2" xfId="37642" xr:uid="{00000000-0005-0000-0000-000008930000}"/>
    <cellStyle name="Note 2 3 26 2 2" xfId="37643" xr:uid="{00000000-0005-0000-0000-000009930000}"/>
    <cellStyle name="Note 2 3 26 2 3" xfId="37644" xr:uid="{00000000-0005-0000-0000-00000A930000}"/>
    <cellStyle name="Note 2 3 26 2 4" xfId="37645" xr:uid="{00000000-0005-0000-0000-00000B930000}"/>
    <cellStyle name="Note 2 3 26 2 5" xfId="37646" xr:uid="{00000000-0005-0000-0000-00000C930000}"/>
    <cellStyle name="Note 2 3 26 2 6" xfId="37647" xr:uid="{00000000-0005-0000-0000-00000D930000}"/>
    <cellStyle name="Note 2 3 26 3" xfId="37648" xr:uid="{00000000-0005-0000-0000-00000E930000}"/>
    <cellStyle name="Note 2 3 26 4" xfId="37649" xr:uid="{00000000-0005-0000-0000-00000F930000}"/>
    <cellStyle name="Note 2 3 26 5" xfId="37650" xr:uid="{00000000-0005-0000-0000-000010930000}"/>
    <cellStyle name="Note 2 3 26 6" xfId="37651" xr:uid="{00000000-0005-0000-0000-000011930000}"/>
    <cellStyle name="Note 2 3 26 7" xfId="37652" xr:uid="{00000000-0005-0000-0000-000012930000}"/>
    <cellStyle name="Note 2 3 27" xfId="37653" xr:uid="{00000000-0005-0000-0000-000013930000}"/>
    <cellStyle name="Note 2 3 27 2" xfId="37654" xr:uid="{00000000-0005-0000-0000-000014930000}"/>
    <cellStyle name="Note 2 3 27 2 2" xfId="37655" xr:uid="{00000000-0005-0000-0000-000015930000}"/>
    <cellStyle name="Note 2 3 27 2 3" xfId="37656" xr:uid="{00000000-0005-0000-0000-000016930000}"/>
    <cellStyle name="Note 2 3 27 2 4" xfId="37657" xr:uid="{00000000-0005-0000-0000-000017930000}"/>
    <cellStyle name="Note 2 3 27 2 5" xfId="37658" xr:uid="{00000000-0005-0000-0000-000018930000}"/>
    <cellStyle name="Note 2 3 27 2 6" xfId="37659" xr:uid="{00000000-0005-0000-0000-000019930000}"/>
    <cellStyle name="Note 2 3 27 3" xfId="37660" xr:uid="{00000000-0005-0000-0000-00001A930000}"/>
    <cellStyle name="Note 2 3 27 4" xfId="37661" xr:uid="{00000000-0005-0000-0000-00001B930000}"/>
    <cellStyle name="Note 2 3 27 5" xfId="37662" xr:uid="{00000000-0005-0000-0000-00001C930000}"/>
    <cellStyle name="Note 2 3 27 6" xfId="37663" xr:uid="{00000000-0005-0000-0000-00001D930000}"/>
    <cellStyle name="Note 2 3 27 7" xfId="37664" xr:uid="{00000000-0005-0000-0000-00001E930000}"/>
    <cellStyle name="Note 2 3 28" xfId="37665" xr:uid="{00000000-0005-0000-0000-00001F930000}"/>
    <cellStyle name="Note 2 3 28 2" xfId="37666" xr:uid="{00000000-0005-0000-0000-000020930000}"/>
    <cellStyle name="Note 2 3 28 2 2" xfId="37667" xr:uid="{00000000-0005-0000-0000-000021930000}"/>
    <cellStyle name="Note 2 3 28 2 3" xfId="37668" xr:uid="{00000000-0005-0000-0000-000022930000}"/>
    <cellStyle name="Note 2 3 28 2 4" xfId="37669" xr:uid="{00000000-0005-0000-0000-000023930000}"/>
    <cellStyle name="Note 2 3 28 2 5" xfId="37670" xr:uid="{00000000-0005-0000-0000-000024930000}"/>
    <cellStyle name="Note 2 3 28 2 6" xfId="37671" xr:uid="{00000000-0005-0000-0000-000025930000}"/>
    <cellStyle name="Note 2 3 28 3" xfId="37672" xr:uid="{00000000-0005-0000-0000-000026930000}"/>
    <cellStyle name="Note 2 3 28 4" xfId="37673" xr:uid="{00000000-0005-0000-0000-000027930000}"/>
    <cellStyle name="Note 2 3 28 5" xfId="37674" xr:uid="{00000000-0005-0000-0000-000028930000}"/>
    <cellStyle name="Note 2 3 28 6" xfId="37675" xr:uid="{00000000-0005-0000-0000-000029930000}"/>
    <cellStyle name="Note 2 3 28 7" xfId="37676" xr:uid="{00000000-0005-0000-0000-00002A930000}"/>
    <cellStyle name="Note 2 3 29" xfId="37677" xr:uid="{00000000-0005-0000-0000-00002B930000}"/>
    <cellStyle name="Note 2 3 29 2" xfId="37678" xr:uid="{00000000-0005-0000-0000-00002C930000}"/>
    <cellStyle name="Note 2 3 29 2 2" xfId="37679" xr:uid="{00000000-0005-0000-0000-00002D930000}"/>
    <cellStyle name="Note 2 3 29 2 3" xfId="37680" xr:uid="{00000000-0005-0000-0000-00002E930000}"/>
    <cellStyle name="Note 2 3 29 2 4" xfId="37681" xr:uid="{00000000-0005-0000-0000-00002F930000}"/>
    <cellStyle name="Note 2 3 29 2 5" xfId="37682" xr:uid="{00000000-0005-0000-0000-000030930000}"/>
    <cellStyle name="Note 2 3 29 2 6" xfId="37683" xr:uid="{00000000-0005-0000-0000-000031930000}"/>
    <cellStyle name="Note 2 3 29 3" xfId="37684" xr:uid="{00000000-0005-0000-0000-000032930000}"/>
    <cellStyle name="Note 2 3 29 4" xfId="37685" xr:uid="{00000000-0005-0000-0000-000033930000}"/>
    <cellStyle name="Note 2 3 29 5" xfId="37686" xr:uid="{00000000-0005-0000-0000-000034930000}"/>
    <cellStyle name="Note 2 3 29 6" xfId="37687" xr:uid="{00000000-0005-0000-0000-000035930000}"/>
    <cellStyle name="Note 2 3 29 7" xfId="37688" xr:uid="{00000000-0005-0000-0000-000036930000}"/>
    <cellStyle name="Note 2 3 3" xfId="37689" xr:uid="{00000000-0005-0000-0000-000037930000}"/>
    <cellStyle name="Note 2 3 3 2" xfId="37690" xr:uid="{00000000-0005-0000-0000-000038930000}"/>
    <cellStyle name="Note 2 3 3 2 2" xfId="37691" xr:uid="{00000000-0005-0000-0000-000039930000}"/>
    <cellStyle name="Note 2 3 3 2 2 2" xfId="37692" xr:uid="{00000000-0005-0000-0000-00003A930000}"/>
    <cellStyle name="Note 2 3 3 2 2 3" xfId="37693" xr:uid="{00000000-0005-0000-0000-00003B930000}"/>
    <cellStyle name="Note 2 3 3 2 2 4" xfId="37694" xr:uid="{00000000-0005-0000-0000-00003C930000}"/>
    <cellStyle name="Note 2 3 3 2 2 5" xfId="37695" xr:uid="{00000000-0005-0000-0000-00003D930000}"/>
    <cellStyle name="Note 2 3 3 2 2 6" xfId="37696" xr:uid="{00000000-0005-0000-0000-00003E930000}"/>
    <cellStyle name="Note 2 3 3 3" xfId="37697" xr:uid="{00000000-0005-0000-0000-00003F930000}"/>
    <cellStyle name="Note 2 3 3 3 2" xfId="37698" xr:uid="{00000000-0005-0000-0000-000040930000}"/>
    <cellStyle name="Note 2 3 3 3 3" xfId="37699" xr:uid="{00000000-0005-0000-0000-000041930000}"/>
    <cellStyle name="Note 2 3 3 3 4" xfId="37700" xr:uid="{00000000-0005-0000-0000-000042930000}"/>
    <cellStyle name="Note 2 3 3 3 5" xfId="37701" xr:uid="{00000000-0005-0000-0000-000043930000}"/>
    <cellStyle name="Note 2 3 3 3 6" xfId="37702" xr:uid="{00000000-0005-0000-0000-000044930000}"/>
    <cellStyle name="Note 2 3 30" xfId="37703" xr:uid="{00000000-0005-0000-0000-000045930000}"/>
    <cellStyle name="Note 2 3 30 2" xfId="37704" xr:uid="{00000000-0005-0000-0000-000046930000}"/>
    <cellStyle name="Note 2 3 30 2 2" xfId="37705" xr:uid="{00000000-0005-0000-0000-000047930000}"/>
    <cellStyle name="Note 2 3 30 2 3" xfId="37706" xr:uid="{00000000-0005-0000-0000-000048930000}"/>
    <cellStyle name="Note 2 3 30 2 4" xfId="37707" xr:uid="{00000000-0005-0000-0000-000049930000}"/>
    <cellStyle name="Note 2 3 30 2 5" xfId="37708" xr:uid="{00000000-0005-0000-0000-00004A930000}"/>
    <cellStyle name="Note 2 3 30 2 6" xfId="37709" xr:uid="{00000000-0005-0000-0000-00004B930000}"/>
    <cellStyle name="Note 2 3 30 3" xfId="37710" xr:uid="{00000000-0005-0000-0000-00004C930000}"/>
    <cellStyle name="Note 2 3 30 4" xfId="37711" xr:uid="{00000000-0005-0000-0000-00004D930000}"/>
    <cellStyle name="Note 2 3 30 5" xfId="37712" xr:uid="{00000000-0005-0000-0000-00004E930000}"/>
    <cellStyle name="Note 2 3 30 6" xfId="37713" xr:uid="{00000000-0005-0000-0000-00004F930000}"/>
    <cellStyle name="Note 2 3 30 7" xfId="37714" xr:uid="{00000000-0005-0000-0000-000050930000}"/>
    <cellStyle name="Note 2 3 31" xfId="37715" xr:uid="{00000000-0005-0000-0000-000051930000}"/>
    <cellStyle name="Note 2 3 31 2" xfId="37716" xr:uid="{00000000-0005-0000-0000-000052930000}"/>
    <cellStyle name="Note 2 3 31 2 2" xfId="37717" xr:uid="{00000000-0005-0000-0000-000053930000}"/>
    <cellStyle name="Note 2 3 31 2 3" xfId="37718" xr:uid="{00000000-0005-0000-0000-000054930000}"/>
    <cellStyle name="Note 2 3 31 2 4" xfId="37719" xr:uid="{00000000-0005-0000-0000-000055930000}"/>
    <cellStyle name="Note 2 3 31 2 5" xfId="37720" xr:uid="{00000000-0005-0000-0000-000056930000}"/>
    <cellStyle name="Note 2 3 31 2 6" xfId="37721" xr:uid="{00000000-0005-0000-0000-000057930000}"/>
    <cellStyle name="Note 2 3 31 3" xfId="37722" xr:uid="{00000000-0005-0000-0000-000058930000}"/>
    <cellStyle name="Note 2 3 31 4" xfId="37723" xr:uid="{00000000-0005-0000-0000-000059930000}"/>
    <cellStyle name="Note 2 3 31 5" xfId="37724" xr:uid="{00000000-0005-0000-0000-00005A930000}"/>
    <cellStyle name="Note 2 3 31 6" xfId="37725" xr:uid="{00000000-0005-0000-0000-00005B930000}"/>
    <cellStyle name="Note 2 3 31 7" xfId="37726" xr:uid="{00000000-0005-0000-0000-00005C930000}"/>
    <cellStyle name="Note 2 3 32" xfId="37727" xr:uid="{00000000-0005-0000-0000-00005D930000}"/>
    <cellStyle name="Note 2 3 32 2" xfId="37728" xr:uid="{00000000-0005-0000-0000-00005E930000}"/>
    <cellStyle name="Note 2 3 32 2 2" xfId="37729" xr:uid="{00000000-0005-0000-0000-00005F930000}"/>
    <cellStyle name="Note 2 3 32 2 3" xfId="37730" xr:uid="{00000000-0005-0000-0000-000060930000}"/>
    <cellStyle name="Note 2 3 32 2 4" xfId="37731" xr:uid="{00000000-0005-0000-0000-000061930000}"/>
    <cellStyle name="Note 2 3 32 2 5" xfId="37732" xr:uid="{00000000-0005-0000-0000-000062930000}"/>
    <cellStyle name="Note 2 3 32 2 6" xfId="37733" xr:uid="{00000000-0005-0000-0000-000063930000}"/>
    <cellStyle name="Note 2 3 32 3" xfId="37734" xr:uid="{00000000-0005-0000-0000-000064930000}"/>
    <cellStyle name="Note 2 3 32 4" xfId="37735" xr:uid="{00000000-0005-0000-0000-000065930000}"/>
    <cellStyle name="Note 2 3 32 5" xfId="37736" xr:uid="{00000000-0005-0000-0000-000066930000}"/>
    <cellStyle name="Note 2 3 32 6" xfId="37737" xr:uid="{00000000-0005-0000-0000-000067930000}"/>
    <cellStyle name="Note 2 3 32 7" xfId="37738" xr:uid="{00000000-0005-0000-0000-000068930000}"/>
    <cellStyle name="Note 2 3 33" xfId="37739" xr:uid="{00000000-0005-0000-0000-000069930000}"/>
    <cellStyle name="Note 2 3 33 2" xfId="37740" xr:uid="{00000000-0005-0000-0000-00006A930000}"/>
    <cellStyle name="Note 2 3 33 2 2" xfId="37741" xr:uid="{00000000-0005-0000-0000-00006B930000}"/>
    <cellStyle name="Note 2 3 33 2 3" xfId="37742" xr:uid="{00000000-0005-0000-0000-00006C930000}"/>
    <cellStyle name="Note 2 3 33 2 4" xfId="37743" xr:uid="{00000000-0005-0000-0000-00006D930000}"/>
    <cellStyle name="Note 2 3 33 2 5" xfId="37744" xr:uid="{00000000-0005-0000-0000-00006E930000}"/>
    <cellStyle name="Note 2 3 33 2 6" xfId="37745" xr:uid="{00000000-0005-0000-0000-00006F930000}"/>
    <cellStyle name="Note 2 3 33 3" xfId="37746" xr:uid="{00000000-0005-0000-0000-000070930000}"/>
    <cellStyle name="Note 2 3 33 4" xfId="37747" xr:uid="{00000000-0005-0000-0000-000071930000}"/>
    <cellStyle name="Note 2 3 33 5" xfId="37748" xr:uid="{00000000-0005-0000-0000-000072930000}"/>
    <cellStyle name="Note 2 3 33 6" xfId="37749" xr:uid="{00000000-0005-0000-0000-000073930000}"/>
    <cellStyle name="Note 2 3 33 7" xfId="37750" xr:uid="{00000000-0005-0000-0000-000074930000}"/>
    <cellStyle name="Note 2 3 34" xfId="37751" xr:uid="{00000000-0005-0000-0000-000075930000}"/>
    <cellStyle name="Note 2 3 34 2" xfId="37752" xr:uid="{00000000-0005-0000-0000-000076930000}"/>
    <cellStyle name="Note 2 3 34 2 2" xfId="37753" xr:uid="{00000000-0005-0000-0000-000077930000}"/>
    <cellStyle name="Note 2 3 34 2 3" xfId="37754" xr:uid="{00000000-0005-0000-0000-000078930000}"/>
    <cellStyle name="Note 2 3 34 2 4" xfId="37755" xr:uid="{00000000-0005-0000-0000-000079930000}"/>
    <cellStyle name="Note 2 3 34 2 5" xfId="37756" xr:uid="{00000000-0005-0000-0000-00007A930000}"/>
    <cellStyle name="Note 2 3 34 2 6" xfId="37757" xr:uid="{00000000-0005-0000-0000-00007B930000}"/>
    <cellStyle name="Note 2 3 34 3" xfId="37758" xr:uid="{00000000-0005-0000-0000-00007C930000}"/>
    <cellStyle name="Note 2 3 34 4" xfId="37759" xr:uid="{00000000-0005-0000-0000-00007D930000}"/>
    <cellStyle name="Note 2 3 34 5" xfId="37760" xr:uid="{00000000-0005-0000-0000-00007E930000}"/>
    <cellStyle name="Note 2 3 34 6" xfId="37761" xr:uid="{00000000-0005-0000-0000-00007F930000}"/>
    <cellStyle name="Note 2 3 34 7" xfId="37762" xr:uid="{00000000-0005-0000-0000-000080930000}"/>
    <cellStyle name="Note 2 3 35" xfId="37763" xr:uid="{00000000-0005-0000-0000-000081930000}"/>
    <cellStyle name="Note 2 3 35 2" xfId="37764" xr:uid="{00000000-0005-0000-0000-000082930000}"/>
    <cellStyle name="Note 2 3 35 2 2" xfId="37765" xr:uid="{00000000-0005-0000-0000-000083930000}"/>
    <cellStyle name="Note 2 3 35 2 3" xfId="37766" xr:uid="{00000000-0005-0000-0000-000084930000}"/>
    <cellStyle name="Note 2 3 35 2 4" xfId="37767" xr:uid="{00000000-0005-0000-0000-000085930000}"/>
    <cellStyle name="Note 2 3 35 2 5" xfId="37768" xr:uid="{00000000-0005-0000-0000-000086930000}"/>
    <cellStyle name="Note 2 3 35 2 6" xfId="37769" xr:uid="{00000000-0005-0000-0000-000087930000}"/>
    <cellStyle name="Note 2 3 35 3" xfId="37770" xr:uid="{00000000-0005-0000-0000-000088930000}"/>
    <cellStyle name="Note 2 3 35 4" xfId="37771" xr:uid="{00000000-0005-0000-0000-000089930000}"/>
    <cellStyle name="Note 2 3 35 5" xfId="37772" xr:uid="{00000000-0005-0000-0000-00008A930000}"/>
    <cellStyle name="Note 2 3 35 6" xfId="37773" xr:uid="{00000000-0005-0000-0000-00008B930000}"/>
    <cellStyle name="Note 2 3 35 7" xfId="37774" xr:uid="{00000000-0005-0000-0000-00008C930000}"/>
    <cellStyle name="Note 2 3 36" xfId="37775" xr:uid="{00000000-0005-0000-0000-00008D930000}"/>
    <cellStyle name="Note 2 3 36 2" xfId="37776" xr:uid="{00000000-0005-0000-0000-00008E930000}"/>
    <cellStyle name="Note 2 3 36 2 2" xfId="37777" xr:uid="{00000000-0005-0000-0000-00008F930000}"/>
    <cellStyle name="Note 2 3 36 2 3" xfId="37778" xr:uid="{00000000-0005-0000-0000-000090930000}"/>
    <cellStyle name="Note 2 3 36 2 4" xfId="37779" xr:uid="{00000000-0005-0000-0000-000091930000}"/>
    <cellStyle name="Note 2 3 36 2 5" xfId="37780" xr:uid="{00000000-0005-0000-0000-000092930000}"/>
    <cellStyle name="Note 2 3 36 2 6" xfId="37781" xr:uid="{00000000-0005-0000-0000-000093930000}"/>
    <cellStyle name="Note 2 3 36 3" xfId="37782" xr:uid="{00000000-0005-0000-0000-000094930000}"/>
    <cellStyle name="Note 2 3 36 4" xfId="37783" xr:uid="{00000000-0005-0000-0000-000095930000}"/>
    <cellStyle name="Note 2 3 36 5" xfId="37784" xr:uid="{00000000-0005-0000-0000-000096930000}"/>
    <cellStyle name="Note 2 3 36 6" xfId="37785" xr:uid="{00000000-0005-0000-0000-000097930000}"/>
    <cellStyle name="Note 2 3 36 7" xfId="37786" xr:uid="{00000000-0005-0000-0000-000098930000}"/>
    <cellStyle name="Note 2 3 37" xfId="37787" xr:uid="{00000000-0005-0000-0000-000099930000}"/>
    <cellStyle name="Note 2 3 37 2" xfId="37788" xr:uid="{00000000-0005-0000-0000-00009A930000}"/>
    <cellStyle name="Note 2 3 37 2 2" xfId="37789" xr:uid="{00000000-0005-0000-0000-00009B930000}"/>
    <cellStyle name="Note 2 3 37 2 3" xfId="37790" xr:uid="{00000000-0005-0000-0000-00009C930000}"/>
    <cellStyle name="Note 2 3 37 2 4" xfId="37791" xr:uid="{00000000-0005-0000-0000-00009D930000}"/>
    <cellStyle name="Note 2 3 37 2 5" xfId="37792" xr:uid="{00000000-0005-0000-0000-00009E930000}"/>
    <cellStyle name="Note 2 3 37 2 6" xfId="37793" xr:uid="{00000000-0005-0000-0000-00009F930000}"/>
    <cellStyle name="Note 2 3 37 3" xfId="37794" xr:uid="{00000000-0005-0000-0000-0000A0930000}"/>
    <cellStyle name="Note 2 3 37 4" xfId="37795" xr:uid="{00000000-0005-0000-0000-0000A1930000}"/>
    <cellStyle name="Note 2 3 37 5" xfId="37796" xr:uid="{00000000-0005-0000-0000-0000A2930000}"/>
    <cellStyle name="Note 2 3 37 6" xfId="37797" xr:uid="{00000000-0005-0000-0000-0000A3930000}"/>
    <cellStyle name="Note 2 3 37 7" xfId="37798" xr:uid="{00000000-0005-0000-0000-0000A4930000}"/>
    <cellStyle name="Note 2 3 38" xfId="37799" xr:uid="{00000000-0005-0000-0000-0000A5930000}"/>
    <cellStyle name="Note 2 3 38 2" xfId="37800" xr:uid="{00000000-0005-0000-0000-0000A6930000}"/>
    <cellStyle name="Note 2 3 38 2 2" xfId="37801" xr:uid="{00000000-0005-0000-0000-0000A7930000}"/>
    <cellStyle name="Note 2 3 38 2 3" xfId="37802" xr:uid="{00000000-0005-0000-0000-0000A8930000}"/>
    <cellStyle name="Note 2 3 38 2 4" xfId="37803" xr:uid="{00000000-0005-0000-0000-0000A9930000}"/>
    <cellStyle name="Note 2 3 38 2 5" xfId="37804" xr:uid="{00000000-0005-0000-0000-0000AA930000}"/>
    <cellStyle name="Note 2 3 38 2 6" xfId="37805" xr:uid="{00000000-0005-0000-0000-0000AB930000}"/>
    <cellStyle name="Note 2 3 38 3" xfId="37806" xr:uid="{00000000-0005-0000-0000-0000AC930000}"/>
    <cellStyle name="Note 2 3 38 4" xfId="37807" xr:uid="{00000000-0005-0000-0000-0000AD930000}"/>
    <cellStyle name="Note 2 3 38 5" xfId="37808" xr:uid="{00000000-0005-0000-0000-0000AE930000}"/>
    <cellStyle name="Note 2 3 38 6" xfId="37809" xr:uid="{00000000-0005-0000-0000-0000AF930000}"/>
    <cellStyle name="Note 2 3 38 7" xfId="37810" xr:uid="{00000000-0005-0000-0000-0000B0930000}"/>
    <cellStyle name="Note 2 3 39" xfId="37811" xr:uid="{00000000-0005-0000-0000-0000B1930000}"/>
    <cellStyle name="Note 2 3 39 2" xfId="37812" xr:uid="{00000000-0005-0000-0000-0000B2930000}"/>
    <cellStyle name="Note 2 3 39 2 2" xfId="37813" xr:uid="{00000000-0005-0000-0000-0000B3930000}"/>
    <cellStyle name="Note 2 3 39 2 3" xfId="37814" xr:uid="{00000000-0005-0000-0000-0000B4930000}"/>
    <cellStyle name="Note 2 3 39 2 4" xfId="37815" xr:uid="{00000000-0005-0000-0000-0000B5930000}"/>
    <cellStyle name="Note 2 3 39 2 5" xfId="37816" xr:uid="{00000000-0005-0000-0000-0000B6930000}"/>
    <cellStyle name="Note 2 3 39 2 6" xfId="37817" xr:uid="{00000000-0005-0000-0000-0000B7930000}"/>
    <cellStyle name="Note 2 3 39 3" xfId="37818" xr:uid="{00000000-0005-0000-0000-0000B8930000}"/>
    <cellStyle name="Note 2 3 39 4" xfId="37819" xr:uid="{00000000-0005-0000-0000-0000B9930000}"/>
    <cellStyle name="Note 2 3 39 5" xfId="37820" xr:uid="{00000000-0005-0000-0000-0000BA930000}"/>
    <cellStyle name="Note 2 3 39 6" xfId="37821" xr:uid="{00000000-0005-0000-0000-0000BB930000}"/>
    <cellStyle name="Note 2 3 39 7" xfId="37822" xr:uid="{00000000-0005-0000-0000-0000BC930000}"/>
    <cellStyle name="Note 2 3 4" xfId="37823" xr:uid="{00000000-0005-0000-0000-0000BD930000}"/>
    <cellStyle name="Note 2 3 4 2" xfId="37824" xr:uid="{00000000-0005-0000-0000-0000BE930000}"/>
    <cellStyle name="Note 2 3 4 2 2" xfId="37825" xr:uid="{00000000-0005-0000-0000-0000BF930000}"/>
    <cellStyle name="Note 2 3 4 2 3" xfId="37826" xr:uid="{00000000-0005-0000-0000-0000C0930000}"/>
    <cellStyle name="Note 2 3 4 2 4" xfId="37827" xr:uid="{00000000-0005-0000-0000-0000C1930000}"/>
    <cellStyle name="Note 2 3 4 2 5" xfId="37828" xr:uid="{00000000-0005-0000-0000-0000C2930000}"/>
    <cellStyle name="Note 2 3 4 2 6" xfId="37829" xr:uid="{00000000-0005-0000-0000-0000C3930000}"/>
    <cellStyle name="Note 2 3 4 3" xfId="37830" xr:uid="{00000000-0005-0000-0000-0000C4930000}"/>
    <cellStyle name="Note 2 3 4 3 2" xfId="37831" xr:uid="{00000000-0005-0000-0000-0000C5930000}"/>
    <cellStyle name="Note 2 3 4 3 3" xfId="37832" xr:uid="{00000000-0005-0000-0000-0000C6930000}"/>
    <cellStyle name="Note 2 3 4 3 4" xfId="37833" xr:uid="{00000000-0005-0000-0000-0000C7930000}"/>
    <cellStyle name="Note 2 3 4 3 5" xfId="37834" xr:uid="{00000000-0005-0000-0000-0000C8930000}"/>
    <cellStyle name="Note 2 3 4 3 6" xfId="37835" xr:uid="{00000000-0005-0000-0000-0000C9930000}"/>
    <cellStyle name="Note 2 3 40" xfId="37836" xr:uid="{00000000-0005-0000-0000-0000CA930000}"/>
    <cellStyle name="Note 2 3 40 2" xfId="37837" xr:uid="{00000000-0005-0000-0000-0000CB930000}"/>
    <cellStyle name="Note 2 3 40 2 2" xfId="37838" xr:uid="{00000000-0005-0000-0000-0000CC930000}"/>
    <cellStyle name="Note 2 3 40 2 3" xfId="37839" xr:uid="{00000000-0005-0000-0000-0000CD930000}"/>
    <cellStyle name="Note 2 3 40 2 4" xfId="37840" xr:uid="{00000000-0005-0000-0000-0000CE930000}"/>
    <cellStyle name="Note 2 3 40 2 5" xfId="37841" xr:uid="{00000000-0005-0000-0000-0000CF930000}"/>
    <cellStyle name="Note 2 3 40 2 6" xfId="37842" xr:uid="{00000000-0005-0000-0000-0000D0930000}"/>
    <cellStyle name="Note 2 3 40 3" xfId="37843" xr:uid="{00000000-0005-0000-0000-0000D1930000}"/>
    <cellStyle name="Note 2 3 40 4" xfId="37844" xr:uid="{00000000-0005-0000-0000-0000D2930000}"/>
    <cellStyle name="Note 2 3 40 5" xfId="37845" xr:uid="{00000000-0005-0000-0000-0000D3930000}"/>
    <cellStyle name="Note 2 3 40 6" xfId="37846" xr:uid="{00000000-0005-0000-0000-0000D4930000}"/>
    <cellStyle name="Note 2 3 40 7" xfId="37847" xr:uid="{00000000-0005-0000-0000-0000D5930000}"/>
    <cellStyle name="Note 2 3 41" xfId="37848" xr:uid="{00000000-0005-0000-0000-0000D6930000}"/>
    <cellStyle name="Note 2 3 41 2" xfId="37849" xr:uid="{00000000-0005-0000-0000-0000D7930000}"/>
    <cellStyle name="Note 2 3 41 2 2" xfId="37850" xr:uid="{00000000-0005-0000-0000-0000D8930000}"/>
    <cellStyle name="Note 2 3 41 2 3" xfId="37851" xr:uid="{00000000-0005-0000-0000-0000D9930000}"/>
    <cellStyle name="Note 2 3 41 2 4" xfId="37852" xr:uid="{00000000-0005-0000-0000-0000DA930000}"/>
    <cellStyle name="Note 2 3 41 2 5" xfId="37853" xr:uid="{00000000-0005-0000-0000-0000DB930000}"/>
    <cellStyle name="Note 2 3 41 2 6" xfId="37854" xr:uid="{00000000-0005-0000-0000-0000DC930000}"/>
    <cellStyle name="Note 2 3 41 3" xfId="37855" xr:uid="{00000000-0005-0000-0000-0000DD930000}"/>
    <cellStyle name="Note 2 3 41 4" xfId="37856" xr:uid="{00000000-0005-0000-0000-0000DE930000}"/>
    <cellStyle name="Note 2 3 41 5" xfId="37857" xr:uid="{00000000-0005-0000-0000-0000DF930000}"/>
    <cellStyle name="Note 2 3 41 6" xfId="37858" xr:uid="{00000000-0005-0000-0000-0000E0930000}"/>
    <cellStyle name="Note 2 3 41 7" xfId="37859" xr:uid="{00000000-0005-0000-0000-0000E1930000}"/>
    <cellStyle name="Note 2 3 42" xfId="37860" xr:uid="{00000000-0005-0000-0000-0000E2930000}"/>
    <cellStyle name="Note 2 3 42 2" xfId="37861" xr:uid="{00000000-0005-0000-0000-0000E3930000}"/>
    <cellStyle name="Note 2 3 42 3" xfId="37862" xr:uid="{00000000-0005-0000-0000-0000E4930000}"/>
    <cellStyle name="Note 2 3 42 4" xfId="37863" xr:uid="{00000000-0005-0000-0000-0000E5930000}"/>
    <cellStyle name="Note 2 3 42 5" xfId="37864" xr:uid="{00000000-0005-0000-0000-0000E6930000}"/>
    <cellStyle name="Note 2 3 42 6" xfId="37865" xr:uid="{00000000-0005-0000-0000-0000E7930000}"/>
    <cellStyle name="Note 2 3 43" xfId="37866" xr:uid="{00000000-0005-0000-0000-0000E8930000}"/>
    <cellStyle name="Note 2 3 43 2" xfId="37867" xr:uid="{00000000-0005-0000-0000-0000E9930000}"/>
    <cellStyle name="Note 2 3 43 3" xfId="37868" xr:uid="{00000000-0005-0000-0000-0000EA930000}"/>
    <cellStyle name="Note 2 3 43 4" xfId="37869" xr:uid="{00000000-0005-0000-0000-0000EB930000}"/>
    <cellStyle name="Note 2 3 43 5" xfId="37870" xr:uid="{00000000-0005-0000-0000-0000EC930000}"/>
    <cellStyle name="Note 2 3 43 6" xfId="37871" xr:uid="{00000000-0005-0000-0000-0000ED930000}"/>
    <cellStyle name="Note 2 3 44" xfId="37872" xr:uid="{00000000-0005-0000-0000-0000EE930000}"/>
    <cellStyle name="Note 2 3 45" xfId="37873" xr:uid="{00000000-0005-0000-0000-0000EF930000}"/>
    <cellStyle name="Note 2 3 46" xfId="37874" xr:uid="{00000000-0005-0000-0000-0000F0930000}"/>
    <cellStyle name="Note 2 3 47" xfId="37875" xr:uid="{00000000-0005-0000-0000-0000F1930000}"/>
    <cellStyle name="Note 2 3 5" xfId="37876" xr:uid="{00000000-0005-0000-0000-0000F2930000}"/>
    <cellStyle name="Note 2 3 5 2" xfId="37877" xr:uid="{00000000-0005-0000-0000-0000F3930000}"/>
    <cellStyle name="Note 2 3 5 2 2" xfId="37878" xr:uid="{00000000-0005-0000-0000-0000F4930000}"/>
    <cellStyle name="Note 2 3 5 2 3" xfId="37879" xr:uid="{00000000-0005-0000-0000-0000F5930000}"/>
    <cellStyle name="Note 2 3 5 2 4" xfId="37880" xr:uid="{00000000-0005-0000-0000-0000F6930000}"/>
    <cellStyle name="Note 2 3 5 2 5" xfId="37881" xr:uid="{00000000-0005-0000-0000-0000F7930000}"/>
    <cellStyle name="Note 2 3 5 2 6" xfId="37882" xr:uid="{00000000-0005-0000-0000-0000F8930000}"/>
    <cellStyle name="Note 2 3 5 3" xfId="37883" xr:uid="{00000000-0005-0000-0000-0000F9930000}"/>
    <cellStyle name="Note 2 3 5 3 2" xfId="37884" xr:uid="{00000000-0005-0000-0000-0000FA930000}"/>
    <cellStyle name="Note 2 3 5 3 3" xfId="37885" xr:uid="{00000000-0005-0000-0000-0000FB930000}"/>
    <cellStyle name="Note 2 3 5 3 4" xfId="37886" xr:uid="{00000000-0005-0000-0000-0000FC930000}"/>
    <cellStyle name="Note 2 3 5 3 5" xfId="37887" xr:uid="{00000000-0005-0000-0000-0000FD930000}"/>
    <cellStyle name="Note 2 3 5 3 6" xfId="37888" xr:uid="{00000000-0005-0000-0000-0000FE930000}"/>
    <cellStyle name="Note 2 3 5 4" xfId="37889" xr:uid="{00000000-0005-0000-0000-0000FF930000}"/>
    <cellStyle name="Note 2 3 5 5" xfId="37890" xr:uid="{00000000-0005-0000-0000-000000940000}"/>
    <cellStyle name="Note 2 3 5 6" xfId="37891" xr:uid="{00000000-0005-0000-0000-000001940000}"/>
    <cellStyle name="Note 2 3 5 7" xfId="37892" xr:uid="{00000000-0005-0000-0000-000002940000}"/>
    <cellStyle name="Note 2 3 5 8" xfId="37893" xr:uid="{00000000-0005-0000-0000-000003940000}"/>
    <cellStyle name="Note 2 3 6" xfId="37894" xr:uid="{00000000-0005-0000-0000-000004940000}"/>
    <cellStyle name="Note 2 3 6 2" xfId="37895" xr:uid="{00000000-0005-0000-0000-000005940000}"/>
    <cellStyle name="Note 2 3 6 2 2" xfId="37896" xr:uid="{00000000-0005-0000-0000-000006940000}"/>
    <cellStyle name="Note 2 3 6 2 3" xfId="37897" xr:uid="{00000000-0005-0000-0000-000007940000}"/>
    <cellStyle name="Note 2 3 6 2 4" xfId="37898" xr:uid="{00000000-0005-0000-0000-000008940000}"/>
    <cellStyle name="Note 2 3 6 2 5" xfId="37899" xr:uid="{00000000-0005-0000-0000-000009940000}"/>
    <cellStyle name="Note 2 3 6 2 6" xfId="37900" xr:uid="{00000000-0005-0000-0000-00000A940000}"/>
    <cellStyle name="Note 2 3 6 3" xfId="37901" xr:uid="{00000000-0005-0000-0000-00000B940000}"/>
    <cellStyle name="Note 2 3 6 4" xfId="37902" xr:uid="{00000000-0005-0000-0000-00000C940000}"/>
    <cellStyle name="Note 2 3 6 5" xfId="37903" xr:uid="{00000000-0005-0000-0000-00000D940000}"/>
    <cellStyle name="Note 2 3 6 6" xfId="37904" xr:uid="{00000000-0005-0000-0000-00000E940000}"/>
    <cellStyle name="Note 2 3 6 7" xfId="37905" xr:uid="{00000000-0005-0000-0000-00000F940000}"/>
    <cellStyle name="Note 2 3 7" xfId="37906" xr:uid="{00000000-0005-0000-0000-000010940000}"/>
    <cellStyle name="Note 2 3 7 2" xfId="37907" xr:uid="{00000000-0005-0000-0000-000011940000}"/>
    <cellStyle name="Note 2 3 7 2 2" xfId="37908" xr:uid="{00000000-0005-0000-0000-000012940000}"/>
    <cellStyle name="Note 2 3 7 2 3" xfId="37909" xr:uid="{00000000-0005-0000-0000-000013940000}"/>
    <cellStyle name="Note 2 3 7 2 4" xfId="37910" xr:uid="{00000000-0005-0000-0000-000014940000}"/>
    <cellStyle name="Note 2 3 7 2 5" xfId="37911" xr:uid="{00000000-0005-0000-0000-000015940000}"/>
    <cellStyle name="Note 2 3 7 2 6" xfId="37912" xr:uid="{00000000-0005-0000-0000-000016940000}"/>
    <cellStyle name="Note 2 3 7 3" xfId="37913" xr:uid="{00000000-0005-0000-0000-000017940000}"/>
    <cellStyle name="Note 2 3 7 4" xfId="37914" xr:uid="{00000000-0005-0000-0000-000018940000}"/>
    <cellStyle name="Note 2 3 7 5" xfId="37915" xr:uid="{00000000-0005-0000-0000-000019940000}"/>
    <cellStyle name="Note 2 3 7 6" xfId="37916" xr:uid="{00000000-0005-0000-0000-00001A940000}"/>
    <cellStyle name="Note 2 3 7 7" xfId="37917" xr:uid="{00000000-0005-0000-0000-00001B940000}"/>
    <cellStyle name="Note 2 3 8" xfId="37918" xr:uid="{00000000-0005-0000-0000-00001C940000}"/>
    <cellStyle name="Note 2 3 8 2" xfId="37919" xr:uid="{00000000-0005-0000-0000-00001D940000}"/>
    <cellStyle name="Note 2 3 8 2 2" xfId="37920" xr:uid="{00000000-0005-0000-0000-00001E940000}"/>
    <cellStyle name="Note 2 3 8 2 3" xfId="37921" xr:uid="{00000000-0005-0000-0000-00001F940000}"/>
    <cellStyle name="Note 2 3 8 2 4" xfId="37922" xr:uid="{00000000-0005-0000-0000-000020940000}"/>
    <cellStyle name="Note 2 3 8 2 5" xfId="37923" xr:uid="{00000000-0005-0000-0000-000021940000}"/>
    <cellStyle name="Note 2 3 8 2 6" xfId="37924" xr:uid="{00000000-0005-0000-0000-000022940000}"/>
    <cellStyle name="Note 2 3 8 3" xfId="37925" xr:uid="{00000000-0005-0000-0000-000023940000}"/>
    <cellStyle name="Note 2 3 8 4" xfId="37926" xr:uid="{00000000-0005-0000-0000-000024940000}"/>
    <cellStyle name="Note 2 3 8 5" xfId="37927" xr:uid="{00000000-0005-0000-0000-000025940000}"/>
    <cellStyle name="Note 2 3 8 6" xfId="37928" xr:uid="{00000000-0005-0000-0000-000026940000}"/>
    <cellStyle name="Note 2 3 8 7" xfId="37929" xr:uid="{00000000-0005-0000-0000-000027940000}"/>
    <cellStyle name="Note 2 3 9" xfId="37930" xr:uid="{00000000-0005-0000-0000-000028940000}"/>
    <cellStyle name="Note 2 3 9 2" xfId="37931" xr:uid="{00000000-0005-0000-0000-000029940000}"/>
    <cellStyle name="Note 2 3 9 2 2" xfId="37932" xr:uid="{00000000-0005-0000-0000-00002A940000}"/>
    <cellStyle name="Note 2 3 9 2 3" xfId="37933" xr:uid="{00000000-0005-0000-0000-00002B940000}"/>
    <cellStyle name="Note 2 3 9 2 4" xfId="37934" xr:uid="{00000000-0005-0000-0000-00002C940000}"/>
    <cellStyle name="Note 2 3 9 2 5" xfId="37935" xr:uid="{00000000-0005-0000-0000-00002D940000}"/>
    <cellStyle name="Note 2 3 9 2 6" xfId="37936" xr:uid="{00000000-0005-0000-0000-00002E940000}"/>
    <cellStyle name="Note 2 3 9 3" xfId="37937" xr:uid="{00000000-0005-0000-0000-00002F940000}"/>
    <cellStyle name="Note 2 3 9 4" xfId="37938" xr:uid="{00000000-0005-0000-0000-000030940000}"/>
    <cellStyle name="Note 2 3 9 5" xfId="37939" xr:uid="{00000000-0005-0000-0000-000031940000}"/>
    <cellStyle name="Note 2 3 9 6" xfId="37940" xr:uid="{00000000-0005-0000-0000-000032940000}"/>
    <cellStyle name="Note 2 3 9 7" xfId="37941" xr:uid="{00000000-0005-0000-0000-000033940000}"/>
    <cellStyle name="Note 2 4" xfId="37942" xr:uid="{00000000-0005-0000-0000-000034940000}"/>
    <cellStyle name="Note 2 4 10" xfId="37943" xr:uid="{00000000-0005-0000-0000-000035940000}"/>
    <cellStyle name="Note 2 4 10 2" xfId="37944" xr:uid="{00000000-0005-0000-0000-000036940000}"/>
    <cellStyle name="Note 2 4 10 2 2" xfId="37945" xr:uid="{00000000-0005-0000-0000-000037940000}"/>
    <cellStyle name="Note 2 4 10 2 3" xfId="37946" xr:uid="{00000000-0005-0000-0000-000038940000}"/>
    <cellStyle name="Note 2 4 10 2 4" xfId="37947" xr:uid="{00000000-0005-0000-0000-000039940000}"/>
    <cellStyle name="Note 2 4 10 2 5" xfId="37948" xr:uid="{00000000-0005-0000-0000-00003A940000}"/>
    <cellStyle name="Note 2 4 10 3" xfId="37949" xr:uid="{00000000-0005-0000-0000-00003B940000}"/>
    <cellStyle name="Note 2 4 10 4" xfId="37950" xr:uid="{00000000-0005-0000-0000-00003C940000}"/>
    <cellStyle name="Note 2 4 10 5" xfId="37951" xr:uid="{00000000-0005-0000-0000-00003D940000}"/>
    <cellStyle name="Note 2 4 10 6" xfId="37952" xr:uid="{00000000-0005-0000-0000-00003E940000}"/>
    <cellStyle name="Note 2 4 11" xfId="37953" xr:uid="{00000000-0005-0000-0000-00003F940000}"/>
    <cellStyle name="Note 2 4 11 2" xfId="37954" xr:uid="{00000000-0005-0000-0000-000040940000}"/>
    <cellStyle name="Note 2 4 11 2 2" xfId="37955" xr:uid="{00000000-0005-0000-0000-000041940000}"/>
    <cellStyle name="Note 2 4 11 2 3" xfId="37956" xr:uid="{00000000-0005-0000-0000-000042940000}"/>
    <cellStyle name="Note 2 4 11 2 4" xfId="37957" xr:uid="{00000000-0005-0000-0000-000043940000}"/>
    <cellStyle name="Note 2 4 11 2 5" xfId="37958" xr:uid="{00000000-0005-0000-0000-000044940000}"/>
    <cellStyle name="Note 2 4 11 3" xfId="37959" xr:uid="{00000000-0005-0000-0000-000045940000}"/>
    <cellStyle name="Note 2 4 11 4" xfId="37960" xr:uid="{00000000-0005-0000-0000-000046940000}"/>
    <cellStyle name="Note 2 4 11 5" xfId="37961" xr:uid="{00000000-0005-0000-0000-000047940000}"/>
    <cellStyle name="Note 2 4 11 6" xfId="37962" xr:uid="{00000000-0005-0000-0000-000048940000}"/>
    <cellStyle name="Note 2 4 12" xfId="37963" xr:uid="{00000000-0005-0000-0000-000049940000}"/>
    <cellStyle name="Note 2 4 12 2" xfId="37964" xr:uid="{00000000-0005-0000-0000-00004A940000}"/>
    <cellStyle name="Note 2 4 12 2 2" xfId="37965" xr:uid="{00000000-0005-0000-0000-00004B940000}"/>
    <cellStyle name="Note 2 4 12 2 3" xfId="37966" xr:uid="{00000000-0005-0000-0000-00004C940000}"/>
    <cellStyle name="Note 2 4 12 2 4" xfId="37967" xr:uid="{00000000-0005-0000-0000-00004D940000}"/>
    <cellStyle name="Note 2 4 12 2 5" xfId="37968" xr:uid="{00000000-0005-0000-0000-00004E940000}"/>
    <cellStyle name="Note 2 4 12 3" xfId="37969" xr:uid="{00000000-0005-0000-0000-00004F940000}"/>
    <cellStyle name="Note 2 4 12 4" xfId="37970" xr:uid="{00000000-0005-0000-0000-000050940000}"/>
    <cellStyle name="Note 2 4 12 5" xfId="37971" xr:uid="{00000000-0005-0000-0000-000051940000}"/>
    <cellStyle name="Note 2 4 12 6" xfId="37972" xr:uid="{00000000-0005-0000-0000-000052940000}"/>
    <cellStyle name="Note 2 4 13" xfId="37973" xr:uid="{00000000-0005-0000-0000-000053940000}"/>
    <cellStyle name="Note 2 4 13 2" xfId="37974" xr:uid="{00000000-0005-0000-0000-000054940000}"/>
    <cellStyle name="Note 2 4 13 2 2" xfId="37975" xr:uid="{00000000-0005-0000-0000-000055940000}"/>
    <cellStyle name="Note 2 4 13 2 3" xfId="37976" xr:uid="{00000000-0005-0000-0000-000056940000}"/>
    <cellStyle name="Note 2 4 13 2 4" xfId="37977" xr:uid="{00000000-0005-0000-0000-000057940000}"/>
    <cellStyle name="Note 2 4 13 2 5" xfId="37978" xr:uid="{00000000-0005-0000-0000-000058940000}"/>
    <cellStyle name="Note 2 4 13 3" xfId="37979" xr:uid="{00000000-0005-0000-0000-000059940000}"/>
    <cellStyle name="Note 2 4 13 4" xfId="37980" xr:uid="{00000000-0005-0000-0000-00005A940000}"/>
    <cellStyle name="Note 2 4 13 5" xfId="37981" xr:uid="{00000000-0005-0000-0000-00005B940000}"/>
    <cellStyle name="Note 2 4 13 6" xfId="37982" xr:uid="{00000000-0005-0000-0000-00005C940000}"/>
    <cellStyle name="Note 2 4 14" xfId="37983" xr:uid="{00000000-0005-0000-0000-00005D940000}"/>
    <cellStyle name="Note 2 4 14 2" xfId="37984" xr:uid="{00000000-0005-0000-0000-00005E940000}"/>
    <cellStyle name="Note 2 4 14 2 2" xfId="37985" xr:uid="{00000000-0005-0000-0000-00005F940000}"/>
    <cellStyle name="Note 2 4 14 2 3" xfId="37986" xr:uid="{00000000-0005-0000-0000-000060940000}"/>
    <cellStyle name="Note 2 4 14 2 4" xfId="37987" xr:uid="{00000000-0005-0000-0000-000061940000}"/>
    <cellStyle name="Note 2 4 14 2 5" xfId="37988" xr:uid="{00000000-0005-0000-0000-000062940000}"/>
    <cellStyle name="Note 2 4 14 3" xfId="37989" xr:uid="{00000000-0005-0000-0000-000063940000}"/>
    <cellStyle name="Note 2 4 14 4" xfId="37990" xr:uid="{00000000-0005-0000-0000-000064940000}"/>
    <cellStyle name="Note 2 4 14 5" xfId="37991" xr:uid="{00000000-0005-0000-0000-000065940000}"/>
    <cellStyle name="Note 2 4 14 6" xfId="37992" xr:uid="{00000000-0005-0000-0000-000066940000}"/>
    <cellStyle name="Note 2 4 15" xfId="37993" xr:uid="{00000000-0005-0000-0000-000067940000}"/>
    <cellStyle name="Note 2 4 15 2" xfId="37994" xr:uid="{00000000-0005-0000-0000-000068940000}"/>
    <cellStyle name="Note 2 4 15 2 2" xfId="37995" xr:uid="{00000000-0005-0000-0000-000069940000}"/>
    <cellStyle name="Note 2 4 15 2 3" xfId="37996" xr:uid="{00000000-0005-0000-0000-00006A940000}"/>
    <cellStyle name="Note 2 4 15 2 4" xfId="37997" xr:uid="{00000000-0005-0000-0000-00006B940000}"/>
    <cellStyle name="Note 2 4 15 2 5" xfId="37998" xr:uid="{00000000-0005-0000-0000-00006C940000}"/>
    <cellStyle name="Note 2 4 15 3" xfId="37999" xr:uid="{00000000-0005-0000-0000-00006D940000}"/>
    <cellStyle name="Note 2 4 15 4" xfId="38000" xr:uid="{00000000-0005-0000-0000-00006E940000}"/>
    <cellStyle name="Note 2 4 15 5" xfId="38001" xr:uid="{00000000-0005-0000-0000-00006F940000}"/>
    <cellStyle name="Note 2 4 15 6" xfId="38002" xr:uid="{00000000-0005-0000-0000-000070940000}"/>
    <cellStyle name="Note 2 4 16" xfId="38003" xr:uid="{00000000-0005-0000-0000-000071940000}"/>
    <cellStyle name="Note 2 4 16 2" xfId="38004" xr:uid="{00000000-0005-0000-0000-000072940000}"/>
    <cellStyle name="Note 2 4 16 2 2" xfId="38005" xr:uid="{00000000-0005-0000-0000-000073940000}"/>
    <cellStyle name="Note 2 4 16 2 3" xfId="38006" xr:uid="{00000000-0005-0000-0000-000074940000}"/>
    <cellStyle name="Note 2 4 16 2 4" xfId="38007" xr:uid="{00000000-0005-0000-0000-000075940000}"/>
    <cellStyle name="Note 2 4 16 2 5" xfId="38008" xr:uid="{00000000-0005-0000-0000-000076940000}"/>
    <cellStyle name="Note 2 4 16 3" xfId="38009" xr:uid="{00000000-0005-0000-0000-000077940000}"/>
    <cellStyle name="Note 2 4 16 4" xfId="38010" xr:uid="{00000000-0005-0000-0000-000078940000}"/>
    <cellStyle name="Note 2 4 16 5" xfId="38011" xr:uid="{00000000-0005-0000-0000-000079940000}"/>
    <cellStyle name="Note 2 4 16 6" xfId="38012" xr:uid="{00000000-0005-0000-0000-00007A940000}"/>
    <cellStyle name="Note 2 4 17" xfId="38013" xr:uid="{00000000-0005-0000-0000-00007B940000}"/>
    <cellStyle name="Note 2 4 17 2" xfId="38014" xr:uid="{00000000-0005-0000-0000-00007C940000}"/>
    <cellStyle name="Note 2 4 17 2 2" xfId="38015" xr:uid="{00000000-0005-0000-0000-00007D940000}"/>
    <cellStyle name="Note 2 4 17 2 3" xfId="38016" xr:uid="{00000000-0005-0000-0000-00007E940000}"/>
    <cellStyle name="Note 2 4 17 2 4" xfId="38017" xr:uid="{00000000-0005-0000-0000-00007F940000}"/>
    <cellStyle name="Note 2 4 17 2 5" xfId="38018" xr:uid="{00000000-0005-0000-0000-000080940000}"/>
    <cellStyle name="Note 2 4 17 3" xfId="38019" xr:uid="{00000000-0005-0000-0000-000081940000}"/>
    <cellStyle name="Note 2 4 17 4" xfId="38020" xr:uid="{00000000-0005-0000-0000-000082940000}"/>
    <cellStyle name="Note 2 4 17 5" xfId="38021" xr:uid="{00000000-0005-0000-0000-000083940000}"/>
    <cellStyle name="Note 2 4 17 6" xfId="38022" xr:uid="{00000000-0005-0000-0000-000084940000}"/>
    <cellStyle name="Note 2 4 18" xfId="38023" xr:uid="{00000000-0005-0000-0000-000085940000}"/>
    <cellStyle name="Note 2 4 18 2" xfId="38024" xr:uid="{00000000-0005-0000-0000-000086940000}"/>
    <cellStyle name="Note 2 4 18 2 2" xfId="38025" xr:uid="{00000000-0005-0000-0000-000087940000}"/>
    <cellStyle name="Note 2 4 18 2 3" xfId="38026" xr:uid="{00000000-0005-0000-0000-000088940000}"/>
    <cellStyle name="Note 2 4 18 2 4" xfId="38027" xr:uid="{00000000-0005-0000-0000-000089940000}"/>
    <cellStyle name="Note 2 4 18 2 5" xfId="38028" xr:uid="{00000000-0005-0000-0000-00008A940000}"/>
    <cellStyle name="Note 2 4 18 3" xfId="38029" xr:uid="{00000000-0005-0000-0000-00008B940000}"/>
    <cellStyle name="Note 2 4 18 4" xfId="38030" xr:uid="{00000000-0005-0000-0000-00008C940000}"/>
    <cellStyle name="Note 2 4 18 5" xfId="38031" xr:uid="{00000000-0005-0000-0000-00008D940000}"/>
    <cellStyle name="Note 2 4 18 6" xfId="38032" xr:uid="{00000000-0005-0000-0000-00008E940000}"/>
    <cellStyle name="Note 2 4 19" xfId="38033" xr:uid="{00000000-0005-0000-0000-00008F940000}"/>
    <cellStyle name="Note 2 4 19 2" xfId="38034" xr:uid="{00000000-0005-0000-0000-000090940000}"/>
    <cellStyle name="Note 2 4 19 2 2" xfId="38035" xr:uid="{00000000-0005-0000-0000-000091940000}"/>
    <cellStyle name="Note 2 4 19 2 3" xfId="38036" xr:uid="{00000000-0005-0000-0000-000092940000}"/>
    <cellStyle name="Note 2 4 19 2 4" xfId="38037" xr:uid="{00000000-0005-0000-0000-000093940000}"/>
    <cellStyle name="Note 2 4 19 2 5" xfId="38038" xr:uid="{00000000-0005-0000-0000-000094940000}"/>
    <cellStyle name="Note 2 4 19 3" xfId="38039" xr:uid="{00000000-0005-0000-0000-000095940000}"/>
    <cellStyle name="Note 2 4 19 4" xfId="38040" xr:uid="{00000000-0005-0000-0000-000096940000}"/>
    <cellStyle name="Note 2 4 19 5" xfId="38041" xr:uid="{00000000-0005-0000-0000-000097940000}"/>
    <cellStyle name="Note 2 4 19 6" xfId="38042" xr:uid="{00000000-0005-0000-0000-000098940000}"/>
    <cellStyle name="Note 2 4 2" xfId="38043" xr:uid="{00000000-0005-0000-0000-000099940000}"/>
    <cellStyle name="Note 2 4 2 2" xfId="38044" xr:uid="{00000000-0005-0000-0000-00009A940000}"/>
    <cellStyle name="Note 2 4 2 2 2" xfId="38045" xr:uid="{00000000-0005-0000-0000-00009B940000}"/>
    <cellStyle name="Note 2 4 2 2 2 2" xfId="38046" xr:uid="{00000000-0005-0000-0000-00009C940000}"/>
    <cellStyle name="Note 2 4 2 2 2 3" xfId="38047" xr:uid="{00000000-0005-0000-0000-00009D940000}"/>
    <cellStyle name="Note 2 4 2 2 2 4" xfId="38048" xr:uid="{00000000-0005-0000-0000-00009E940000}"/>
    <cellStyle name="Note 2 4 2 2 2 5" xfId="38049" xr:uid="{00000000-0005-0000-0000-00009F940000}"/>
    <cellStyle name="Note 2 4 2 3" xfId="38050" xr:uid="{00000000-0005-0000-0000-0000A0940000}"/>
    <cellStyle name="Note 2 4 2 3 2" xfId="38051" xr:uid="{00000000-0005-0000-0000-0000A1940000}"/>
    <cellStyle name="Note 2 4 2 3 3" xfId="38052" xr:uid="{00000000-0005-0000-0000-0000A2940000}"/>
    <cellStyle name="Note 2 4 2 3 4" xfId="38053" xr:uid="{00000000-0005-0000-0000-0000A3940000}"/>
    <cellStyle name="Note 2 4 2 3 5" xfId="38054" xr:uid="{00000000-0005-0000-0000-0000A4940000}"/>
    <cellStyle name="Note 2 4 20" xfId="38055" xr:uid="{00000000-0005-0000-0000-0000A5940000}"/>
    <cellStyle name="Note 2 4 20 2" xfId="38056" xr:uid="{00000000-0005-0000-0000-0000A6940000}"/>
    <cellStyle name="Note 2 4 20 2 2" xfId="38057" xr:uid="{00000000-0005-0000-0000-0000A7940000}"/>
    <cellStyle name="Note 2 4 20 2 3" xfId="38058" xr:uid="{00000000-0005-0000-0000-0000A8940000}"/>
    <cellStyle name="Note 2 4 20 2 4" xfId="38059" xr:uid="{00000000-0005-0000-0000-0000A9940000}"/>
    <cellStyle name="Note 2 4 20 2 5" xfId="38060" xr:uid="{00000000-0005-0000-0000-0000AA940000}"/>
    <cellStyle name="Note 2 4 20 3" xfId="38061" xr:uid="{00000000-0005-0000-0000-0000AB940000}"/>
    <cellStyle name="Note 2 4 20 4" xfId="38062" xr:uid="{00000000-0005-0000-0000-0000AC940000}"/>
    <cellStyle name="Note 2 4 20 5" xfId="38063" xr:uid="{00000000-0005-0000-0000-0000AD940000}"/>
    <cellStyle name="Note 2 4 20 6" xfId="38064" xr:uid="{00000000-0005-0000-0000-0000AE940000}"/>
    <cellStyle name="Note 2 4 21" xfId="38065" xr:uid="{00000000-0005-0000-0000-0000AF940000}"/>
    <cellStyle name="Note 2 4 21 2" xfId="38066" xr:uid="{00000000-0005-0000-0000-0000B0940000}"/>
    <cellStyle name="Note 2 4 21 2 2" xfId="38067" xr:uid="{00000000-0005-0000-0000-0000B1940000}"/>
    <cellStyle name="Note 2 4 21 2 3" xfId="38068" xr:uid="{00000000-0005-0000-0000-0000B2940000}"/>
    <cellStyle name="Note 2 4 21 2 4" xfId="38069" xr:uid="{00000000-0005-0000-0000-0000B3940000}"/>
    <cellStyle name="Note 2 4 21 2 5" xfId="38070" xr:uid="{00000000-0005-0000-0000-0000B4940000}"/>
    <cellStyle name="Note 2 4 21 3" xfId="38071" xr:uid="{00000000-0005-0000-0000-0000B5940000}"/>
    <cellStyle name="Note 2 4 21 4" xfId="38072" xr:uid="{00000000-0005-0000-0000-0000B6940000}"/>
    <cellStyle name="Note 2 4 21 5" xfId="38073" xr:uid="{00000000-0005-0000-0000-0000B7940000}"/>
    <cellStyle name="Note 2 4 21 6" xfId="38074" xr:uid="{00000000-0005-0000-0000-0000B8940000}"/>
    <cellStyle name="Note 2 4 22" xfId="38075" xr:uid="{00000000-0005-0000-0000-0000B9940000}"/>
    <cellStyle name="Note 2 4 22 2" xfId="38076" xr:uid="{00000000-0005-0000-0000-0000BA940000}"/>
    <cellStyle name="Note 2 4 22 2 2" xfId="38077" xr:uid="{00000000-0005-0000-0000-0000BB940000}"/>
    <cellStyle name="Note 2 4 22 2 3" xfId="38078" xr:uid="{00000000-0005-0000-0000-0000BC940000}"/>
    <cellStyle name="Note 2 4 22 2 4" xfId="38079" xr:uid="{00000000-0005-0000-0000-0000BD940000}"/>
    <cellStyle name="Note 2 4 22 2 5" xfId="38080" xr:uid="{00000000-0005-0000-0000-0000BE940000}"/>
    <cellStyle name="Note 2 4 22 3" xfId="38081" xr:uid="{00000000-0005-0000-0000-0000BF940000}"/>
    <cellStyle name="Note 2 4 22 4" xfId="38082" xr:uid="{00000000-0005-0000-0000-0000C0940000}"/>
    <cellStyle name="Note 2 4 22 5" xfId="38083" xr:uid="{00000000-0005-0000-0000-0000C1940000}"/>
    <cellStyle name="Note 2 4 22 6" xfId="38084" xr:uid="{00000000-0005-0000-0000-0000C2940000}"/>
    <cellStyle name="Note 2 4 23" xfId="38085" xr:uid="{00000000-0005-0000-0000-0000C3940000}"/>
    <cellStyle name="Note 2 4 23 2" xfId="38086" xr:uid="{00000000-0005-0000-0000-0000C4940000}"/>
    <cellStyle name="Note 2 4 23 2 2" xfId="38087" xr:uid="{00000000-0005-0000-0000-0000C5940000}"/>
    <cellStyle name="Note 2 4 23 2 3" xfId="38088" xr:uid="{00000000-0005-0000-0000-0000C6940000}"/>
    <cellStyle name="Note 2 4 23 2 4" xfId="38089" xr:uid="{00000000-0005-0000-0000-0000C7940000}"/>
    <cellStyle name="Note 2 4 23 2 5" xfId="38090" xr:uid="{00000000-0005-0000-0000-0000C8940000}"/>
    <cellStyle name="Note 2 4 23 3" xfId="38091" xr:uid="{00000000-0005-0000-0000-0000C9940000}"/>
    <cellStyle name="Note 2 4 23 4" xfId="38092" xr:uid="{00000000-0005-0000-0000-0000CA940000}"/>
    <cellStyle name="Note 2 4 23 5" xfId="38093" xr:uid="{00000000-0005-0000-0000-0000CB940000}"/>
    <cellStyle name="Note 2 4 23 6" xfId="38094" xr:uid="{00000000-0005-0000-0000-0000CC940000}"/>
    <cellStyle name="Note 2 4 24" xfId="38095" xr:uid="{00000000-0005-0000-0000-0000CD940000}"/>
    <cellStyle name="Note 2 4 24 2" xfId="38096" xr:uid="{00000000-0005-0000-0000-0000CE940000}"/>
    <cellStyle name="Note 2 4 24 2 2" xfId="38097" xr:uid="{00000000-0005-0000-0000-0000CF940000}"/>
    <cellStyle name="Note 2 4 24 2 3" xfId="38098" xr:uid="{00000000-0005-0000-0000-0000D0940000}"/>
    <cellStyle name="Note 2 4 24 2 4" xfId="38099" xr:uid="{00000000-0005-0000-0000-0000D1940000}"/>
    <cellStyle name="Note 2 4 24 2 5" xfId="38100" xr:uid="{00000000-0005-0000-0000-0000D2940000}"/>
    <cellStyle name="Note 2 4 24 3" xfId="38101" xr:uid="{00000000-0005-0000-0000-0000D3940000}"/>
    <cellStyle name="Note 2 4 24 4" xfId="38102" xr:uid="{00000000-0005-0000-0000-0000D4940000}"/>
    <cellStyle name="Note 2 4 24 5" xfId="38103" xr:uid="{00000000-0005-0000-0000-0000D5940000}"/>
    <cellStyle name="Note 2 4 24 6" xfId="38104" xr:uid="{00000000-0005-0000-0000-0000D6940000}"/>
    <cellStyle name="Note 2 4 25" xfId="38105" xr:uid="{00000000-0005-0000-0000-0000D7940000}"/>
    <cellStyle name="Note 2 4 25 2" xfId="38106" xr:uid="{00000000-0005-0000-0000-0000D8940000}"/>
    <cellStyle name="Note 2 4 25 2 2" xfId="38107" xr:uid="{00000000-0005-0000-0000-0000D9940000}"/>
    <cellStyle name="Note 2 4 25 2 3" xfId="38108" xr:uid="{00000000-0005-0000-0000-0000DA940000}"/>
    <cellStyle name="Note 2 4 25 2 4" xfId="38109" xr:uid="{00000000-0005-0000-0000-0000DB940000}"/>
    <cellStyle name="Note 2 4 25 2 5" xfId="38110" xr:uid="{00000000-0005-0000-0000-0000DC940000}"/>
    <cellStyle name="Note 2 4 25 3" xfId="38111" xr:uid="{00000000-0005-0000-0000-0000DD940000}"/>
    <cellStyle name="Note 2 4 25 4" xfId="38112" xr:uid="{00000000-0005-0000-0000-0000DE940000}"/>
    <cellStyle name="Note 2 4 25 5" xfId="38113" xr:uid="{00000000-0005-0000-0000-0000DF940000}"/>
    <cellStyle name="Note 2 4 25 6" xfId="38114" xr:uid="{00000000-0005-0000-0000-0000E0940000}"/>
    <cellStyle name="Note 2 4 26" xfId="38115" xr:uid="{00000000-0005-0000-0000-0000E1940000}"/>
    <cellStyle name="Note 2 4 26 2" xfId="38116" xr:uid="{00000000-0005-0000-0000-0000E2940000}"/>
    <cellStyle name="Note 2 4 26 2 2" xfId="38117" xr:uid="{00000000-0005-0000-0000-0000E3940000}"/>
    <cellStyle name="Note 2 4 26 2 3" xfId="38118" xr:uid="{00000000-0005-0000-0000-0000E4940000}"/>
    <cellStyle name="Note 2 4 26 2 4" xfId="38119" xr:uid="{00000000-0005-0000-0000-0000E5940000}"/>
    <cellStyle name="Note 2 4 26 2 5" xfId="38120" xr:uid="{00000000-0005-0000-0000-0000E6940000}"/>
    <cellStyle name="Note 2 4 26 3" xfId="38121" xr:uid="{00000000-0005-0000-0000-0000E7940000}"/>
    <cellStyle name="Note 2 4 26 4" xfId="38122" xr:uid="{00000000-0005-0000-0000-0000E8940000}"/>
    <cellStyle name="Note 2 4 26 5" xfId="38123" xr:uid="{00000000-0005-0000-0000-0000E9940000}"/>
    <cellStyle name="Note 2 4 26 6" xfId="38124" xr:uid="{00000000-0005-0000-0000-0000EA940000}"/>
    <cellStyle name="Note 2 4 27" xfId="38125" xr:uid="{00000000-0005-0000-0000-0000EB940000}"/>
    <cellStyle name="Note 2 4 27 2" xfId="38126" xr:uid="{00000000-0005-0000-0000-0000EC940000}"/>
    <cellStyle name="Note 2 4 27 2 2" xfId="38127" xr:uid="{00000000-0005-0000-0000-0000ED940000}"/>
    <cellStyle name="Note 2 4 27 2 3" xfId="38128" xr:uid="{00000000-0005-0000-0000-0000EE940000}"/>
    <cellStyle name="Note 2 4 27 2 4" xfId="38129" xr:uid="{00000000-0005-0000-0000-0000EF940000}"/>
    <cellStyle name="Note 2 4 27 2 5" xfId="38130" xr:uid="{00000000-0005-0000-0000-0000F0940000}"/>
    <cellStyle name="Note 2 4 27 3" xfId="38131" xr:uid="{00000000-0005-0000-0000-0000F1940000}"/>
    <cellStyle name="Note 2 4 27 4" xfId="38132" xr:uid="{00000000-0005-0000-0000-0000F2940000}"/>
    <cellStyle name="Note 2 4 27 5" xfId="38133" xr:uid="{00000000-0005-0000-0000-0000F3940000}"/>
    <cellStyle name="Note 2 4 27 6" xfId="38134" xr:uid="{00000000-0005-0000-0000-0000F4940000}"/>
    <cellStyle name="Note 2 4 28" xfId="38135" xr:uid="{00000000-0005-0000-0000-0000F5940000}"/>
    <cellStyle name="Note 2 4 28 2" xfId="38136" xr:uid="{00000000-0005-0000-0000-0000F6940000}"/>
    <cellStyle name="Note 2 4 28 2 2" xfId="38137" xr:uid="{00000000-0005-0000-0000-0000F7940000}"/>
    <cellStyle name="Note 2 4 28 2 3" xfId="38138" xr:uid="{00000000-0005-0000-0000-0000F8940000}"/>
    <cellStyle name="Note 2 4 28 2 4" xfId="38139" xr:uid="{00000000-0005-0000-0000-0000F9940000}"/>
    <cellStyle name="Note 2 4 28 2 5" xfId="38140" xr:uid="{00000000-0005-0000-0000-0000FA940000}"/>
    <cellStyle name="Note 2 4 28 3" xfId="38141" xr:uid="{00000000-0005-0000-0000-0000FB940000}"/>
    <cellStyle name="Note 2 4 28 4" xfId="38142" xr:uid="{00000000-0005-0000-0000-0000FC940000}"/>
    <cellStyle name="Note 2 4 28 5" xfId="38143" xr:uid="{00000000-0005-0000-0000-0000FD940000}"/>
    <cellStyle name="Note 2 4 28 6" xfId="38144" xr:uid="{00000000-0005-0000-0000-0000FE940000}"/>
    <cellStyle name="Note 2 4 29" xfId="38145" xr:uid="{00000000-0005-0000-0000-0000FF940000}"/>
    <cellStyle name="Note 2 4 29 2" xfId="38146" xr:uid="{00000000-0005-0000-0000-000000950000}"/>
    <cellStyle name="Note 2 4 29 2 2" xfId="38147" xr:uid="{00000000-0005-0000-0000-000001950000}"/>
    <cellStyle name="Note 2 4 29 2 3" xfId="38148" xr:uid="{00000000-0005-0000-0000-000002950000}"/>
    <cellStyle name="Note 2 4 29 2 4" xfId="38149" xr:uid="{00000000-0005-0000-0000-000003950000}"/>
    <cellStyle name="Note 2 4 29 2 5" xfId="38150" xr:uid="{00000000-0005-0000-0000-000004950000}"/>
    <cellStyle name="Note 2 4 29 3" xfId="38151" xr:uid="{00000000-0005-0000-0000-000005950000}"/>
    <cellStyle name="Note 2 4 29 4" xfId="38152" xr:uid="{00000000-0005-0000-0000-000006950000}"/>
    <cellStyle name="Note 2 4 29 5" xfId="38153" xr:uid="{00000000-0005-0000-0000-000007950000}"/>
    <cellStyle name="Note 2 4 29 6" xfId="38154" xr:uid="{00000000-0005-0000-0000-000008950000}"/>
    <cellStyle name="Note 2 4 3" xfId="38155" xr:uid="{00000000-0005-0000-0000-000009950000}"/>
    <cellStyle name="Note 2 4 3 2" xfId="38156" xr:uid="{00000000-0005-0000-0000-00000A950000}"/>
    <cellStyle name="Note 2 4 3 2 2" xfId="38157" xr:uid="{00000000-0005-0000-0000-00000B950000}"/>
    <cellStyle name="Note 2 4 3 2 3" xfId="38158" xr:uid="{00000000-0005-0000-0000-00000C950000}"/>
    <cellStyle name="Note 2 4 3 2 4" xfId="38159" xr:uid="{00000000-0005-0000-0000-00000D950000}"/>
    <cellStyle name="Note 2 4 3 2 5" xfId="38160" xr:uid="{00000000-0005-0000-0000-00000E950000}"/>
    <cellStyle name="Note 2 4 3 3" xfId="38161" xr:uid="{00000000-0005-0000-0000-00000F950000}"/>
    <cellStyle name="Note 2 4 3 3 2" xfId="38162" xr:uid="{00000000-0005-0000-0000-000010950000}"/>
    <cellStyle name="Note 2 4 3 3 3" xfId="38163" xr:uid="{00000000-0005-0000-0000-000011950000}"/>
    <cellStyle name="Note 2 4 3 3 4" xfId="38164" xr:uid="{00000000-0005-0000-0000-000012950000}"/>
    <cellStyle name="Note 2 4 3 3 5" xfId="38165" xr:uid="{00000000-0005-0000-0000-000013950000}"/>
    <cellStyle name="Note 2 4 30" xfId="38166" xr:uid="{00000000-0005-0000-0000-000014950000}"/>
    <cellStyle name="Note 2 4 30 2" xfId="38167" xr:uid="{00000000-0005-0000-0000-000015950000}"/>
    <cellStyle name="Note 2 4 30 2 2" xfId="38168" xr:uid="{00000000-0005-0000-0000-000016950000}"/>
    <cellStyle name="Note 2 4 30 2 3" xfId="38169" xr:uid="{00000000-0005-0000-0000-000017950000}"/>
    <cellStyle name="Note 2 4 30 2 4" xfId="38170" xr:uid="{00000000-0005-0000-0000-000018950000}"/>
    <cellStyle name="Note 2 4 30 2 5" xfId="38171" xr:uid="{00000000-0005-0000-0000-000019950000}"/>
    <cellStyle name="Note 2 4 30 3" xfId="38172" xr:uid="{00000000-0005-0000-0000-00001A950000}"/>
    <cellStyle name="Note 2 4 30 4" xfId="38173" xr:uid="{00000000-0005-0000-0000-00001B950000}"/>
    <cellStyle name="Note 2 4 30 5" xfId="38174" xr:uid="{00000000-0005-0000-0000-00001C950000}"/>
    <cellStyle name="Note 2 4 30 6" xfId="38175" xr:uid="{00000000-0005-0000-0000-00001D950000}"/>
    <cellStyle name="Note 2 4 31" xfId="38176" xr:uid="{00000000-0005-0000-0000-00001E950000}"/>
    <cellStyle name="Note 2 4 31 2" xfId="38177" xr:uid="{00000000-0005-0000-0000-00001F950000}"/>
    <cellStyle name="Note 2 4 31 2 2" xfId="38178" xr:uid="{00000000-0005-0000-0000-000020950000}"/>
    <cellStyle name="Note 2 4 31 2 3" xfId="38179" xr:uid="{00000000-0005-0000-0000-000021950000}"/>
    <cellStyle name="Note 2 4 31 2 4" xfId="38180" xr:uid="{00000000-0005-0000-0000-000022950000}"/>
    <cellStyle name="Note 2 4 31 2 5" xfId="38181" xr:uid="{00000000-0005-0000-0000-000023950000}"/>
    <cellStyle name="Note 2 4 31 3" xfId="38182" xr:uid="{00000000-0005-0000-0000-000024950000}"/>
    <cellStyle name="Note 2 4 31 4" xfId="38183" xr:uid="{00000000-0005-0000-0000-000025950000}"/>
    <cellStyle name="Note 2 4 31 5" xfId="38184" xr:uid="{00000000-0005-0000-0000-000026950000}"/>
    <cellStyle name="Note 2 4 31 6" xfId="38185" xr:uid="{00000000-0005-0000-0000-000027950000}"/>
    <cellStyle name="Note 2 4 32" xfId="38186" xr:uid="{00000000-0005-0000-0000-000028950000}"/>
    <cellStyle name="Note 2 4 32 2" xfId="38187" xr:uid="{00000000-0005-0000-0000-000029950000}"/>
    <cellStyle name="Note 2 4 32 2 2" xfId="38188" xr:uid="{00000000-0005-0000-0000-00002A950000}"/>
    <cellStyle name="Note 2 4 32 2 3" xfId="38189" xr:uid="{00000000-0005-0000-0000-00002B950000}"/>
    <cellStyle name="Note 2 4 32 2 4" xfId="38190" xr:uid="{00000000-0005-0000-0000-00002C950000}"/>
    <cellStyle name="Note 2 4 32 2 5" xfId="38191" xr:uid="{00000000-0005-0000-0000-00002D950000}"/>
    <cellStyle name="Note 2 4 32 3" xfId="38192" xr:uid="{00000000-0005-0000-0000-00002E950000}"/>
    <cellStyle name="Note 2 4 32 4" xfId="38193" xr:uid="{00000000-0005-0000-0000-00002F950000}"/>
    <cellStyle name="Note 2 4 32 5" xfId="38194" xr:uid="{00000000-0005-0000-0000-000030950000}"/>
    <cellStyle name="Note 2 4 32 6" xfId="38195" xr:uid="{00000000-0005-0000-0000-000031950000}"/>
    <cellStyle name="Note 2 4 33" xfId="38196" xr:uid="{00000000-0005-0000-0000-000032950000}"/>
    <cellStyle name="Note 2 4 33 2" xfId="38197" xr:uid="{00000000-0005-0000-0000-000033950000}"/>
    <cellStyle name="Note 2 4 33 2 2" xfId="38198" xr:uid="{00000000-0005-0000-0000-000034950000}"/>
    <cellStyle name="Note 2 4 33 2 3" xfId="38199" xr:uid="{00000000-0005-0000-0000-000035950000}"/>
    <cellStyle name="Note 2 4 33 2 4" xfId="38200" xr:uid="{00000000-0005-0000-0000-000036950000}"/>
    <cellStyle name="Note 2 4 33 2 5" xfId="38201" xr:uid="{00000000-0005-0000-0000-000037950000}"/>
    <cellStyle name="Note 2 4 33 3" xfId="38202" xr:uid="{00000000-0005-0000-0000-000038950000}"/>
    <cellStyle name="Note 2 4 33 4" xfId="38203" xr:uid="{00000000-0005-0000-0000-000039950000}"/>
    <cellStyle name="Note 2 4 33 5" xfId="38204" xr:uid="{00000000-0005-0000-0000-00003A950000}"/>
    <cellStyle name="Note 2 4 33 6" xfId="38205" xr:uid="{00000000-0005-0000-0000-00003B950000}"/>
    <cellStyle name="Note 2 4 34" xfId="38206" xr:uid="{00000000-0005-0000-0000-00003C950000}"/>
    <cellStyle name="Note 2 4 34 2" xfId="38207" xr:uid="{00000000-0005-0000-0000-00003D950000}"/>
    <cellStyle name="Note 2 4 34 2 2" xfId="38208" xr:uid="{00000000-0005-0000-0000-00003E950000}"/>
    <cellStyle name="Note 2 4 34 2 3" xfId="38209" xr:uid="{00000000-0005-0000-0000-00003F950000}"/>
    <cellStyle name="Note 2 4 34 2 4" xfId="38210" xr:uid="{00000000-0005-0000-0000-000040950000}"/>
    <cellStyle name="Note 2 4 34 2 5" xfId="38211" xr:uid="{00000000-0005-0000-0000-000041950000}"/>
    <cellStyle name="Note 2 4 34 3" xfId="38212" xr:uid="{00000000-0005-0000-0000-000042950000}"/>
    <cellStyle name="Note 2 4 34 4" xfId="38213" xr:uid="{00000000-0005-0000-0000-000043950000}"/>
    <cellStyle name="Note 2 4 34 5" xfId="38214" xr:uid="{00000000-0005-0000-0000-000044950000}"/>
    <cellStyle name="Note 2 4 34 6" xfId="38215" xr:uid="{00000000-0005-0000-0000-000045950000}"/>
    <cellStyle name="Note 2 4 35" xfId="38216" xr:uid="{00000000-0005-0000-0000-000046950000}"/>
    <cellStyle name="Note 2 4 35 2" xfId="38217" xr:uid="{00000000-0005-0000-0000-000047950000}"/>
    <cellStyle name="Note 2 4 35 2 2" xfId="38218" xr:uid="{00000000-0005-0000-0000-000048950000}"/>
    <cellStyle name="Note 2 4 35 2 3" xfId="38219" xr:uid="{00000000-0005-0000-0000-000049950000}"/>
    <cellStyle name="Note 2 4 35 2 4" xfId="38220" xr:uid="{00000000-0005-0000-0000-00004A950000}"/>
    <cellStyle name="Note 2 4 35 2 5" xfId="38221" xr:uid="{00000000-0005-0000-0000-00004B950000}"/>
    <cellStyle name="Note 2 4 35 3" xfId="38222" xr:uid="{00000000-0005-0000-0000-00004C950000}"/>
    <cellStyle name="Note 2 4 35 4" xfId="38223" xr:uid="{00000000-0005-0000-0000-00004D950000}"/>
    <cellStyle name="Note 2 4 35 5" xfId="38224" xr:uid="{00000000-0005-0000-0000-00004E950000}"/>
    <cellStyle name="Note 2 4 35 6" xfId="38225" xr:uid="{00000000-0005-0000-0000-00004F950000}"/>
    <cellStyle name="Note 2 4 36" xfId="38226" xr:uid="{00000000-0005-0000-0000-000050950000}"/>
    <cellStyle name="Note 2 4 36 2" xfId="38227" xr:uid="{00000000-0005-0000-0000-000051950000}"/>
    <cellStyle name="Note 2 4 36 2 2" xfId="38228" xr:uid="{00000000-0005-0000-0000-000052950000}"/>
    <cellStyle name="Note 2 4 36 2 3" xfId="38229" xr:uid="{00000000-0005-0000-0000-000053950000}"/>
    <cellStyle name="Note 2 4 36 2 4" xfId="38230" xr:uid="{00000000-0005-0000-0000-000054950000}"/>
    <cellStyle name="Note 2 4 36 2 5" xfId="38231" xr:uid="{00000000-0005-0000-0000-000055950000}"/>
    <cellStyle name="Note 2 4 36 3" xfId="38232" xr:uid="{00000000-0005-0000-0000-000056950000}"/>
    <cellStyle name="Note 2 4 36 4" xfId="38233" xr:uid="{00000000-0005-0000-0000-000057950000}"/>
    <cellStyle name="Note 2 4 36 5" xfId="38234" xr:uid="{00000000-0005-0000-0000-000058950000}"/>
    <cellStyle name="Note 2 4 36 6" xfId="38235" xr:uid="{00000000-0005-0000-0000-000059950000}"/>
    <cellStyle name="Note 2 4 37" xfId="38236" xr:uid="{00000000-0005-0000-0000-00005A950000}"/>
    <cellStyle name="Note 2 4 37 2" xfId="38237" xr:uid="{00000000-0005-0000-0000-00005B950000}"/>
    <cellStyle name="Note 2 4 37 2 2" xfId="38238" xr:uid="{00000000-0005-0000-0000-00005C950000}"/>
    <cellStyle name="Note 2 4 37 2 3" xfId="38239" xr:uid="{00000000-0005-0000-0000-00005D950000}"/>
    <cellStyle name="Note 2 4 37 2 4" xfId="38240" xr:uid="{00000000-0005-0000-0000-00005E950000}"/>
    <cellStyle name="Note 2 4 37 2 5" xfId="38241" xr:uid="{00000000-0005-0000-0000-00005F950000}"/>
    <cellStyle name="Note 2 4 37 3" xfId="38242" xr:uid="{00000000-0005-0000-0000-000060950000}"/>
    <cellStyle name="Note 2 4 37 4" xfId="38243" xr:uid="{00000000-0005-0000-0000-000061950000}"/>
    <cellStyle name="Note 2 4 37 5" xfId="38244" xr:uid="{00000000-0005-0000-0000-000062950000}"/>
    <cellStyle name="Note 2 4 37 6" xfId="38245" xr:uid="{00000000-0005-0000-0000-000063950000}"/>
    <cellStyle name="Note 2 4 38" xfId="38246" xr:uid="{00000000-0005-0000-0000-000064950000}"/>
    <cellStyle name="Note 2 4 38 2" xfId="38247" xr:uid="{00000000-0005-0000-0000-000065950000}"/>
    <cellStyle name="Note 2 4 38 2 2" xfId="38248" xr:uid="{00000000-0005-0000-0000-000066950000}"/>
    <cellStyle name="Note 2 4 38 2 3" xfId="38249" xr:uid="{00000000-0005-0000-0000-000067950000}"/>
    <cellStyle name="Note 2 4 38 2 4" xfId="38250" xr:uid="{00000000-0005-0000-0000-000068950000}"/>
    <cellStyle name="Note 2 4 38 2 5" xfId="38251" xr:uid="{00000000-0005-0000-0000-000069950000}"/>
    <cellStyle name="Note 2 4 38 3" xfId="38252" xr:uid="{00000000-0005-0000-0000-00006A950000}"/>
    <cellStyle name="Note 2 4 38 4" xfId="38253" xr:uid="{00000000-0005-0000-0000-00006B950000}"/>
    <cellStyle name="Note 2 4 38 5" xfId="38254" xr:uid="{00000000-0005-0000-0000-00006C950000}"/>
    <cellStyle name="Note 2 4 38 6" xfId="38255" xr:uid="{00000000-0005-0000-0000-00006D950000}"/>
    <cellStyle name="Note 2 4 39" xfId="38256" xr:uid="{00000000-0005-0000-0000-00006E950000}"/>
    <cellStyle name="Note 2 4 39 2" xfId="38257" xr:uid="{00000000-0005-0000-0000-00006F950000}"/>
    <cellStyle name="Note 2 4 39 2 2" xfId="38258" xr:uid="{00000000-0005-0000-0000-000070950000}"/>
    <cellStyle name="Note 2 4 39 2 3" xfId="38259" xr:uid="{00000000-0005-0000-0000-000071950000}"/>
    <cellStyle name="Note 2 4 39 2 4" xfId="38260" xr:uid="{00000000-0005-0000-0000-000072950000}"/>
    <cellStyle name="Note 2 4 39 2 5" xfId="38261" xr:uid="{00000000-0005-0000-0000-000073950000}"/>
    <cellStyle name="Note 2 4 39 3" xfId="38262" xr:uid="{00000000-0005-0000-0000-000074950000}"/>
    <cellStyle name="Note 2 4 39 4" xfId="38263" xr:uid="{00000000-0005-0000-0000-000075950000}"/>
    <cellStyle name="Note 2 4 39 5" xfId="38264" xr:uid="{00000000-0005-0000-0000-000076950000}"/>
    <cellStyle name="Note 2 4 39 6" xfId="38265" xr:uid="{00000000-0005-0000-0000-000077950000}"/>
    <cellStyle name="Note 2 4 4" xfId="38266" xr:uid="{00000000-0005-0000-0000-000078950000}"/>
    <cellStyle name="Note 2 4 4 2" xfId="38267" xr:uid="{00000000-0005-0000-0000-000079950000}"/>
    <cellStyle name="Note 2 4 4 2 2" xfId="38268" xr:uid="{00000000-0005-0000-0000-00007A950000}"/>
    <cellStyle name="Note 2 4 4 2 3" xfId="38269" xr:uid="{00000000-0005-0000-0000-00007B950000}"/>
    <cellStyle name="Note 2 4 4 2 4" xfId="38270" xr:uid="{00000000-0005-0000-0000-00007C950000}"/>
    <cellStyle name="Note 2 4 4 2 5" xfId="38271" xr:uid="{00000000-0005-0000-0000-00007D950000}"/>
    <cellStyle name="Note 2 4 4 3" xfId="38272" xr:uid="{00000000-0005-0000-0000-00007E950000}"/>
    <cellStyle name="Note 2 4 4 4" xfId="38273" xr:uid="{00000000-0005-0000-0000-00007F950000}"/>
    <cellStyle name="Note 2 4 4 5" xfId="38274" xr:uid="{00000000-0005-0000-0000-000080950000}"/>
    <cellStyle name="Note 2 4 4 6" xfId="38275" xr:uid="{00000000-0005-0000-0000-000081950000}"/>
    <cellStyle name="Note 2 4 40" xfId="38276" xr:uid="{00000000-0005-0000-0000-000082950000}"/>
    <cellStyle name="Note 2 4 40 2" xfId="38277" xr:uid="{00000000-0005-0000-0000-000083950000}"/>
    <cellStyle name="Note 2 4 40 2 2" xfId="38278" xr:uid="{00000000-0005-0000-0000-000084950000}"/>
    <cellStyle name="Note 2 4 40 2 3" xfId="38279" xr:uid="{00000000-0005-0000-0000-000085950000}"/>
    <cellStyle name="Note 2 4 40 2 4" xfId="38280" xr:uid="{00000000-0005-0000-0000-000086950000}"/>
    <cellStyle name="Note 2 4 40 2 5" xfId="38281" xr:uid="{00000000-0005-0000-0000-000087950000}"/>
    <cellStyle name="Note 2 4 40 3" xfId="38282" xr:uid="{00000000-0005-0000-0000-000088950000}"/>
    <cellStyle name="Note 2 4 40 4" xfId="38283" xr:uid="{00000000-0005-0000-0000-000089950000}"/>
    <cellStyle name="Note 2 4 40 5" xfId="38284" xr:uid="{00000000-0005-0000-0000-00008A950000}"/>
    <cellStyle name="Note 2 4 40 6" xfId="38285" xr:uid="{00000000-0005-0000-0000-00008B950000}"/>
    <cellStyle name="Note 2 4 41" xfId="38286" xr:uid="{00000000-0005-0000-0000-00008C950000}"/>
    <cellStyle name="Note 2 4 41 2" xfId="38287" xr:uid="{00000000-0005-0000-0000-00008D950000}"/>
    <cellStyle name="Note 2 4 41 2 2" xfId="38288" xr:uid="{00000000-0005-0000-0000-00008E950000}"/>
    <cellStyle name="Note 2 4 41 2 3" xfId="38289" xr:uid="{00000000-0005-0000-0000-00008F950000}"/>
    <cellStyle name="Note 2 4 41 2 4" xfId="38290" xr:uid="{00000000-0005-0000-0000-000090950000}"/>
    <cellStyle name="Note 2 4 41 2 5" xfId="38291" xr:uid="{00000000-0005-0000-0000-000091950000}"/>
    <cellStyle name="Note 2 4 41 3" xfId="38292" xr:uid="{00000000-0005-0000-0000-000092950000}"/>
    <cellStyle name="Note 2 4 41 4" xfId="38293" xr:uid="{00000000-0005-0000-0000-000093950000}"/>
    <cellStyle name="Note 2 4 41 5" xfId="38294" xr:uid="{00000000-0005-0000-0000-000094950000}"/>
    <cellStyle name="Note 2 4 41 6" xfId="38295" xr:uid="{00000000-0005-0000-0000-000095950000}"/>
    <cellStyle name="Note 2 4 42" xfId="38296" xr:uid="{00000000-0005-0000-0000-000096950000}"/>
    <cellStyle name="Note 2 4 42 2" xfId="38297" xr:uid="{00000000-0005-0000-0000-000097950000}"/>
    <cellStyle name="Note 2 4 42 3" xfId="38298" xr:uid="{00000000-0005-0000-0000-000098950000}"/>
    <cellStyle name="Note 2 4 42 4" xfId="38299" xr:uid="{00000000-0005-0000-0000-000099950000}"/>
    <cellStyle name="Note 2 4 42 5" xfId="38300" xr:uid="{00000000-0005-0000-0000-00009A950000}"/>
    <cellStyle name="Note 2 4 43" xfId="38301" xr:uid="{00000000-0005-0000-0000-00009B950000}"/>
    <cellStyle name="Note 2 4 43 2" xfId="38302" xr:uid="{00000000-0005-0000-0000-00009C950000}"/>
    <cellStyle name="Note 2 4 43 3" xfId="38303" xr:uid="{00000000-0005-0000-0000-00009D950000}"/>
    <cellStyle name="Note 2 4 43 4" xfId="38304" xr:uid="{00000000-0005-0000-0000-00009E950000}"/>
    <cellStyle name="Note 2 4 43 5" xfId="38305" xr:uid="{00000000-0005-0000-0000-00009F950000}"/>
    <cellStyle name="Note 2 4 5" xfId="38306" xr:uid="{00000000-0005-0000-0000-0000A0950000}"/>
    <cellStyle name="Note 2 4 5 2" xfId="38307" xr:uid="{00000000-0005-0000-0000-0000A1950000}"/>
    <cellStyle name="Note 2 4 5 2 2" xfId="38308" xr:uid="{00000000-0005-0000-0000-0000A2950000}"/>
    <cellStyle name="Note 2 4 5 2 3" xfId="38309" xr:uid="{00000000-0005-0000-0000-0000A3950000}"/>
    <cellStyle name="Note 2 4 5 2 4" xfId="38310" xr:uid="{00000000-0005-0000-0000-0000A4950000}"/>
    <cellStyle name="Note 2 4 5 2 5" xfId="38311" xr:uid="{00000000-0005-0000-0000-0000A5950000}"/>
    <cellStyle name="Note 2 4 5 3" xfId="38312" xr:uid="{00000000-0005-0000-0000-0000A6950000}"/>
    <cellStyle name="Note 2 4 5 4" xfId="38313" xr:uid="{00000000-0005-0000-0000-0000A7950000}"/>
    <cellStyle name="Note 2 4 5 5" xfId="38314" xr:uid="{00000000-0005-0000-0000-0000A8950000}"/>
    <cellStyle name="Note 2 4 5 6" xfId="38315" xr:uid="{00000000-0005-0000-0000-0000A9950000}"/>
    <cellStyle name="Note 2 4 6" xfId="38316" xr:uid="{00000000-0005-0000-0000-0000AA950000}"/>
    <cellStyle name="Note 2 4 6 2" xfId="38317" xr:uid="{00000000-0005-0000-0000-0000AB950000}"/>
    <cellStyle name="Note 2 4 6 2 2" xfId="38318" xr:uid="{00000000-0005-0000-0000-0000AC950000}"/>
    <cellStyle name="Note 2 4 6 2 3" xfId="38319" xr:uid="{00000000-0005-0000-0000-0000AD950000}"/>
    <cellStyle name="Note 2 4 6 2 4" xfId="38320" xr:uid="{00000000-0005-0000-0000-0000AE950000}"/>
    <cellStyle name="Note 2 4 6 2 5" xfId="38321" xr:uid="{00000000-0005-0000-0000-0000AF950000}"/>
    <cellStyle name="Note 2 4 6 3" xfId="38322" xr:uid="{00000000-0005-0000-0000-0000B0950000}"/>
    <cellStyle name="Note 2 4 6 4" xfId="38323" xr:uid="{00000000-0005-0000-0000-0000B1950000}"/>
    <cellStyle name="Note 2 4 6 5" xfId="38324" xr:uid="{00000000-0005-0000-0000-0000B2950000}"/>
    <cellStyle name="Note 2 4 6 6" xfId="38325" xr:uid="{00000000-0005-0000-0000-0000B3950000}"/>
    <cellStyle name="Note 2 4 7" xfId="38326" xr:uid="{00000000-0005-0000-0000-0000B4950000}"/>
    <cellStyle name="Note 2 4 7 2" xfId="38327" xr:uid="{00000000-0005-0000-0000-0000B5950000}"/>
    <cellStyle name="Note 2 4 7 2 2" xfId="38328" xr:uid="{00000000-0005-0000-0000-0000B6950000}"/>
    <cellStyle name="Note 2 4 7 2 3" xfId="38329" xr:uid="{00000000-0005-0000-0000-0000B7950000}"/>
    <cellStyle name="Note 2 4 7 2 4" xfId="38330" xr:uid="{00000000-0005-0000-0000-0000B8950000}"/>
    <cellStyle name="Note 2 4 7 2 5" xfId="38331" xr:uid="{00000000-0005-0000-0000-0000B9950000}"/>
    <cellStyle name="Note 2 4 7 3" xfId="38332" xr:uid="{00000000-0005-0000-0000-0000BA950000}"/>
    <cellStyle name="Note 2 4 7 4" xfId="38333" xr:uid="{00000000-0005-0000-0000-0000BB950000}"/>
    <cellStyle name="Note 2 4 7 5" xfId="38334" xr:uid="{00000000-0005-0000-0000-0000BC950000}"/>
    <cellStyle name="Note 2 4 7 6" xfId="38335" xr:uid="{00000000-0005-0000-0000-0000BD950000}"/>
    <cellStyle name="Note 2 4 8" xfId="38336" xr:uid="{00000000-0005-0000-0000-0000BE950000}"/>
    <cellStyle name="Note 2 4 8 2" xfId="38337" xr:uid="{00000000-0005-0000-0000-0000BF950000}"/>
    <cellStyle name="Note 2 4 8 2 2" xfId="38338" xr:uid="{00000000-0005-0000-0000-0000C0950000}"/>
    <cellStyle name="Note 2 4 8 2 3" xfId="38339" xr:uid="{00000000-0005-0000-0000-0000C1950000}"/>
    <cellStyle name="Note 2 4 8 2 4" xfId="38340" xr:uid="{00000000-0005-0000-0000-0000C2950000}"/>
    <cellStyle name="Note 2 4 8 2 5" xfId="38341" xr:uid="{00000000-0005-0000-0000-0000C3950000}"/>
    <cellStyle name="Note 2 4 8 3" xfId="38342" xr:uid="{00000000-0005-0000-0000-0000C4950000}"/>
    <cellStyle name="Note 2 4 8 4" xfId="38343" xr:uid="{00000000-0005-0000-0000-0000C5950000}"/>
    <cellStyle name="Note 2 4 8 5" xfId="38344" xr:uid="{00000000-0005-0000-0000-0000C6950000}"/>
    <cellStyle name="Note 2 4 8 6" xfId="38345" xr:uid="{00000000-0005-0000-0000-0000C7950000}"/>
    <cellStyle name="Note 2 4 9" xfId="38346" xr:uid="{00000000-0005-0000-0000-0000C8950000}"/>
    <cellStyle name="Note 2 4 9 2" xfId="38347" xr:uid="{00000000-0005-0000-0000-0000C9950000}"/>
    <cellStyle name="Note 2 4 9 2 2" xfId="38348" xr:uid="{00000000-0005-0000-0000-0000CA950000}"/>
    <cellStyle name="Note 2 4 9 2 3" xfId="38349" xr:uid="{00000000-0005-0000-0000-0000CB950000}"/>
    <cellStyle name="Note 2 4 9 2 4" xfId="38350" xr:uid="{00000000-0005-0000-0000-0000CC950000}"/>
    <cellStyle name="Note 2 4 9 2 5" xfId="38351" xr:uid="{00000000-0005-0000-0000-0000CD950000}"/>
    <cellStyle name="Note 2 4 9 3" xfId="38352" xr:uid="{00000000-0005-0000-0000-0000CE950000}"/>
    <cellStyle name="Note 2 4 9 4" xfId="38353" xr:uid="{00000000-0005-0000-0000-0000CF950000}"/>
    <cellStyle name="Note 2 4 9 5" xfId="38354" xr:uid="{00000000-0005-0000-0000-0000D0950000}"/>
    <cellStyle name="Note 2 4 9 6" xfId="38355" xr:uid="{00000000-0005-0000-0000-0000D1950000}"/>
    <cellStyle name="Note 2 5" xfId="38356" xr:uid="{00000000-0005-0000-0000-0000D2950000}"/>
    <cellStyle name="Note 2 5 2" xfId="38357" xr:uid="{00000000-0005-0000-0000-0000D3950000}"/>
    <cellStyle name="Note 2 5 3" xfId="38358" xr:uid="{00000000-0005-0000-0000-0000D4950000}"/>
    <cellStyle name="Note 2 6" xfId="38359" xr:uid="{00000000-0005-0000-0000-0000D5950000}"/>
    <cellStyle name="Note 2 6 2" xfId="38360" xr:uid="{00000000-0005-0000-0000-0000D6950000}"/>
    <cellStyle name="Note 2 6 3" xfId="38361" xr:uid="{00000000-0005-0000-0000-0000D7950000}"/>
    <cellStyle name="Note 2 7" xfId="38362" xr:uid="{00000000-0005-0000-0000-0000D8950000}"/>
    <cellStyle name="Note 2 7 2" xfId="38363" xr:uid="{00000000-0005-0000-0000-0000D9950000}"/>
    <cellStyle name="Note 2 7 3" xfId="38364" xr:uid="{00000000-0005-0000-0000-0000DA950000}"/>
    <cellStyle name="Note 2 7 4" xfId="38365" xr:uid="{00000000-0005-0000-0000-0000DB950000}"/>
    <cellStyle name="Note 2 7 5" xfId="38366" xr:uid="{00000000-0005-0000-0000-0000DC950000}"/>
    <cellStyle name="Note 2 7 6" xfId="38367" xr:uid="{00000000-0005-0000-0000-0000DD950000}"/>
    <cellStyle name="Note 2 8" xfId="38368" xr:uid="{00000000-0005-0000-0000-0000DE950000}"/>
    <cellStyle name="Note 2 9" xfId="38369" xr:uid="{00000000-0005-0000-0000-0000DF950000}"/>
    <cellStyle name="Note 3" xfId="38370" xr:uid="{00000000-0005-0000-0000-0000E0950000}"/>
    <cellStyle name="Note 3 10" xfId="38371" xr:uid="{00000000-0005-0000-0000-0000E1950000}"/>
    <cellStyle name="Note 3 10 2" xfId="38372" xr:uid="{00000000-0005-0000-0000-0000E2950000}"/>
    <cellStyle name="Note 3 10 2 2" xfId="38373" xr:uid="{00000000-0005-0000-0000-0000E3950000}"/>
    <cellStyle name="Note 3 10 2 3" xfId="38374" xr:uid="{00000000-0005-0000-0000-0000E4950000}"/>
    <cellStyle name="Note 3 10 2 4" xfId="38375" xr:uid="{00000000-0005-0000-0000-0000E5950000}"/>
    <cellStyle name="Note 3 10 2 5" xfId="38376" xr:uid="{00000000-0005-0000-0000-0000E6950000}"/>
    <cellStyle name="Note 3 10 2 6" xfId="38377" xr:uid="{00000000-0005-0000-0000-0000E7950000}"/>
    <cellStyle name="Note 3 10 3" xfId="38378" xr:uid="{00000000-0005-0000-0000-0000E8950000}"/>
    <cellStyle name="Note 3 10 4" xfId="38379" xr:uid="{00000000-0005-0000-0000-0000E9950000}"/>
    <cellStyle name="Note 3 10 5" xfId="38380" xr:uid="{00000000-0005-0000-0000-0000EA950000}"/>
    <cellStyle name="Note 3 10 6" xfId="38381" xr:uid="{00000000-0005-0000-0000-0000EB950000}"/>
    <cellStyle name="Note 3 10 7" xfId="38382" xr:uid="{00000000-0005-0000-0000-0000EC950000}"/>
    <cellStyle name="Note 3 11" xfId="38383" xr:uid="{00000000-0005-0000-0000-0000ED950000}"/>
    <cellStyle name="Note 3 11 2" xfId="38384" xr:uid="{00000000-0005-0000-0000-0000EE950000}"/>
    <cellStyle name="Note 3 11 2 2" xfId="38385" xr:uid="{00000000-0005-0000-0000-0000EF950000}"/>
    <cellStyle name="Note 3 11 2 3" xfId="38386" xr:uid="{00000000-0005-0000-0000-0000F0950000}"/>
    <cellStyle name="Note 3 11 2 4" xfId="38387" xr:uid="{00000000-0005-0000-0000-0000F1950000}"/>
    <cellStyle name="Note 3 11 2 5" xfId="38388" xr:uid="{00000000-0005-0000-0000-0000F2950000}"/>
    <cellStyle name="Note 3 11 2 6" xfId="38389" xr:uid="{00000000-0005-0000-0000-0000F3950000}"/>
    <cellStyle name="Note 3 11 3" xfId="38390" xr:uid="{00000000-0005-0000-0000-0000F4950000}"/>
    <cellStyle name="Note 3 11 4" xfId="38391" xr:uid="{00000000-0005-0000-0000-0000F5950000}"/>
    <cellStyle name="Note 3 11 5" xfId="38392" xr:uid="{00000000-0005-0000-0000-0000F6950000}"/>
    <cellStyle name="Note 3 11 6" xfId="38393" xr:uid="{00000000-0005-0000-0000-0000F7950000}"/>
    <cellStyle name="Note 3 11 7" xfId="38394" xr:uid="{00000000-0005-0000-0000-0000F8950000}"/>
    <cellStyle name="Note 3 12" xfId="38395" xr:uid="{00000000-0005-0000-0000-0000F9950000}"/>
    <cellStyle name="Note 3 12 2" xfId="38396" xr:uid="{00000000-0005-0000-0000-0000FA950000}"/>
    <cellStyle name="Note 3 12 2 2" xfId="38397" xr:uid="{00000000-0005-0000-0000-0000FB950000}"/>
    <cellStyle name="Note 3 12 2 3" xfId="38398" xr:uid="{00000000-0005-0000-0000-0000FC950000}"/>
    <cellStyle name="Note 3 12 2 4" xfId="38399" xr:uid="{00000000-0005-0000-0000-0000FD950000}"/>
    <cellStyle name="Note 3 12 2 5" xfId="38400" xr:uid="{00000000-0005-0000-0000-0000FE950000}"/>
    <cellStyle name="Note 3 12 2 6" xfId="38401" xr:uid="{00000000-0005-0000-0000-0000FF950000}"/>
    <cellStyle name="Note 3 12 3" xfId="38402" xr:uid="{00000000-0005-0000-0000-000000960000}"/>
    <cellStyle name="Note 3 12 4" xfId="38403" xr:uid="{00000000-0005-0000-0000-000001960000}"/>
    <cellStyle name="Note 3 12 5" xfId="38404" xr:uid="{00000000-0005-0000-0000-000002960000}"/>
    <cellStyle name="Note 3 12 6" xfId="38405" xr:uid="{00000000-0005-0000-0000-000003960000}"/>
    <cellStyle name="Note 3 12 7" xfId="38406" xr:uid="{00000000-0005-0000-0000-000004960000}"/>
    <cellStyle name="Note 3 13" xfId="38407" xr:uid="{00000000-0005-0000-0000-000005960000}"/>
    <cellStyle name="Note 3 13 2" xfId="38408" xr:uid="{00000000-0005-0000-0000-000006960000}"/>
    <cellStyle name="Note 3 13 2 2" xfId="38409" xr:uid="{00000000-0005-0000-0000-000007960000}"/>
    <cellStyle name="Note 3 13 2 3" xfId="38410" xr:uid="{00000000-0005-0000-0000-000008960000}"/>
    <cellStyle name="Note 3 13 2 4" xfId="38411" xr:uid="{00000000-0005-0000-0000-000009960000}"/>
    <cellStyle name="Note 3 13 2 5" xfId="38412" xr:uid="{00000000-0005-0000-0000-00000A960000}"/>
    <cellStyle name="Note 3 13 2 6" xfId="38413" xr:uid="{00000000-0005-0000-0000-00000B960000}"/>
    <cellStyle name="Note 3 13 3" xfId="38414" xr:uid="{00000000-0005-0000-0000-00000C960000}"/>
    <cellStyle name="Note 3 13 4" xfId="38415" xr:uid="{00000000-0005-0000-0000-00000D960000}"/>
    <cellStyle name="Note 3 13 5" xfId="38416" xr:uid="{00000000-0005-0000-0000-00000E960000}"/>
    <cellStyle name="Note 3 13 6" xfId="38417" xr:uid="{00000000-0005-0000-0000-00000F960000}"/>
    <cellStyle name="Note 3 13 7" xfId="38418" xr:uid="{00000000-0005-0000-0000-000010960000}"/>
    <cellStyle name="Note 3 14" xfId="38419" xr:uid="{00000000-0005-0000-0000-000011960000}"/>
    <cellStyle name="Note 3 14 2" xfId="38420" xr:uid="{00000000-0005-0000-0000-000012960000}"/>
    <cellStyle name="Note 3 14 2 2" xfId="38421" xr:uid="{00000000-0005-0000-0000-000013960000}"/>
    <cellStyle name="Note 3 14 2 3" xfId="38422" xr:uid="{00000000-0005-0000-0000-000014960000}"/>
    <cellStyle name="Note 3 14 2 4" xfId="38423" xr:uid="{00000000-0005-0000-0000-000015960000}"/>
    <cellStyle name="Note 3 14 2 5" xfId="38424" xr:uid="{00000000-0005-0000-0000-000016960000}"/>
    <cellStyle name="Note 3 14 2 6" xfId="38425" xr:uid="{00000000-0005-0000-0000-000017960000}"/>
    <cellStyle name="Note 3 14 3" xfId="38426" xr:uid="{00000000-0005-0000-0000-000018960000}"/>
    <cellStyle name="Note 3 14 4" xfId="38427" xr:uid="{00000000-0005-0000-0000-000019960000}"/>
    <cellStyle name="Note 3 14 5" xfId="38428" xr:uid="{00000000-0005-0000-0000-00001A960000}"/>
    <cellStyle name="Note 3 14 6" xfId="38429" xr:uid="{00000000-0005-0000-0000-00001B960000}"/>
    <cellStyle name="Note 3 14 7" xfId="38430" xr:uid="{00000000-0005-0000-0000-00001C960000}"/>
    <cellStyle name="Note 3 15" xfId="38431" xr:uid="{00000000-0005-0000-0000-00001D960000}"/>
    <cellStyle name="Note 3 15 2" xfId="38432" xr:uid="{00000000-0005-0000-0000-00001E960000}"/>
    <cellStyle name="Note 3 15 2 2" xfId="38433" xr:uid="{00000000-0005-0000-0000-00001F960000}"/>
    <cellStyle name="Note 3 15 2 3" xfId="38434" xr:uid="{00000000-0005-0000-0000-000020960000}"/>
    <cellStyle name="Note 3 15 2 4" xfId="38435" xr:uid="{00000000-0005-0000-0000-000021960000}"/>
    <cellStyle name="Note 3 15 2 5" xfId="38436" xr:uid="{00000000-0005-0000-0000-000022960000}"/>
    <cellStyle name="Note 3 15 2 6" xfId="38437" xr:uid="{00000000-0005-0000-0000-000023960000}"/>
    <cellStyle name="Note 3 15 3" xfId="38438" xr:uid="{00000000-0005-0000-0000-000024960000}"/>
    <cellStyle name="Note 3 15 4" xfId="38439" xr:uid="{00000000-0005-0000-0000-000025960000}"/>
    <cellStyle name="Note 3 15 5" xfId="38440" xr:uid="{00000000-0005-0000-0000-000026960000}"/>
    <cellStyle name="Note 3 15 6" xfId="38441" xr:uid="{00000000-0005-0000-0000-000027960000}"/>
    <cellStyle name="Note 3 15 7" xfId="38442" xr:uid="{00000000-0005-0000-0000-000028960000}"/>
    <cellStyle name="Note 3 16" xfId="38443" xr:uid="{00000000-0005-0000-0000-000029960000}"/>
    <cellStyle name="Note 3 16 2" xfId="38444" xr:uid="{00000000-0005-0000-0000-00002A960000}"/>
    <cellStyle name="Note 3 16 2 2" xfId="38445" xr:uid="{00000000-0005-0000-0000-00002B960000}"/>
    <cellStyle name="Note 3 16 2 3" xfId="38446" xr:uid="{00000000-0005-0000-0000-00002C960000}"/>
    <cellStyle name="Note 3 16 2 4" xfId="38447" xr:uid="{00000000-0005-0000-0000-00002D960000}"/>
    <cellStyle name="Note 3 16 2 5" xfId="38448" xr:uid="{00000000-0005-0000-0000-00002E960000}"/>
    <cellStyle name="Note 3 16 2 6" xfId="38449" xr:uid="{00000000-0005-0000-0000-00002F960000}"/>
    <cellStyle name="Note 3 16 3" xfId="38450" xr:uid="{00000000-0005-0000-0000-000030960000}"/>
    <cellStyle name="Note 3 16 4" xfId="38451" xr:uid="{00000000-0005-0000-0000-000031960000}"/>
    <cellStyle name="Note 3 16 5" xfId="38452" xr:uid="{00000000-0005-0000-0000-000032960000}"/>
    <cellStyle name="Note 3 16 6" xfId="38453" xr:uid="{00000000-0005-0000-0000-000033960000}"/>
    <cellStyle name="Note 3 16 7" xfId="38454" xr:uid="{00000000-0005-0000-0000-000034960000}"/>
    <cellStyle name="Note 3 17" xfId="38455" xr:uid="{00000000-0005-0000-0000-000035960000}"/>
    <cellStyle name="Note 3 17 2" xfId="38456" xr:uid="{00000000-0005-0000-0000-000036960000}"/>
    <cellStyle name="Note 3 17 2 2" xfId="38457" xr:uid="{00000000-0005-0000-0000-000037960000}"/>
    <cellStyle name="Note 3 17 2 3" xfId="38458" xr:uid="{00000000-0005-0000-0000-000038960000}"/>
    <cellStyle name="Note 3 17 2 4" xfId="38459" xr:uid="{00000000-0005-0000-0000-000039960000}"/>
    <cellStyle name="Note 3 17 2 5" xfId="38460" xr:uid="{00000000-0005-0000-0000-00003A960000}"/>
    <cellStyle name="Note 3 17 2 6" xfId="38461" xr:uid="{00000000-0005-0000-0000-00003B960000}"/>
    <cellStyle name="Note 3 17 3" xfId="38462" xr:uid="{00000000-0005-0000-0000-00003C960000}"/>
    <cellStyle name="Note 3 17 4" xfId="38463" xr:uid="{00000000-0005-0000-0000-00003D960000}"/>
    <cellStyle name="Note 3 17 5" xfId="38464" xr:uid="{00000000-0005-0000-0000-00003E960000}"/>
    <cellStyle name="Note 3 17 6" xfId="38465" xr:uid="{00000000-0005-0000-0000-00003F960000}"/>
    <cellStyle name="Note 3 17 7" xfId="38466" xr:uid="{00000000-0005-0000-0000-000040960000}"/>
    <cellStyle name="Note 3 18" xfId="38467" xr:uid="{00000000-0005-0000-0000-000041960000}"/>
    <cellStyle name="Note 3 18 2" xfId="38468" xr:uid="{00000000-0005-0000-0000-000042960000}"/>
    <cellStyle name="Note 3 18 2 2" xfId="38469" xr:uid="{00000000-0005-0000-0000-000043960000}"/>
    <cellStyle name="Note 3 18 2 3" xfId="38470" xr:uid="{00000000-0005-0000-0000-000044960000}"/>
    <cellStyle name="Note 3 18 2 4" xfId="38471" xr:uid="{00000000-0005-0000-0000-000045960000}"/>
    <cellStyle name="Note 3 18 2 5" xfId="38472" xr:uid="{00000000-0005-0000-0000-000046960000}"/>
    <cellStyle name="Note 3 18 2 6" xfId="38473" xr:uid="{00000000-0005-0000-0000-000047960000}"/>
    <cellStyle name="Note 3 18 3" xfId="38474" xr:uid="{00000000-0005-0000-0000-000048960000}"/>
    <cellStyle name="Note 3 18 4" xfId="38475" xr:uid="{00000000-0005-0000-0000-000049960000}"/>
    <cellStyle name="Note 3 18 5" xfId="38476" xr:uid="{00000000-0005-0000-0000-00004A960000}"/>
    <cellStyle name="Note 3 18 6" xfId="38477" xr:uid="{00000000-0005-0000-0000-00004B960000}"/>
    <cellStyle name="Note 3 18 7" xfId="38478" xr:uid="{00000000-0005-0000-0000-00004C960000}"/>
    <cellStyle name="Note 3 19" xfId="38479" xr:uid="{00000000-0005-0000-0000-00004D960000}"/>
    <cellStyle name="Note 3 19 2" xfId="38480" xr:uid="{00000000-0005-0000-0000-00004E960000}"/>
    <cellStyle name="Note 3 19 2 2" xfId="38481" xr:uid="{00000000-0005-0000-0000-00004F960000}"/>
    <cellStyle name="Note 3 19 2 3" xfId="38482" xr:uid="{00000000-0005-0000-0000-000050960000}"/>
    <cellStyle name="Note 3 19 2 4" xfId="38483" xr:uid="{00000000-0005-0000-0000-000051960000}"/>
    <cellStyle name="Note 3 19 2 5" xfId="38484" xr:uid="{00000000-0005-0000-0000-000052960000}"/>
    <cellStyle name="Note 3 19 2 6" xfId="38485" xr:uid="{00000000-0005-0000-0000-000053960000}"/>
    <cellStyle name="Note 3 19 3" xfId="38486" xr:uid="{00000000-0005-0000-0000-000054960000}"/>
    <cellStyle name="Note 3 19 4" xfId="38487" xr:uid="{00000000-0005-0000-0000-000055960000}"/>
    <cellStyle name="Note 3 19 5" xfId="38488" xr:uid="{00000000-0005-0000-0000-000056960000}"/>
    <cellStyle name="Note 3 19 6" xfId="38489" xr:uid="{00000000-0005-0000-0000-000057960000}"/>
    <cellStyle name="Note 3 19 7" xfId="38490" xr:uid="{00000000-0005-0000-0000-000058960000}"/>
    <cellStyle name="Note 3 2" xfId="38491" xr:uid="{00000000-0005-0000-0000-000059960000}"/>
    <cellStyle name="Note 3 2 10" xfId="38492" xr:uid="{00000000-0005-0000-0000-00005A960000}"/>
    <cellStyle name="Note 3 2 10 2" xfId="38493" xr:uid="{00000000-0005-0000-0000-00005B960000}"/>
    <cellStyle name="Note 3 2 10 2 2" xfId="38494" xr:uid="{00000000-0005-0000-0000-00005C960000}"/>
    <cellStyle name="Note 3 2 10 2 3" xfId="38495" xr:uid="{00000000-0005-0000-0000-00005D960000}"/>
    <cellStyle name="Note 3 2 10 2 4" xfId="38496" xr:uid="{00000000-0005-0000-0000-00005E960000}"/>
    <cellStyle name="Note 3 2 10 2 5" xfId="38497" xr:uid="{00000000-0005-0000-0000-00005F960000}"/>
    <cellStyle name="Note 3 2 10 2 6" xfId="38498" xr:uid="{00000000-0005-0000-0000-000060960000}"/>
    <cellStyle name="Note 3 2 10 3" xfId="38499" xr:uid="{00000000-0005-0000-0000-000061960000}"/>
    <cellStyle name="Note 3 2 10 3 2" xfId="38500" xr:uid="{00000000-0005-0000-0000-000062960000}"/>
    <cellStyle name="Note 3 2 10 3 3" xfId="38501" xr:uid="{00000000-0005-0000-0000-000063960000}"/>
    <cellStyle name="Note 3 2 10 3 4" xfId="38502" xr:uid="{00000000-0005-0000-0000-000064960000}"/>
    <cellStyle name="Note 3 2 10 3 5" xfId="38503" xr:uid="{00000000-0005-0000-0000-000065960000}"/>
    <cellStyle name="Note 3 2 10 3 6" xfId="38504" xr:uid="{00000000-0005-0000-0000-000066960000}"/>
    <cellStyle name="Note 3 2 10 4" xfId="38505" xr:uid="{00000000-0005-0000-0000-000067960000}"/>
    <cellStyle name="Note 3 2 10 5" xfId="38506" xr:uid="{00000000-0005-0000-0000-000068960000}"/>
    <cellStyle name="Note 3 2 10 6" xfId="38507" xr:uid="{00000000-0005-0000-0000-000069960000}"/>
    <cellStyle name="Note 3 2 10 7" xfId="38508" xr:uid="{00000000-0005-0000-0000-00006A960000}"/>
    <cellStyle name="Note 3 2 10 8" xfId="38509" xr:uid="{00000000-0005-0000-0000-00006B960000}"/>
    <cellStyle name="Note 3 2 11" xfId="38510" xr:uid="{00000000-0005-0000-0000-00006C960000}"/>
    <cellStyle name="Note 3 2 11 2" xfId="38511" xr:uid="{00000000-0005-0000-0000-00006D960000}"/>
    <cellStyle name="Note 3 2 11 2 2" xfId="38512" xr:uid="{00000000-0005-0000-0000-00006E960000}"/>
    <cellStyle name="Note 3 2 11 2 3" xfId="38513" xr:uid="{00000000-0005-0000-0000-00006F960000}"/>
    <cellStyle name="Note 3 2 11 2 4" xfId="38514" xr:uid="{00000000-0005-0000-0000-000070960000}"/>
    <cellStyle name="Note 3 2 11 2 5" xfId="38515" xr:uid="{00000000-0005-0000-0000-000071960000}"/>
    <cellStyle name="Note 3 2 11 2 6" xfId="38516" xr:uid="{00000000-0005-0000-0000-000072960000}"/>
    <cellStyle name="Note 3 2 11 3" xfId="38517" xr:uid="{00000000-0005-0000-0000-000073960000}"/>
    <cellStyle name="Note 3 2 11 4" xfId="38518" xr:uid="{00000000-0005-0000-0000-000074960000}"/>
    <cellStyle name="Note 3 2 11 5" xfId="38519" xr:uid="{00000000-0005-0000-0000-000075960000}"/>
    <cellStyle name="Note 3 2 11 6" xfId="38520" xr:uid="{00000000-0005-0000-0000-000076960000}"/>
    <cellStyle name="Note 3 2 11 7" xfId="38521" xr:uid="{00000000-0005-0000-0000-000077960000}"/>
    <cellStyle name="Note 3 2 12" xfId="38522" xr:uid="{00000000-0005-0000-0000-000078960000}"/>
    <cellStyle name="Note 3 2 12 2" xfId="38523" xr:uid="{00000000-0005-0000-0000-000079960000}"/>
    <cellStyle name="Note 3 2 12 2 2" xfId="38524" xr:uid="{00000000-0005-0000-0000-00007A960000}"/>
    <cellStyle name="Note 3 2 12 2 3" xfId="38525" xr:uid="{00000000-0005-0000-0000-00007B960000}"/>
    <cellStyle name="Note 3 2 12 2 4" xfId="38526" xr:uid="{00000000-0005-0000-0000-00007C960000}"/>
    <cellStyle name="Note 3 2 12 2 5" xfId="38527" xr:uid="{00000000-0005-0000-0000-00007D960000}"/>
    <cellStyle name="Note 3 2 12 2 6" xfId="38528" xr:uid="{00000000-0005-0000-0000-00007E960000}"/>
    <cellStyle name="Note 3 2 12 3" xfId="38529" xr:uid="{00000000-0005-0000-0000-00007F960000}"/>
    <cellStyle name="Note 3 2 12 4" xfId="38530" xr:uid="{00000000-0005-0000-0000-000080960000}"/>
    <cellStyle name="Note 3 2 12 5" xfId="38531" xr:uid="{00000000-0005-0000-0000-000081960000}"/>
    <cellStyle name="Note 3 2 12 6" xfId="38532" xr:uid="{00000000-0005-0000-0000-000082960000}"/>
    <cellStyle name="Note 3 2 12 7" xfId="38533" xr:uid="{00000000-0005-0000-0000-000083960000}"/>
    <cellStyle name="Note 3 2 13" xfId="38534" xr:uid="{00000000-0005-0000-0000-000084960000}"/>
    <cellStyle name="Note 3 2 13 2" xfId="38535" xr:uid="{00000000-0005-0000-0000-000085960000}"/>
    <cellStyle name="Note 3 2 13 2 2" xfId="38536" xr:uid="{00000000-0005-0000-0000-000086960000}"/>
    <cellStyle name="Note 3 2 13 2 3" xfId="38537" xr:uid="{00000000-0005-0000-0000-000087960000}"/>
    <cellStyle name="Note 3 2 13 2 4" xfId="38538" xr:uid="{00000000-0005-0000-0000-000088960000}"/>
    <cellStyle name="Note 3 2 13 2 5" xfId="38539" xr:uid="{00000000-0005-0000-0000-000089960000}"/>
    <cellStyle name="Note 3 2 13 2 6" xfId="38540" xr:uid="{00000000-0005-0000-0000-00008A960000}"/>
    <cellStyle name="Note 3 2 13 3" xfId="38541" xr:uid="{00000000-0005-0000-0000-00008B960000}"/>
    <cellStyle name="Note 3 2 13 4" xfId="38542" xr:uid="{00000000-0005-0000-0000-00008C960000}"/>
    <cellStyle name="Note 3 2 13 5" xfId="38543" xr:uid="{00000000-0005-0000-0000-00008D960000}"/>
    <cellStyle name="Note 3 2 13 6" xfId="38544" xr:uid="{00000000-0005-0000-0000-00008E960000}"/>
    <cellStyle name="Note 3 2 13 7" xfId="38545" xr:uid="{00000000-0005-0000-0000-00008F960000}"/>
    <cellStyle name="Note 3 2 14" xfId="38546" xr:uid="{00000000-0005-0000-0000-000090960000}"/>
    <cellStyle name="Note 3 2 14 2" xfId="38547" xr:uid="{00000000-0005-0000-0000-000091960000}"/>
    <cellStyle name="Note 3 2 14 2 2" xfId="38548" xr:uid="{00000000-0005-0000-0000-000092960000}"/>
    <cellStyle name="Note 3 2 14 2 3" xfId="38549" xr:uid="{00000000-0005-0000-0000-000093960000}"/>
    <cellStyle name="Note 3 2 14 2 4" xfId="38550" xr:uid="{00000000-0005-0000-0000-000094960000}"/>
    <cellStyle name="Note 3 2 14 2 5" xfId="38551" xr:uid="{00000000-0005-0000-0000-000095960000}"/>
    <cellStyle name="Note 3 2 14 2 6" xfId="38552" xr:uid="{00000000-0005-0000-0000-000096960000}"/>
    <cellStyle name="Note 3 2 14 3" xfId="38553" xr:uid="{00000000-0005-0000-0000-000097960000}"/>
    <cellStyle name="Note 3 2 14 4" xfId="38554" xr:uid="{00000000-0005-0000-0000-000098960000}"/>
    <cellStyle name="Note 3 2 14 5" xfId="38555" xr:uid="{00000000-0005-0000-0000-000099960000}"/>
    <cellStyle name="Note 3 2 14 6" xfId="38556" xr:uid="{00000000-0005-0000-0000-00009A960000}"/>
    <cellStyle name="Note 3 2 14 7" xfId="38557" xr:uid="{00000000-0005-0000-0000-00009B960000}"/>
    <cellStyle name="Note 3 2 15" xfId="38558" xr:uid="{00000000-0005-0000-0000-00009C960000}"/>
    <cellStyle name="Note 3 2 15 2" xfId="38559" xr:uid="{00000000-0005-0000-0000-00009D960000}"/>
    <cellStyle name="Note 3 2 15 2 2" xfId="38560" xr:uid="{00000000-0005-0000-0000-00009E960000}"/>
    <cellStyle name="Note 3 2 15 2 3" xfId="38561" xr:uid="{00000000-0005-0000-0000-00009F960000}"/>
    <cellStyle name="Note 3 2 15 2 4" xfId="38562" xr:uid="{00000000-0005-0000-0000-0000A0960000}"/>
    <cellStyle name="Note 3 2 15 2 5" xfId="38563" xr:uid="{00000000-0005-0000-0000-0000A1960000}"/>
    <cellStyle name="Note 3 2 15 2 6" xfId="38564" xr:uid="{00000000-0005-0000-0000-0000A2960000}"/>
    <cellStyle name="Note 3 2 15 3" xfId="38565" xr:uid="{00000000-0005-0000-0000-0000A3960000}"/>
    <cellStyle name="Note 3 2 15 4" xfId="38566" xr:uid="{00000000-0005-0000-0000-0000A4960000}"/>
    <cellStyle name="Note 3 2 15 5" xfId="38567" xr:uid="{00000000-0005-0000-0000-0000A5960000}"/>
    <cellStyle name="Note 3 2 15 6" xfId="38568" xr:uid="{00000000-0005-0000-0000-0000A6960000}"/>
    <cellStyle name="Note 3 2 15 7" xfId="38569" xr:uid="{00000000-0005-0000-0000-0000A7960000}"/>
    <cellStyle name="Note 3 2 16" xfId="38570" xr:uid="{00000000-0005-0000-0000-0000A8960000}"/>
    <cellStyle name="Note 3 2 16 2" xfId="38571" xr:uid="{00000000-0005-0000-0000-0000A9960000}"/>
    <cellStyle name="Note 3 2 16 2 2" xfId="38572" xr:uid="{00000000-0005-0000-0000-0000AA960000}"/>
    <cellStyle name="Note 3 2 16 2 3" xfId="38573" xr:uid="{00000000-0005-0000-0000-0000AB960000}"/>
    <cellStyle name="Note 3 2 16 2 4" xfId="38574" xr:uid="{00000000-0005-0000-0000-0000AC960000}"/>
    <cellStyle name="Note 3 2 16 2 5" xfId="38575" xr:uid="{00000000-0005-0000-0000-0000AD960000}"/>
    <cellStyle name="Note 3 2 16 2 6" xfId="38576" xr:uid="{00000000-0005-0000-0000-0000AE960000}"/>
    <cellStyle name="Note 3 2 16 3" xfId="38577" xr:uid="{00000000-0005-0000-0000-0000AF960000}"/>
    <cellStyle name="Note 3 2 16 4" xfId="38578" xr:uid="{00000000-0005-0000-0000-0000B0960000}"/>
    <cellStyle name="Note 3 2 16 5" xfId="38579" xr:uid="{00000000-0005-0000-0000-0000B1960000}"/>
    <cellStyle name="Note 3 2 16 6" xfId="38580" xr:uid="{00000000-0005-0000-0000-0000B2960000}"/>
    <cellStyle name="Note 3 2 16 7" xfId="38581" xr:uid="{00000000-0005-0000-0000-0000B3960000}"/>
    <cellStyle name="Note 3 2 17" xfId="38582" xr:uid="{00000000-0005-0000-0000-0000B4960000}"/>
    <cellStyle name="Note 3 2 17 2" xfId="38583" xr:uid="{00000000-0005-0000-0000-0000B5960000}"/>
    <cellStyle name="Note 3 2 17 2 2" xfId="38584" xr:uid="{00000000-0005-0000-0000-0000B6960000}"/>
    <cellStyle name="Note 3 2 17 2 3" xfId="38585" xr:uid="{00000000-0005-0000-0000-0000B7960000}"/>
    <cellStyle name="Note 3 2 17 2 4" xfId="38586" xr:uid="{00000000-0005-0000-0000-0000B8960000}"/>
    <cellStyle name="Note 3 2 17 2 5" xfId="38587" xr:uid="{00000000-0005-0000-0000-0000B9960000}"/>
    <cellStyle name="Note 3 2 17 2 6" xfId="38588" xr:uid="{00000000-0005-0000-0000-0000BA960000}"/>
    <cellStyle name="Note 3 2 17 3" xfId="38589" xr:uid="{00000000-0005-0000-0000-0000BB960000}"/>
    <cellStyle name="Note 3 2 17 4" xfId="38590" xr:uid="{00000000-0005-0000-0000-0000BC960000}"/>
    <cellStyle name="Note 3 2 17 5" xfId="38591" xr:uid="{00000000-0005-0000-0000-0000BD960000}"/>
    <cellStyle name="Note 3 2 17 6" xfId="38592" xr:uid="{00000000-0005-0000-0000-0000BE960000}"/>
    <cellStyle name="Note 3 2 17 7" xfId="38593" xr:uid="{00000000-0005-0000-0000-0000BF960000}"/>
    <cellStyle name="Note 3 2 18" xfId="38594" xr:uid="{00000000-0005-0000-0000-0000C0960000}"/>
    <cellStyle name="Note 3 2 18 2" xfId="38595" xr:uid="{00000000-0005-0000-0000-0000C1960000}"/>
    <cellStyle name="Note 3 2 18 2 2" xfId="38596" xr:uid="{00000000-0005-0000-0000-0000C2960000}"/>
    <cellStyle name="Note 3 2 18 2 3" xfId="38597" xr:uid="{00000000-0005-0000-0000-0000C3960000}"/>
    <cellStyle name="Note 3 2 18 2 4" xfId="38598" xr:uid="{00000000-0005-0000-0000-0000C4960000}"/>
    <cellStyle name="Note 3 2 18 2 5" xfId="38599" xr:uid="{00000000-0005-0000-0000-0000C5960000}"/>
    <cellStyle name="Note 3 2 18 2 6" xfId="38600" xr:uid="{00000000-0005-0000-0000-0000C6960000}"/>
    <cellStyle name="Note 3 2 18 3" xfId="38601" xr:uid="{00000000-0005-0000-0000-0000C7960000}"/>
    <cellStyle name="Note 3 2 18 4" xfId="38602" xr:uid="{00000000-0005-0000-0000-0000C8960000}"/>
    <cellStyle name="Note 3 2 18 5" xfId="38603" xr:uid="{00000000-0005-0000-0000-0000C9960000}"/>
    <cellStyle name="Note 3 2 18 6" xfId="38604" xr:uid="{00000000-0005-0000-0000-0000CA960000}"/>
    <cellStyle name="Note 3 2 18 7" xfId="38605" xr:uid="{00000000-0005-0000-0000-0000CB960000}"/>
    <cellStyle name="Note 3 2 19" xfId="38606" xr:uid="{00000000-0005-0000-0000-0000CC960000}"/>
    <cellStyle name="Note 3 2 19 2" xfId="38607" xr:uid="{00000000-0005-0000-0000-0000CD960000}"/>
    <cellStyle name="Note 3 2 19 2 2" xfId="38608" xr:uid="{00000000-0005-0000-0000-0000CE960000}"/>
    <cellStyle name="Note 3 2 19 2 3" xfId="38609" xr:uid="{00000000-0005-0000-0000-0000CF960000}"/>
    <cellStyle name="Note 3 2 19 2 4" xfId="38610" xr:uid="{00000000-0005-0000-0000-0000D0960000}"/>
    <cellStyle name="Note 3 2 19 2 5" xfId="38611" xr:uid="{00000000-0005-0000-0000-0000D1960000}"/>
    <cellStyle name="Note 3 2 19 2 6" xfId="38612" xr:uid="{00000000-0005-0000-0000-0000D2960000}"/>
    <cellStyle name="Note 3 2 19 3" xfId="38613" xr:uid="{00000000-0005-0000-0000-0000D3960000}"/>
    <cellStyle name="Note 3 2 19 4" xfId="38614" xr:uid="{00000000-0005-0000-0000-0000D4960000}"/>
    <cellStyle name="Note 3 2 19 5" xfId="38615" xr:uid="{00000000-0005-0000-0000-0000D5960000}"/>
    <cellStyle name="Note 3 2 19 6" xfId="38616" xr:uid="{00000000-0005-0000-0000-0000D6960000}"/>
    <cellStyle name="Note 3 2 19 7" xfId="38617" xr:uid="{00000000-0005-0000-0000-0000D7960000}"/>
    <cellStyle name="Note 3 2 2" xfId="38618" xr:uid="{00000000-0005-0000-0000-0000D8960000}"/>
    <cellStyle name="Note 3 2 2 10" xfId="38619" xr:uid="{00000000-0005-0000-0000-0000D9960000}"/>
    <cellStyle name="Note 3 2 2 11" xfId="38620" xr:uid="{00000000-0005-0000-0000-0000DA960000}"/>
    <cellStyle name="Note 3 2 2 12" xfId="38621" xr:uid="{00000000-0005-0000-0000-0000DB960000}"/>
    <cellStyle name="Note 3 2 2 13" xfId="38622" xr:uid="{00000000-0005-0000-0000-0000DC960000}"/>
    <cellStyle name="Note 3 2 2 2" xfId="38623" xr:uid="{00000000-0005-0000-0000-0000DD960000}"/>
    <cellStyle name="Note 3 2 2 2 2" xfId="38624" xr:uid="{00000000-0005-0000-0000-0000DE960000}"/>
    <cellStyle name="Note 3 2 2 2 2 2" xfId="38625" xr:uid="{00000000-0005-0000-0000-0000DF960000}"/>
    <cellStyle name="Note 3 2 2 2 2 2 2" xfId="38626" xr:uid="{00000000-0005-0000-0000-0000E0960000}"/>
    <cellStyle name="Note 3 2 2 2 2 2 3" xfId="38627" xr:uid="{00000000-0005-0000-0000-0000E1960000}"/>
    <cellStyle name="Note 3 2 2 2 2 2 4" xfId="38628" xr:uid="{00000000-0005-0000-0000-0000E2960000}"/>
    <cellStyle name="Note 3 2 2 2 2 2 5" xfId="38629" xr:uid="{00000000-0005-0000-0000-0000E3960000}"/>
    <cellStyle name="Note 3 2 2 2 2 2 6" xfId="38630" xr:uid="{00000000-0005-0000-0000-0000E4960000}"/>
    <cellStyle name="Note 3 2 2 2 2 3" xfId="38631" xr:uid="{00000000-0005-0000-0000-0000E5960000}"/>
    <cellStyle name="Note 3 2 2 2 2 4" xfId="38632" xr:uid="{00000000-0005-0000-0000-0000E6960000}"/>
    <cellStyle name="Note 3 2 2 2 2 5" xfId="38633" xr:uid="{00000000-0005-0000-0000-0000E7960000}"/>
    <cellStyle name="Note 3 2 2 2 2 6" xfId="38634" xr:uid="{00000000-0005-0000-0000-0000E8960000}"/>
    <cellStyle name="Note 3 2 2 2 3" xfId="38635" xr:uid="{00000000-0005-0000-0000-0000E9960000}"/>
    <cellStyle name="Note 3 2 2 2 3 2" xfId="38636" xr:uid="{00000000-0005-0000-0000-0000EA960000}"/>
    <cellStyle name="Note 3 2 2 2 3 2 2" xfId="38637" xr:uid="{00000000-0005-0000-0000-0000EB960000}"/>
    <cellStyle name="Note 3 2 2 2 3 2 3" xfId="38638" xr:uid="{00000000-0005-0000-0000-0000EC960000}"/>
    <cellStyle name="Note 3 2 2 2 3 2 4" xfId="38639" xr:uid="{00000000-0005-0000-0000-0000ED960000}"/>
    <cellStyle name="Note 3 2 2 2 3 2 5" xfId="38640" xr:uid="{00000000-0005-0000-0000-0000EE960000}"/>
    <cellStyle name="Note 3 2 2 2 3 2 6" xfId="38641" xr:uid="{00000000-0005-0000-0000-0000EF960000}"/>
    <cellStyle name="Note 3 2 2 2 3 3" xfId="38642" xr:uid="{00000000-0005-0000-0000-0000F0960000}"/>
    <cellStyle name="Note 3 2 2 2 3 4" xfId="38643" xr:uid="{00000000-0005-0000-0000-0000F1960000}"/>
    <cellStyle name="Note 3 2 2 2 3 5" xfId="38644" xr:uid="{00000000-0005-0000-0000-0000F2960000}"/>
    <cellStyle name="Note 3 2 2 2 3 6" xfId="38645" xr:uid="{00000000-0005-0000-0000-0000F3960000}"/>
    <cellStyle name="Note 3 2 2 2 4" xfId="38646" xr:uid="{00000000-0005-0000-0000-0000F4960000}"/>
    <cellStyle name="Note 3 2 2 2 4 2" xfId="38647" xr:uid="{00000000-0005-0000-0000-0000F5960000}"/>
    <cellStyle name="Note 3 2 2 2 4 3" xfId="38648" xr:uid="{00000000-0005-0000-0000-0000F6960000}"/>
    <cellStyle name="Note 3 2 2 2 4 4" xfId="38649" xr:uid="{00000000-0005-0000-0000-0000F7960000}"/>
    <cellStyle name="Note 3 2 2 2 4 5" xfId="38650" xr:uid="{00000000-0005-0000-0000-0000F8960000}"/>
    <cellStyle name="Note 3 2 2 2 4 6" xfId="38651" xr:uid="{00000000-0005-0000-0000-0000F9960000}"/>
    <cellStyle name="Note 3 2 2 2 5" xfId="38652" xr:uid="{00000000-0005-0000-0000-0000FA960000}"/>
    <cellStyle name="Note 3 2 2 2 5 2" xfId="38653" xr:uid="{00000000-0005-0000-0000-0000FB960000}"/>
    <cellStyle name="Note 3 2 2 2 5 3" xfId="38654" xr:uid="{00000000-0005-0000-0000-0000FC960000}"/>
    <cellStyle name="Note 3 2 2 2 5 4" xfId="38655" xr:uid="{00000000-0005-0000-0000-0000FD960000}"/>
    <cellStyle name="Note 3 2 2 2 5 5" xfId="38656" xr:uid="{00000000-0005-0000-0000-0000FE960000}"/>
    <cellStyle name="Note 3 2 2 2 5 6" xfId="38657" xr:uid="{00000000-0005-0000-0000-0000FF960000}"/>
    <cellStyle name="Note 3 2 2 2 6" xfId="38658" xr:uid="{00000000-0005-0000-0000-000000970000}"/>
    <cellStyle name="Note 3 2 2 2 7" xfId="38659" xr:uid="{00000000-0005-0000-0000-000001970000}"/>
    <cellStyle name="Note 3 2 2 2 8" xfId="38660" xr:uid="{00000000-0005-0000-0000-000002970000}"/>
    <cellStyle name="Note 3 2 2 2 9" xfId="38661" xr:uid="{00000000-0005-0000-0000-000003970000}"/>
    <cellStyle name="Note 3 2 2 3" xfId="38662" xr:uid="{00000000-0005-0000-0000-000004970000}"/>
    <cellStyle name="Note 3 2 2 3 2" xfId="38663" xr:uid="{00000000-0005-0000-0000-000005970000}"/>
    <cellStyle name="Note 3 2 2 3 2 2" xfId="38664" xr:uid="{00000000-0005-0000-0000-000006970000}"/>
    <cellStyle name="Note 3 2 2 3 2 2 2" xfId="38665" xr:uid="{00000000-0005-0000-0000-000007970000}"/>
    <cellStyle name="Note 3 2 2 3 2 2 3" xfId="38666" xr:uid="{00000000-0005-0000-0000-000008970000}"/>
    <cellStyle name="Note 3 2 2 3 2 2 4" xfId="38667" xr:uid="{00000000-0005-0000-0000-000009970000}"/>
    <cellStyle name="Note 3 2 2 3 2 2 5" xfId="38668" xr:uid="{00000000-0005-0000-0000-00000A970000}"/>
    <cellStyle name="Note 3 2 2 3 2 2 6" xfId="38669" xr:uid="{00000000-0005-0000-0000-00000B970000}"/>
    <cellStyle name="Note 3 2 2 3 2 3" xfId="38670" xr:uid="{00000000-0005-0000-0000-00000C970000}"/>
    <cellStyle name="Note 3 2 2 3 2 4" xfId="38671" xr:uid="{00000000-0005-0000-0000-00000D970000}"/>
    <cellStyle name="Note 3 2 2 3 2 5" xfId="38672" xr:uid="{00000000-0005-0000-0000-00000E970000}"/>
    <cellStyle name="Note 3 2 2 3 2 6" xfId="38673" xr:uid="{00000000-0005-0000-0000-00000F970000}"/>
    <cellStyle name="Note 3 2 2 3 3" xfId="38674" xr:uid="{00000000-0005-0000-0000-000010970000}"/>
    <cellStyle name="Note 3 2 2 3 3 2" xfId="38675" xr:uid="{00000000-0005-0000-0000-000011970000}"/>
    <cellStyle name="Note 3 2 2 3 3 2 2" xfId="38676" xr:uid="{00000000-0005-0000-0000-000012970000}"/>
    <cellStyle name="Note 3 2 2 3 3 2 3" xfId="38677" xr:uid="{00000000-0005-0000-0000-000013970000}"/>
    <cellStyle name="Note 3 2 2 3 3 2 4" xfId="38678" xr:uid="{00000000-0005-0000-0000-000014970000}"/>
    <cellStyle name="Note 3 2 2 3 3 2 5" xfId="38679" xr:uid="{00000000-0005-0000-0000-000015970000}"/>
    <cellStyle name="Note 3 2 2 3 3 2 6" xfId="38680" xr:uid="{00000000-0005-0000-0000-000016970000}"/>
    <cellStyle name="Note 3 2 2 3 3 3" xfId="38681" xr:uid="{00000000-0005-0000-0000-000017970000}"/>
    <cellStyle name="Note 3 2 2 3 3 4" xfId="38682" xr:uid="{00000000-0005-0000-0000-000018970000}"/>
    <cellStyle name="Note 3 2 2 3 3 5" xfId="38683" xr:uid="{00000000-0005-0000-0000-000019970000}"/>
    <cellStyle name="Note 3 2 2 3 3 6" xfId="38684" xr:uid="{00000000-0005-0000-0000-00001A970000}"/>
    <cellStyle name="Note 3 2 2 3 4" xfId="38685" xr:uid="{00000000-0005-0000-0000-00001B970000}"/>
    <cellStyle name="Note 3 2 2 3 4 2" xfId="38686" xr:uid="{00000000-0005-0000-0000-00001C970000}"/>
    <cellStyle name="Note 3 2 2 3 4 3" xfId="38687" xr:uid="{00000000-0005-0000-0000-00001D970000}"/>
    <cellStyle name="Note 3 2 2 3 4 4" xfId="38688" xr:uid="{00000000-0005-0000-0000-00001E970000}"/>
    <cellStyle name="Note 3 2 2 3 4 5" xfId="38689" xr:uid="{00000000-0005-0000-0000-00001F970000}"/>
    <cellStyle name="Note 3 2 2 3 4 6" xfId="38690" xr:uid="{00000000-0005-0000-0000-000020970000}"/>
    <cellStyle name="Note 3 2 2 3 5" xfId="38691" xr:uid="{00000000-0005-0000-0000-000021970000}"/>
    <cellStyle name="Note 3 2 2 3 6" xfId="38692" xr:uid="{00000000-0005-0000-0000-000022970000}"/>
    <cellStyle name="Note 3 2 2 3 7" xfId="38693" xr:uid="{00000000-0005-0000-0000-000023970000}"/>
    <cellStyle name="Note 3 2 2 3 8" xfId="38694" xr:uid="{00000000-0005-0000-0000-000024970000}"/>
    <cellStyle name="Note 3 2 2 4" xfId="38695" xr:uid="{00000000-0005-0000-0000-000025970000}"/>
    <cellStyle name="Note 3 2 2 4 2" xfId="38696" xr:uid="{00000000-0005-0000-0000-000026970000}"/>
    <cellStyle name="Note 3 2 2 4 2 2" xfId="38697" xr:uid="{00000000-0005-0000-0000-000027970000}"/>
    <cellStyle name="Note 3 2 2 4 2 2 2" xfId="38698" xr:uid="{00000000-0005-0000-0000-000028970000}"/>
    <cellStyle name="Note 3 2 2 4 2 2 3" xfId="38699" xr:uid="{00000000-0005-0000-0000-000029970000}"/>
    <cellStyle name="Note 3 2 2 4 2 2 4" xfId="38700" xr:uid="{00000000-0005-0000-0000-00002A970000}"/>
    <cellStyle name="Note 3 2 2 4 2 2 5" xfId="38701" xr:uid="{00000000-0005-0000-0000-00002B970000}"/>
    <cellStyle name="Note 3 2 2 4 2 2 6" xfId="38702" xr:uid="{00000000-0005-0000-0000-00002C970000}"/>
    <cellStyle name="Note 3 2 2 4 2 3" xfId="38703" xr:uid="{00000000-0005-0000-0000-00002D970000}"/>
    <cellStyle name="Note 3 2 2 4 2 4" xfId="38704" xr:uid="{00000000-0005-0000-0000-00002E970000}"/>
    <cellStyle name="Note 3 2 2 4 2 5" xfId="38705" xr:uid="{00000000-0005-0000-0000-00002F970000}"/>
    <cellStyle name="Note 3 2 2 4 2 6" xfId="38706" xr:uid="{00000000-0005-0000-0000-000030970000}"/>
    <cellStyle name="Note 3 2 2 4 3" xfId="38707" xr:uid="{00000000-0005-0000-0000-000031970000}"/>
    <cellStyle name="Note 3 2 2 4 3 2" xfId="38708" xr:uid="{00000000-0005-0000-0000-000032970000}"/>
    <cellStyle name="Note 3 2 2 4 3 2 2" xfId="38709" xr:uid="{00000000-0005-0000-0000-000033970000}"/>
    <cellStyle name="Note 3 2 2 4 3 2 3" xfId="38710" xr:uid="{00000000-0005-0000-0000-000034970000}"/>
    <cellStyle name="Note 3 2 2 4 3 2 4" xfId="38711" xr:uid="{00000000-0005-0000-0000-000035970000}"/>
    <cellStyle name="Note 3 2 2 4 3 2 5" xfId="38712" xr:uid="{00000000-0005-0000-0000-000036970000}"/>
    <cellStyle name="Note 3 2 2 4 3 2 6" xfId="38713" xr:uid="{00000000-0005-0000-0000-000037970000}"/>
    <cellStyle name="Note 3 2 2 4 3 3" xfId="38714" xr:uid="{00000000-0005-0000-0000-000038970000}"/>
    <cellStyle name="Note 3 2 2 4 3 4" xfId="38715" xr:uid="{00000000-0005-0000-0000-000039970000}"/>
    <cellStyle name="Note 3 2 2 4 3 5" xfId="38716" xr:uid="{00000000-0005-0000-0000-00003A970000}"/>
    <cellStyle name="Note 3 2 2 4 3 6" xfId="38717" xr:uid="{00000000-0005-0000-0000-00003B970000}"/>
    <cellStyle name="Note 3 2 2 4 4" xfId="38718" xr:uid="{00000000-0005-0000-0000-00003C970000}"/>
    <cellStyle name="Note 3 2 2 4 4 2" xfId="38719" xr:uid="{00000000-0005-0000-0000-00003D970000}"/>
    <cellStyle name="Note 3 2 2 4 4 3" xfId="38720" xr:uid="{00000000-0005-0000-0000-00003E970000}"/>
    <cellStyle name="Note 3 2 2 4 4 4" xfId="38721" xr:uid="{00000000-0005-0000-0000-00003F970000}"/>
    <cellStyle name="Note 3 2 2 4 4 5" xfId="38722" xr:uid="{00000000-0005-0000-0000-000040970000}"/>
    <cellStyle name="Note 3 2 2 4 4 6" xfId="38723" xr:uid="{00000000-0005-0000-0000-000041970000}"/>
    <cellStyle name="Note 3 2 2 4 5" xfId="38724" xr:uid="{00000000-0005-0000-0000-000042970000}"/>
    <cellStyle name="Note 3 2 2 4 6" xfId="38725" xr:uid="{00000000-0005-0000-0000-000043970000}"/>
    <cellStyle name="Note 3 2 2 4 7" xfId="38726" xr:uid="{00000000-0005-0000-0000-000044970000}"/>
    <cellStyle name="Note 3 2 2 4 8" xfId="38727" xr:uid="{00000000-0005-0000-0000-000045970000}"/>
    <cellStyle name="Note 3 2 2 5" xfId="38728" xr:uid="{00000000-0005-0000-0000-000046970000}"/>
    <cellStyle name="Note 3 2 2 5 2" xfId="38729" xr:uid="{00000000-0005-0000-0000-000047970000}"/>
    <cellStyle name="Note 3 2 2 5 2 2" xfId="38730" xr:uid="{00000000-0005-0000-0000-000048970000}"/>
    <cellStyle name="Note 3 2 2 5 2 2 2" xfId="38731" xr:uid="{00000000-0005-0000-0000-000049970000}"/>
    <cellStyle name="Note 3 2 2 5 2 2 3" xfId="38732" xr:uid="{00000000-0005-0000-0000-00004A970000}"/>
    <cellStyle name="Note 3 2 2 5 2 2 4" xfId="38733" xr:uid="{00000000-0005-0000-0000-00004B970000}"/>
    <cellStyle name="Note 3 2 2 5 2 2 5" xfId="38734" xr:uid="{00000000-0005-0000-0000-00004C970000}"/>
    <cellStyle name="Note 3 2 2 5 2 2 6" xfId="38735" xr:uid="{00000000-0005-0000-0000-00004D970000}"/>
    <cellStyle name="Note 3 2 2 5 2 3" xfId="38736" xr:uid="{00000000-0005-0000-0000-00004E970000}"/>
    <cellStyle name="Note 3 2 2 5 2 4" xfId="38737" xr:uid="{00000000-0005-0000-0000-00004F970000}"/>
    <cellStyle name="Note 3 2 2 5 2 5" xfId="38738" xr:uid="{00000000-0005-0000-0000-000050970000}"/>
    <cellStyle name="Note 3 2 2 5 2 6" xfId="38739" xr:uid="{00000000-0005-0000-0000-000051970000}"/>
    <cellStyle name="Note 3 2 2 5 3" xfId="38740" xr:uid="{00000000-0005-0000-0000-000052970000}"/>
    <cellStyle name="Note 3 2 2 5 3 2" xfId="38741" xr:uid="{00000000-0005-0000-0000-000053970000}"/>
    <cellStyle name="Note 3 2 2 5 3 2 2" xfId="38742" xr:uid="{00000000-0005-0000-0000-000054970000}"/>
    <cellStyle name="Note 3 2 2 5 3 2 3" xfId="38743" xr:uid="{00000000-0005-0000-0000-000055970000}"/>
    <cellStyle name="Note 3 2 2 5 3 2 4" xfId="38744" xr:uid="{00000000-0005-0000-0000-000056970000}"/>
    <cellStyle name="Note 3 2 2 5 3 2 5" xfId="38745" xr:uid="{00000000-0005-0000-0000-000057970000}"/>
    <cellStyle name="Note 3 2 2 5 3 2 6" xfId="38746" xr:uid="{00000000-0005-0000-0000-000058970000}"/>
    <cellStyle name="Note 3 2 2 5 3 3" xfId="38747" xr:uid="{00000000-0005-0000-0000-000059970000}"/>
    <cellStyle name="Note 3 2 2 5 3 4" xfId="38748" xr:uid="{00000000-0005-0000-0000-00005A970000}"/>
    <cellStyle name="Note 3 2 2 5 3 5" xfId="38749" xr:uid="{00000000-0005-0000-0000-00005B970000}"/>
    <cellStyle name="Note 3 2 2 5 3 6" xfId="38750" xr:uid="{00000000-0005-0000-0000-00005C970000}"/>
    <cellStyle name="Note 3 2 2 5 4" xfId="38751" xr:uid="{00000000-0005-0000-0000-00005D970000}"/>
    <cellStyle name="Note 3 2 2 5 4 2" xfId="38752" xr:uid="{00000000-0005-0000-0000-00005E970000}"/>
    <cellStyle name="Note 3 2 2 5 4 3" xfId="38753" xr:uid="{00000000-0005-0000-0000-00005F970000}"/>
    <cellStyle name="Note 3 2 2 5 4 4" xfId="38754" xr:uid="{00000000-0005-0000-0000-000060970000}"/>
    <cellStyle name="Note 3 2 2 5 4 5" xfId="38755" xr:uid="{00000000-0005-0000-0000-000061970000}"/>
    <cellStyle name="Note 3 2 2 5 4 6" xfId="38756" xr:uid="{00000000-0005-0000-0000-000062970000}"/>
    <cellStyle name="Note 3 2 2 5 5" xfId="38757" xr:uid="{00000000-0005-0000-0000-000063970000}"/>
    <cellStyle name="Note 3 2 2 5 6" xfId="38758" xr:uid="{00000000-0005-0000-0000-000064970000}"/>
    <cellStyle name="Note 3 2 2 5 7" xfId="38759" xr:uid="{00000000-0005-0000-0000-000065970000}"/>
    <cellStyle name="Note 3 2 2 5 8" xfId="38760" xr:uid="{00000000-0005-0000-0000-000066970000}"/>
    <cellStyle name="Note 3 2 2 6" xfId="38761" xr:uid="{00000000-0005-0000-0000-000067970000}"/>
    <cellStyle name="Note 3 2 2 6 2" xfId="38762" xr:uid="{00000000-0005-0000-0000-000068970000}"/>
    <cellStyle name="Note 3 2 2 6 2 2" xfId="38763" xr:uid="{00000000-0005-0000-0000-000069970000}"/>
    <cellStyle name="Note 3 2 2 6 2 3" xfId="38764" xr:uid="{00000000-0005-0000-0000-00006A970000}"/>
    <cellStyle name="Note 3 2 2 6 2 4" xfId="38765" xr:uid="{00000000-0005-0000-0000-00006B970000}"/>
    <cellStyle name="Note 3 2 2 6 2 5" xfId="38766" xr:uid="{00000000-0005-0000-0000-00006C970000}"/>
    <cellStyle name="Note 3 2 2 6 2 6" xfId="38767" xr:uid="{00000000-0005-0000-0000-00006D970000}"/>
    <cellStyle name="Note 3 2 2 6 3" xfId="38768" xr:uid="{00000000-0005-0000-0000-00006E970000}"/>
    <cellStyle name="Note 3 2 2 6 4" xfId="38769" xr:uid="{00000000-0005-0000-0000-00006F970000}"/>
    <cellStyle name="Note 3 2 2 6 5" xfId="38770" xr:uid="{00000000-0005-0000-0000-000070970000}"/>
    <cellStyle name="Note 3 2 2 6 6" xfId="38771" xr:uid="{00000000-0005-0000-0000-000071970000}"/>
    <cellStyle name="Note 3 2 2 7" xfId="38772" xr:uid="{00000000-0005-0000-0000-000072970000}"/>
    <cellStyle name="Note 3 2 2 7 2" xfId="38773" xr:uid="{00000000-0005-0000-0000-000073970000}"/>
    <cellStyle name="Note 3 2 2 7 2 2" xfId="38774" xr:uid="{00000000-0005-0000-0000-000074970000}"/>
    <cellStyle name="Note 3 2 2 7 2 3" xfId="38775" xr:uid="{00000000-0005-0000-0000-000075970000}"/>
    <cellStyle name="Note 3 2 2 7 2 4" xfId="38776" xr:uid="{00000000-0005-0000-0000-000076970000}"/>
    <cellStyle name="Note 3 2 2 7 2 5" xfId="38777" xr:uid="{00000000-0005-0000-0000-000077970000}"/>
    <cellStyle name="Note 3 2 2 7 2 6" xfId="38778" xr:uid="{00000000-0005-0000-0000-000078970000}"/>
    <cellStyle name="Note 3 2 2 7 3" xfId="38779" xr:uid="{00000000-0005-0000-0000-000079970000}"/>
    <cellStyle name="Note 3 2 2 7 4" xfId="38780" xr:uid="{00000000-0005-0000-0000-00007A970000}"/>
    <cellStyle name="Note 3 2 2 7 5" xfId="38781" xr:uid="{00000000-0005-0000-0000-00007B970000}"/>
    <cellStyle name="Note 3 2 2 7 6" xfId="38782" xr:uid="{00000000-0005-0000-0000-00007C970000}"/>
    <cellStyle name="Note 3 2 2 8" xfId="38783" xr:uid="{00000000-0005-0000-0000-00007D970000}"/>
    <cellStyle name="Note 3 2 2 8 2" xfId="38784" xr:uid="{00000000-0005-0000-0000-00007E970000}"/>
    <cellStyle name="Note 3 2 2 8 3" xfId="38785" xr:uid="{00000000-0005-0000-0000-00007F970000}"/>
    <cellStyle name="Note 3 2 2 8 4" xfId="38786" xr:uid="{00000000-0005-0000-0000-000080970000}"/>
    <cellStyle name="Note 3 2 2 8 5" xfId="38787" xr:uid="{00000000-0005-0000-0000-000081970000}"/>
    <cellStyle name="Note 3 2 2 8 6" xfId="38788" xr:uid="{00000000-0005-0000-0000-000082970000}"/>
    <cellStyle name="Note 3 2 2 9" xfId="38789" xr:uid="{00000000-0005-0000-0000-000083970000}"/>
    <cellStyle name="Note 3 2 2 9 2" xfId="38790" xr:uid="{00000000-0005-0000-0000-000084970000}"/>
    <cellStyle name="Note 3 2 2 9 3" xfId="38791" xr:uid="{00000000-0005-0000-0000-000085970000}"/>
    <cellStyle name="Note 3 2 2 9 4" xfId="38792" xr:uid="{00000000-0005-0000-0000-000086970000}"/>
    <cellStyle name="Note 3 2 2 9 5" xfId="38793" xr:uid="{00000000-0005-0000-0000-000087970000}"/>
    <cellStyle name="Note 3 2 2 9 6" xfId="38794" xr:uid="{00000000-0005-0000-0000-000088970000}"/>
    <cellStyle name="Note 3 2 20" xfId="38795" xr:uid="{00000000-0005-0000-0000-000089970000}"/>
    <cellStyle name="Note 3 2 20 2" xfId="38796" xr:uid="{00000000-0005-0000-0000-00008A970000}"/>
    <cellStyle name="Note 3 2 20 2 2" xfId="38797" xr:uid="{00000000-0005-0000-0000-00008B970000}"/>
    <cellStyle name="Note 3 2 20 2 3" xfId="38798" xr:uid="{00000000-0005-0000-0000-00008C970000}"/>
    <cellStyle name="Note 3 2 20 2 4" xfId="38799" xr:uid="{00000000-0005-0000-0000-00008D970000}"/>
    <cellStyle name="Note 3 2 20 2 5" xfId="38800" xr:uid="{00000000-0005-0000-0000-00008E970000}"/>
    <cellStyle name="Note 3 2 20 2 6" xfId="38801" xr:uid="{00000000-0005-0000-0000-00008F970000}"/>
    <cellStyle name="Note 3 2 20 3" xfId="38802" xr:uid="{00000000-0005-0000-0000-000090970000}"/>
    <cellStyle name="Note 3 2 20 4" xfId="38803" xr:uid="{00000000-0005-0000-0000-000091970000}"/>
    <cellStyle name="Note 3 2 20 5" xfId="38804" xr:uid="{00000000-0005-0000-0000-000092970000}"/>
    <cellStyle name="Note 3 2 20 6" xfId="38805" xr:uid="{00000000-0005-0000-0000-000093970000}"/>
    <cellStyle name="Note 3 2 20 7" xfId="38806" xr:uid="{00000000-0005-0000-0000-000094970000}"/>
    <cellStyle name="Note 3 2 21" xfId="38807" xr:uid="{00000000-0005-0000-0000-000095970000}"/>
    <cellStyle name="Note 3 2 21 2" xfId="38808" xr:uid="{00000000-0005-0000-0000-000096970000}"/>
    <cellStyle name="Note 3 2 21 2 2" xfId="38809" xr:uid="{00000000-0005-0000-0000-000097970000}"/>
    <cellStyle name="Note 3 2 21 2 3" xfId="38810" xr:uid="{00000000-0005-0000-0000-000098970000}"/>
    <cellStyle name="Note 3 2 21 2 4" xfId="38811" xr:uid="{00000000-0005-0000-0000-000099970000}"/>
    <cellStyle name="Note 3 2 21 2 5" xfId="38812" xr:uid="{00000000-0005-0000-0000-00009A970000}"/>
    <cellStyle name="Note 3 2 21 2 6" xfId="38813" xr:uid="{00000000-0005-0000-0000-00009B970000}"/>
    <cellStyle name="Note 3 2 21 3" xfId="38814" xr:uid="{00000000-0005-0000-0000-00009C970000}"/>
    <cellStyle name="Note 3 2 21 4" xfId="38815" xr:uid="{00000000-0005-0000-0000-00009D970000}"/>
    <cellStyle name="Note 3 2 21 5" xfId="38816" xr:uid="{00000000-0005-0000-0000-00009E970000}"/>
    <cellStyle name="Note 3 2 21 6" xfId="38817" xr:uid="{00000000-0005-0000-0000-00009F970000}"/>
    <cellStyle name="Note 3 2 21 7" xfId="38818" xr:uid="{00000000-0005-0000-0000-0000A0970000}"/>
    <cellStyle name="Note 3 2 22" xfId="38819" xr:uid="{00000000-0005-0000-0000-0000A1970000}"/>
    <cellStyle name="Note 3 2 22 2" xfId="38820" xr:uid="{00000000-0005-0000-0000-0000A2970000}"/>
    <cellStyle name="Note 3 2 22 2 2" xfId="38821" xr:uid="{00000000-0005-0000-0000-0000A3970000}"/>
    <cellStyle name="Note 3 2 22 2 3" xfId="38822" xr:uid="{00000000-0005-0000-0000-0000A4970000}"/>
    <cellStyle name="Note 3 2 22 2 4" xfId="38823" xr:uid="{00000000-0005-0000-0000-0000A5970000}"/>
    <cellStyle name="Note 3 2 22 2 5" xfId="38824" xr:uid="{00000000-0005-0000-0000-0000A6970000}"/>
    <cellStyle name="Note 3 2 22 2 6" xfId="38825" xr:uid="{00000000-0005-0000-0000-0000A7970000}"/>
    <cellStyle name="Note 3 2 22 3" xfId="38826" xr:uid="{00000000-0005-0000-0000-0000A8970000}"/>
    <cellStyle name="Note 3 2 22 4" xfId="38827" xr:uid="{00000000-0005-0000-0000-0000A9970000}"/>
    <cellStyle name="Note 3 2 22 5" xfId="38828" xr:uid="{00000000-0005-0000-0000-0000AA970000}"/>
    <cellStyle name="Note 3 2 22 6" xfId="38829" xr:uid="{00000000-0005-0000-0000-0000AB970000}"/>
    <cellStyle name="Note 3 2 22 7" xfId="38830" xr:uid="{00000000-0005-0000-0000-0000AC970000}"/>
    <cellStyle name="Note 3 2 23" xfId="38831" xr:uid="{00000000-0005-0000-0000-0000AD970000}"/>
    <cellStyle name="Note 3 2 23 2" xfId="38832" xr:uid="{00000000-0005-0000-0000-0000AE970000}"/>
    <cellStyle name="Note 3 2 23 2 2" xfId="38833" xr:uid="{00000000-0005-0000-0000-0000AF970000}"/>
    <cellStyle name="Note 3 2 23 2 3" xfId="38834" xr:uid="{00000000-0005-0000-0000-0000B0970000}"/>
    <cellStyle name="Note 3 2 23 2 4" xfId="38835" xr:uid="{00000000-0005-0000-0000-0000B1970000}"/>
    <cellStyle name="Note 3 2 23 2 5" xfId="38836" xr:uid="{00000000-0005-0000-0000-0000B2970000}"/>
    <cellStyle name="Note 3 2 23 2 6" xfId="38837" xr:uid="{00000000-0005-0000-0000-0000B3970000}"/>
    <cellStyle name="Note 3 2 23 3" xfId="38838" xr:uid="{00000000-0005-0000-0000-0000B4970000}"/>
    <cellStyle name="Note 3 2 23 4" xfId="38839" xr:uid="{00000000-0005-0000-0000-0000B5970000}"/>
    <cellStyle name="Note 3 2 23 5" xfId="38840" xr:uid="{00000000-0005-0000-0000-0000B6970000}"/>
    <cellStyle name="Note 3 2 23 6" xfId="38841" xr:uid="{00000000-0005-0000-0000-0000B7970000}"/>
    <cellStyle name="Note 3 2 23 7" xfId="38842" xr:uid="{00000000-0005-0000-0000-0000B8970000}"/>
    <cellStyle name="Note 3 2 24" xfId="38843" xr:uid="{00000000-0005-0000-0000-0000B9970000}"/>
    <cellStyle name="Note 3 2 24 2" xfId="38844" xr:uid="{00000000-0005-0000-0000-0000BA970000}"/>
    <cellStyle name="Note 3 2 24 2 2" xfId="38845" xr:uid="{00000000-0005-0000-0000-0000BB970000}"/>
    <cellStyle name="Note 3 2 24 2 3" xfId="38846" xr:uid="{00000000-0005-0000-0000-0000BC970000}"/>
    <cellStyle name="Note 3 2 24 2 4" xfId="38847" xr:uid="{00000000-0005-0000-0000-0000BD970000}"/>
    <cellStyle name="Note 3 2 24 2 5" xfId="38848" xr:uid="{00000000-0005-0000-0000-0000BE970000}"/>
    <cellStyle name="Note 3 2 24 2 6" xfId="38849" xr:uid="{00000000-0005-0000-0000-0000BF970000}"/>
    <cellStyle name="Note 3 2 24 3" xfId="38850" xr:uid="{00000000-0005-0000-0000-0000C0970000}"/>
    <cellStyle name="Note 3 2 24 4" xfId="38851" xr:uid="{00000000-0005-0000-0000-0000C1970000}"/>
    <cellStyle name="Note 3 2 24 5" xfId="38852" xr:uid="{00000000-0005-0000-0000-0000C2970000}"/>
    <cellStyle name="Note 3 2 24 6" xfId="38853" xr:uid="{00000000-0005-0000-0000-0000C3970000}"/>
    <cellStyle name="Note 3 2 24 7" xfId="38854" xr:uid="{00000000-0005-0000-0000-0000C4970000}"/>
    <cellStyle name="Note 3 2 25" xfId="38855" xr:uid="{00000000-0005-0000-0000-0000C5970000}"/>
    <cellStyle name="Note 3 2 25 2" xfId="38856" xr:uid="{00000000-0005-0000-0000-0000C6970000}"/>
    <cellStyle name="Note 3 2 25 2 2" xfId="38857" xr:uid="{00000000-0005-0000-0000-0000C7970000}"/>
    <cellStyle name="Note 3 2 25 2 3" xfId="38858" xr:uid="{00000000-0005-0000-0000-0000C8970000}"/>
    <cellStyle name="Note 3 2 25 2 4" xfId="38859" xr:uid="{00000000-0005-0000-0000-0000C9970000}"/>
    <cellStyle name="Note 3 2 25 2 5" xfId="38860" xr:uid="{00000000-0005-0000-0000-0000CA970000}"/>
    <cellStyle name="Note 3 2 25 2 6" xfId="38861" xr:uid="{00000000-0005-0000-0000-0000CB970000}"/>
    <cellStyle name="Note 3 2 25 3" xfId="38862" xr:uid="{00000000-0005-0000-0000-0000CC970000}"/>
    <cellStyle name="Note 3 2 25 4" xfId="38863" xr:uid="{00000000-0005-0000-0000-0000CD970000}"/>
    <cellStyle name="Note 3 2 25 5" xfId="38864" xr:uid="{00000000-0005-0000-0000-0000CE970000}"/>
    <cellStyle name="Note 3 2 25 6" xfId="38865" xr:uid="{00000000-0005-0000-0000-0000CF970000}"/>
    <cellStyle name="Note 3 2 25 7" xfId="38866" xr:uid="{00000000-0005-0000-0000-0000D0970000}"/>
    <cellStyle name="Note 3 2 26" xfId="38867" xr:uid="{00000000-0005-0000-0000-0000D1970000}"/>
    <cellStyle name="Note 3 2 26 2" xfId="38868" xr:uid="{00000000-0005-0000-0000-0000D2970000}"/>
    <cellStyle name="Note 3 2 26 2 2" xfId="38869" xr:uid="{00000000-0005-0000-0000-0000D3970000}"/>
    <cellStyle name="Note 3 2 26 2 3" xfId="38870" xr:uid="{00000000-0005-0000-0000-0000D4970000}"/>
    <cellStyle name="Note 3 2 26 2 4" xfId="38871" xr:uid="{00000000-0005-0000-0000-0000D5970000}"/>
    <cellStyle name="Note 3 2 26 2 5" xfId="38872" xr:uid="{00000000-0005-0000-0000-0000D6970000}"/>
    <cellStyle name="Note 3 2 26 2 6" xfId="38873" xr:uid="{00000000-0005-0000-0000-0000D7970000}"/>
    <cellStyle name="Note 3 2 26 3" xfId="38874" xr:uid="{00000000-0005-0000-0000-0000D8970000}"/>
    <cellStyle name="Note 3 2 26 4" xfId="38875" xr:uid="{00000000-0005-0000-0000-0000D9970000}"/>
    <cellStyle name="Note 3 2 26 5" xfId="38876" xr:uid="{00000000-0005-0000-0000-0000DA970000}"/>
    <cellStyle name="Note 3 2 26 6" xfId="38877" xr:uid="{00000000-0005-0000-0000-0000DB970000}"/>
    <cellStyle name="Note 3 2 26 7" xfId="38878" xr:uid="{00000000-0005-0000-0000-0000DC970000}"/>
    <cellStyle name="Note 3 2 27" xfId="38879" xr:uid="{00000000-0005-0000-0000-0000DD970000}"/>
    <cellStyle name="Note 3 2 27 2" xfId="38880" xr:uid="{00000000-0005-0000-0000-0000DE970000}"/>
    <cellStyle name="Note 3 2 27 2 2" xfId="38881" xr:uid="{00000000-0005-0000-0000-0000DF970000}"/>
    <cellStyle name="Note 3 2 27 2 3" xfId="38882" xr:uid="{00000000-0005-0000-0000-0000E0970000}"/>
    <cellStyle name="Note 3 2 27 2 4" xfId="38883" xr:uid="{00000000-0005-0000-0000-0000E1970000}"/>
    <cellStyle name="Note 3 2 27 2 5" xfId="38884" xr:uid="{00000000-0005-0000-0000-0000E2970000}"/>
    <cellStyle name="Note 3 2 27 2 6" xfId="38885" xr:uid="{00000000-0005-0000-0000-0000E3970000}"/>
    <cellStyle name="Note 3 2 27 3" xfId="38886" xr:uid="{00000000-0005-0000-0000-0000E4970000}"/>
    <cellStyle name="Note 3 2 27 4" xfId="38887" xr:uid="{00000000-0005-0000-0000-0000E5970000}"/>
    <cellStyle name="Note 3 2 27 5" xfId="38888" xr:uid="{00000000-0005-0000-0000-0000E6970000}"/>
    <cellStyle name="Note 3 2 27 6" xfId="38889" xr:uid="{00000000-0005-0000-0000-0000E7970000}"/>
    <cellStyle name="Note 3 2 27 7" xfId="38890" xr:uid="{00000000-0005-0000-0000-0000E8970000}"/>
    <cellStyle name="Note 3 2 28" xfId="38891" xr:uid="{00000000-0005-0000-0000-0000E9970000}"/>
    <cellStyle name="Note 3 2 28 2" xfId="38892" xr:uid="{00000000-0005-0000-0000-0000EA970000}"/>
    <cellStyle name="Note 3 2 28 2 2" xfId="38893" xr:uid="{00000000-0005-0000-0000-0000EB970000}"/>
    <cellStyle name="Note 3 2 28 2 3" xfId="38894" xr:uid="{00000000-0005-0000-0000-0000EC970000}"/>
    <cellStyle name="Note 3 2 28 2 4" xfId="38895" xr:uid="{00000000-0005-0000-0000-0000ED970000}"/>
    <cellStyle name="Note 3 2 28 2 5" xfId="38896" xr:uid="{00000000-0005-0000-0000-0000EE970000}"/>
    <cellStyle name="Note 3 2 28 2 6" xfId="38897" xr:uid="{00000000-0005-0000-0000-0000EF970000}"/>
    <cellStyle name="Note 3 2 28 3" xfId="38898" xr:uid="{00000000-0005-0000-0000-0000F0970000}"/>
    <cellStyle name="Note 3 2 28 4" xfId="38899" xr:uid="{00000000-0005-0000-0000-0000F1970000}"/>
    <cellStyle name="Note 3 2 28 5" xfId="38900" xr:uid="{00000000-0005-0000-0000-0000F2970000}"/>
    <cellStyle name="Note 3 2 28 6" xfId="38901" xr:uid="{00000000-0005-0000-0000-0000F3970000}"/>
    <cellStyle name="Note 3 2 28 7" xfId="38902" xr:uid="{00000000-0005-0000-0000-0000F4970000}"/>
    <cellStyle name="Note 3 2 29" xfId="38903" xr:uid="{00000000-0005-0000-0000-0000F5970000}"/>
    <cellStyle name="Note 3 2 29 2" xfId="38904" xr:uid="{00000000-0005-0000-0000-0000F6970000}"/>
    <cellStyle name="Note 3 2 29 2 2" xfId="38905" xr:uid="{00000000-0005-0000-0000-0000F7970000}"/>
    <cellStyle name="Note 3 2 29 2 3" xfId="38906" xr:uid="{00000000-0005-0000-0000-0000F8970000}"/>
    <cellStyle name="Note 3 2 29 2 4" xfId="38907" xr:uid="{00000000-0005-0000-0000-0000F9970000}"/>
    <cellStyle name="Note 3 2 29 2 5" xfId="38908" xr:uid="{00000000-0005-0000-0000-0000FA970000}"/>
    <cellStyle name="Note 3 2 29 2 6" xfId="38909" xr:uid="{00000000-0005-0000-0000-0000FB970000}"/>
    <cellStyle name="Note 3 2 29 3" xfId="38910" xr:uid="{00000000-0005-0000-0000-0000FC970000}"/>
    <cellStyle name="Note 3 2 29 4" xfId="38911" xr:uid="{00000000-0005-0000-0000-0000FD970000}"/>
    <cellStyle name="Note 3 2 29 5" xfId="38912" xr:uid="{00000000-0005-0000-0000-0000FE970000}"/>
    <cellStyle name="Note 3 2 29 6" xfId="38913" xr:uid="{00000000-0005-0000-0000-0000FF970000}"/>
    <cellStyle name="Note 3 2 29 7" xfId="38914" xr:uid="{00000000-0005-0000-0000-000000980000}"/>
    <cellStyle name="Note 3 2 3" xfId="38915" xr:uid="{00000000-0005-0000-0000-000001980000}"/>
    <cellStyle name="Note 3 2 3 2" xfId="38916" xr:uid="{00000000-0005-0000-0000-000002980000}"/>
    <cellStyle name="Note 3 2 3 2 2" xfId="38917" xr:uid="{00000000-0005-0000-0000-000003980000}"/>
    <cellStyle name="Note 3 2 3 2 2 2" xfId="38918" xr:uid="{00000000-0005-0000-0000-000004980000}"/>
    <cellStyle name="Note 3 2 3 2 2 3" xfId="38919" xr:uid="{00000000-0005-0000-0000-000005980000}"/>
    <cellStyle name="Note 3 2 3 2 2 4" xfId="38920" xr:uid="{00000000-0005-0000-0000-000006980000}"/>
    <cellStyle name="Note 3 2 3 2 2 5" xfId="38921" xr:uid="{00000000-0005-0000-0000-000007980000}"/>
    <cellStyle name="Note 3 2 3 2 2 6" xfId="38922" xr:uid="{00000000-0005-0000-0000-000008980000}"/>
    <cellStyle name="Note 3 2 3 2 3" xfId="38923" xr:uid="{00000000-0005-0000-0000-000009980000}"/>
    <cellStyle name="Note 3 2 3 2 3 2" xfId="38924" xr:uid="{00000000-0005-0000-0000-00000A980000}"/>
    <cellStyle name="Note 3 2 3 2 3 3" xfId="38925" xr:uid="{00000000-0005-0000-0000-00000B980000}"/>
    <cellStyle name="Note 3 2 3 2 3 4" xfId="38926" xr:uid="{00000000-0005-0000-0000-00000C980000}"/>
    <cellStyle name="Note 3 2 3 2 3 5" xfId="38927" xr:uid="{00000000-0005-0000-0000-00000D980000}"/>
    <cellStyle name="Note 3 2 3 2 3 6" xfId="38928" xr:uid="{00000000-0005-0000-0000-00000E980000}"/>
    <cellStyle name="Note 3 2 3 2 4" xfId="38929" xr:uid="{00000000-0005-0000-0000-00000F980000}"/>
    <cellStyle name="Note 3 2 3 2 5" xfId="38930" xr:uid="{00000000-0005-0000-0000-000010980000}"/>
    <cellStyle name="Note 3 2 3 2 6" xfId="38931" xr:uid="{00000000-0005-0000-0000-000011980000}"/>
    <cellStyle name="Note 3 2 3 2 7" xfId="38932" xr:uid="{00000000-0005-0000-0000-000012980000}"/>
    <cellStyle name="Note 3 2 3 3" xfId="38933" xr:uid="{00000000-0005-0000-0000-000013980000}"/>
    <cellStyle name="Note 3 2 3 3 2" xfId="38934" xr:uid="{00000000-0005-0000-0000-000014980000}"/>
    <cellStyle name="Note 3 2 3 3 2 2" xfId="38935" xr:uid="{00000000-0005-0000-0000-000015980000}"/>
    <cellStyle name="Note 3 2 3 3 2 3" xfId="38936" xr:uid="{00000000-0005-0000-0000-000016980000}"/>
    <cellStyle name="Note 3 2 3 3 2 4" xfId="38937" xr:uid="{00000000-0005-0000-0000-000017980000}"/>
    <cellStyle name="Note 3 2 3 3 2 5" xfId="38938" xr:uid="{00000000-0005-0000-0000-000018980000}"/>
    <cellStyle name="Note 3 2 3 3 2 6" xfId="38939" xr:uid="{00000000-0005-0000-0000-000019980000}"/>
    <cellStyle name="Note 3 2 3 3 3" xfId="38940" xr:uid="{00000000-0005-0000-0000-00001A980000}"/>
    <cellStyle name="Note 3 2 3 3 4" xfId="38941" xr:uid="{00000000-0005-0000-0000-00001B980000}"/>
    <cellStyle name="Note 3 2 3 3 5" xfId="38942" xr:uid="{00000000-0005-0000-0000-00001C980000}"/>
    <cellStyle name="Note 3 2 3 3 6" xfId="38943" xr:uid="{00000000-0005-0000-0000-00001D980000}"/>
    <cellStyle name="Note 3 2 3 4" xfId="38944" xr:uid="{00000000-0005-0000-0000-00001E980000}"/>
    <cellStyle name="Note 3 2 3 4 2" xfId="38945" xr:uid="{00000000-0005-0000-0000-00001F980000}"/>
    <cellStyle name="Note 3 2 3 4 3" xfId="38946" xr:uid="{00000000-0005-0000-0000-000020980000}"/>
    <cellStyle name="Note 3 2 3 4 4" xfId="38947" xr:uid="{00000000-0005-0000-0000-000021980000}"/>
    <cellStyle name="Note 3 2 3 4 5" xfId="38948" xr:uid="{00000000-0005-0000-0000-000022980000}"/>
    <cellStyle name="Note 3 2 3 4 6" xfId="38949" xr:uid="{00000000-0005-0000-0000-000023980000}"/>
    <cellStyle name="Note 3 2 3 5" xfId="38950" xr:uid="{00000000-0005-0000-0000-000024980000}"/>
    <cellStyle name="Note 3 2 3 5 2" xfId="38951" xr:uid="{00000000-0005-0000-0000-000025980000}"/>
    <cellStyle name="Note 3 2 3 5 3" xfId="38952" xr:uid="{00000000-0005-0000-0000-000026980000}"/>
    <cellStyle name="Note 3 2 3 5 4" xfId="38953" xr:uid="{00000000-0005-0000-0000-000027980000}"/>
    <cellStyle name="Note 3 2 3 5 5" xfId="38954" xr:uid="{00000000-0005-0000-0000-000028980000}"/>
    <cellStyle name="Note 3 2 3 5 6" xfId="38955" xr:uid="{00000000-0005-0000-0000-000029980000}"/>
    <cellStyle name="Note 3 2 3 6" xfId="38956" xr:uid="{00000000-0005-0000-0000-00002A980000}"/>
    <cellStyle name="Note 3 2 3 7" xfId="38957" xr:uid="{00000000-0005-0000-0000-00002B980000}"/>
    <cellStyle name="Note 3 2 3 8" xfId="38958" xr:uid="{00000000-0005-0000-0000-00002C980000}"/>
    <cellStyle name="Note 3 2 3 9" xfId="38959" xr:uid="{00000000-0005-0000-0000-00002D980000}"/>
    <cellStyle name="Note 3 2 30" xfId="38960" xr:uid="{00000000-0005-0000-0000-00002E980000}"/>
    <cellStyle name="Note 3 2 30 2" xfId="38961" xr:uid="{00000000-0005-0000-0000-00002F980000}"/>
    <cellStyle name="Note 3 2 30 2 2" xfId="38962" xr:uid="{00000000-0005-0000-0000-000030980000}"/>
    <cellStyle name="Note 3 2 30 2 3" xfId="38963" xr:uid="{00000000-0005-0000-0000-000031980000}"/>
    <cellStyle name="Note 3 2 30 2 4" xfId="38964" xr:uid="{00000000-0005-0000-0000-000032980000}"/>
    <cellStyle name="Note 3 2 30 2 5" xfId="38965" xr:uid="{00000000-0005-0000-0000-000033980000}"/>
    <cellStyle name="Note 3 2 30 2 6" xfId="38966" xr:uid="{00000000-0005-0000-0000-000034980000}"/>
    <cellStyle name="Note 3 2 30 3" xfId="38967" xr:uid="{00000000-0005-0000-0000-000035980000}"/>
    <cellStyle name="Note 3 2 30 4" xfId="38968" xr:uid="{00000000-0005-0000-0000-000036980000}"/>
    <cellStyle name="Note 3 2 30 5" xfId="38969" xr:uid="{00000000-0005-0000-0000-000037980000}"/>
    <cellStyle name="Note 3 2 30 6" xfId="38970" xr:uid="{00000000-0005-0000-0000-000038980000}"/>
    <cellStyle name="Note 3 2 30 7" xfId="38971" xr:uid="{00000000-0005-0000-0000-000039980000}"/>
    <cellStyle name="Note 3 2 31" xfId="38972" xr:uid="{00000000-0005-0000-0000-00003A980000}"/>
    <cellStyle name="Note 3 2 31 2" xfId="38973" xr:uid="{00000000-0005-0000-0000-00003B980000}"/>
    <cellStyle name="Note 3 2 31 2 2" xfId="38974" xr:uid="{00000000-0005-0000-0000-00003C980000}"/>
    <cellStyle name="Note 3 2 31 2 3" xfId="38975" xr:uid="{00000000-0005-0000-0000-00003D980000}"/>
    <cellStyle name="Note 3 2 31 2 4" xfId="38976" xr:uid="{00000000-0005-0000-0000-00003E980000}"/>
    <cellStyle name="Note 3 2 31 2 5" xfId="38977" xr:uid="{00000000-0005-0000-0000-00003F980000}"/>
    <cellStyle name="Note 3 2 31 2 6" xfId="38978" xr:uid="{00000000-0005-0000-0000-000040980000}"/>
    <cellStyle name="Note 3 2 31 3" xfId="38979" xr:uid="{00000000-0005-0000-0000-000041980000}"/>
    <cellStyle name="Note 3 2 31 4" xfId="38980" xr:uid="{00000000-0005-0000-0000-000042980000}"/>
    <cellStyle name="Note 3 2 31 5" xfId="38981" xr:uid="{00000000-0005-0000-0000-000043980000}"/>
    <cellStyle name="Note 3 2 31 6" xfId="38982" xr:uid="{00000000-0005-0000-0000-000044980000}"/>
    <cellStyle name="Note 3 2 31 7" xfId="38983" xr:uid="{00000000-0005-0000-0000-000045980000}"/>
    <cellStyle name="Note 3 2 32" xfId="38984" xr:uid="{00000000-0005-0000-0000-000046980000}"/>
    <cellStyle name="Note 3 2 32 2" xfId="38985" xr:uid="{00000000-0005-0000-0000-000047980000}"/>
    <cellStyle name="Note 3 2 32 2 2" xfId="38986" xr:uid="{00000000-0005-0000-0000-000048980000}"/>
    <cellStyle name="Note 3 2 32 2 3" xfId="38987" xr:uid="{00000000-0005-0000-0000-000049980000}"/>
    <cellStyle name="Note 3 2 32 2 4" xfId="38988" xr:uid="{00000000-0005-0000-0000-00004A980000}"/>
    <cellStyle name="Note 3 2 32 2 5" xfId="38989" xr:uid="{00000000-0005-0000-0000-00004B980000}"/>
    <cellStyle name="Note 3 2 32 2 6" xfId="38990" xr:uid="{00000000-0005-0000-0000-00004C980000}"/>
    <cellStyle name="Note 3 2 32 3" xfId="38991" xr:uid="{00000000-0005-0000-0000-00004D980000}"/>
    <cellStyle name="Note 3 2 32 4" xfId="38992" xr:uid="{00000000-0005-0000-0000-00004E980000}"/>
    <cellStyle name="Note 3 2 32 5" xfId="38993" xr:uid="{00000000-0005-0000-0000-00004F980000}"/>
    <cellStyle name="Note 3 2 32 6" xfId="38994" xr:uid="{00000000-0005-0000-0000-000050980000}"/>
    <cellStyle name="Note 3 2 32 7" xfId="38995" xr:uid="{00000000-0005-0000-0000-000051980000}"/>
    <cellStyle name="Note 3 2 33" xfId="38996" xr:uid="{00000000-0005-0000-0000-000052980000}"/>
    <cellStyle name="Note 3 2 33 2" xfId="38997" xr:uid="{00000000-0005-0000-0000-000053980000}"/>
    <cellStyle name="Note 3 2 33 2 2" xfId="38998" xr:uid="{00000000-0005-0000-0000-000054980000}"/>
    <cellStyle name="Note 3 2 33 2 3" xfId="38999" xr:uid="{00000000-0005-0000-0000-000055980000}"/>
    <cellStyle name="Note 3 2 33 2 4" xfId="39000" xr:uid="{00000000-0005-0000-0000-000056980000}"/>
    <cellStyle name="Note 3 2 33 2 5" xfId="39001" xr:uid="{00000000-0005-0000-0000-000057980000}"/>
    <cellStyle name="Note 3 2 33 2 6" xfId="39002" xr:uid="{00000000-0005-0000-0000-000058980000}"/>
    <cellStyle name="Note 3 2 33 3" xfId="39003" xr:uid="{00000000-0005-0000-0000-000059980000}"/>
    <cellStyle name="Note 3 2 33 4" xfId="39004" xr:uid="{00000000-0005-0000-0000-00005A980000}"/>
    <cellStyle name="Note 3 2 33 5" xfId="39005" xr:uid="{00000000-0005-0000-0000-00005B980000}"/>
    <cellStyle name="Note 3 2 33 6" xfId="39006" xr:uid="{00000000-0005-0000-0000-00005C980000}"/>
    <cellStyle name="Note 3 2 33 7" xfId="39007" xr:uid="{00000000-0005-0000-0000-00005D980000}"/>
    <cellStyle name="Note 3 2 34" xfId="39008" xr:uid="{00000000-0005-0000-0000-00005E980000}"/>
    <cellStyle name="Note 3 2 34 2" xfId="39009" xr:uid="{00000000-0005-0000-0000-00005F980000}"/>
    <cellStyle name="Note 3 2 34 2 2" xfId="39010" xr:uid="{00000000-0005-0000-0000-000060980000}"/>
    <cellStyle name="Note 3 2 34 2 3" xfId="39011" xr:uid="{00000000-0005-0000-0000-000061980000}"/>
    <cellStyle name="Note 3 2 34 2 4" xfId="39012" xr:uid="{00000000-0005-0000-0000-000062980000}"/>
    <cellStyle name="Note 3 2 34 2 5" xfId="39013" xr:uid="{00000000-0005-0000-0000-000063980000}"/>
    <cellStyle name="Note 3 2 34 2 6" xfId="39014" xr:uid="{00000000-0005-0000-0000-000064980000}"/>
    <cellStyle name="Note 3 2 34 3" xfId="39015" xr:uid="{00000000-0005-0000-0000-000065980000}"/>
    <cellStyle name="Note 3 2 34 4" xfId="39016" xr:uid="{00000000-0005-0000-0000-000066980000}"/>
    <cellStyle name="Note 3 2 34 5" xfId="39017" xr:uid="{00000000-0005-0000-0000-000067980000}"/>
    <cellStyle name="Note 3 2 34 6" xfId="39018" xr:uid="{00000000-0005-0000-0000-000068980000}"/>
    <cellStyle name="Note 3 2 34 7" xfId="39019" xr:uid="{00000000-0005-0000-0000-000069980000}"/>
    <cellStyle name="Note 3 2 35" xfId="39020" xr:uid="{00000000-0005-0000-0000-00006A980000}"/>
    <cellStyle name="Note 3 2 35 2" xfId="39021" xr:uid="{00000000-0005-0000-0000-00006B980000}"/>
    <cellStyle name="Note 3 2 35 2 2" xfId="39022" xr:uid="{00000000-0005-0000-0000-00006C980000}"/>
    <cellStyle name="Note 3 2 35 2 3" xfId="39023" xr:uid="{00000000-0005-0000-0000-00006D980000}"/>
    <cellStyle name="Note 3 2 35 2 4" xfId="39024" xr:uid="{00000000-0005-0000-0000-00006E980000}"/>
    <cellStyle name="Note 3 2 35 2 5" xfId="39025" xr:uid="{00000000-0005-0000-0000-00006F980000}"/>
    <cellStyle name="Note 3 2 35 2 6" xfId="39026" xr:uid="{00000000-0005-0000-0000-000070980000}"/>
    <cellStyle name="Note 3 2 35 3" xfId="39027" xr:uid="{00000000-0005-0000-0000-000071980000}"/>
    <cellStyle name="Note 3 2 35 4" xfId="39028" xr:uid="{00000000-0005-0000-0000-000072980000}"/>
    <cellStyle name="Note 3 2 35 5" xfId="39029" xr:uid="{00000000-0005-0000-0000-000073980000}"/>
    <cellStyle name="Note 3 2 35 6" xfId="39030" xr:uid="{00000000-0005-0000-0000-000074980000}"/>
    <cellStyle name="Note 3 2 35 7" xfId="39031" xr:uid="{00000000-0005-0000-0000-000075980000}"/>
    <cellStyle name="Note 3 2 36" xfId="39032" xr:uid="{00000000-0005-0000-0000-000076980000}"/>
    <cellStyle name="Note 3 2 36 2" xfId="39033" xr:uid="{00000000-0005-0000-0000-000077980000}"/>
    <cellStyle name="Note 3 2 36 2 2" xfId="39034" xr:uid="{00000000-0005-0000-0000-000078980000}"/>
    <cellStyle name="Note 3 2 36 2 3" xfId="39035" xr:uid="{00000000-0005-0000-0000-000079980000}"/>
    <cellStyle name="Note 3 2 36 2 4" xfId="39036" xr:uid="{00000000-0005-0000-0000-00007A980000}"/>
    <cellStyle name="Note 3 2 36 2 5" xfId="39037" xr:uid="{00000000-0005-0000-0000-00007B980000}"/>
    <cellStyle name="Note 3 2 36 2 6" xfId="39038" xr:uid="{00000000-0005-0000-0000-00007C980000}"/>
    <cellStyle name="Note 3 2 36 3" xfId="39039" xr:uid="{00000000-0005-0000-0000-00007D980000}"/>
    <cellStyle name="Note 3 2 36 4" xfId="39040" xr:uid="{00000000-0005-0000-0000-00007E980000}"/>
    <cellStyle name="Note 3 2 36 5" xfId="39041" xr:uid="{00000000-0005-0000-0000-00007F980000}"/>
    <cellStyle name="Note 3 2 36 6" xfId="39042" xr:uid="{00000000-0005-0000-0000-000080980000}"/>
    <cellStyle name="Note 3 2 36 7" xfId="39043" xr:uid="{00000000-0005-0000-0000-000081980000}"/>
    <cellStyle name="Note 3 2 37" xfId="39044" xr:uid="{00000000-0005-0000-0000-000082980000}"/>
    <cellStyle name="Note 3 2 37 2" xfId="39045" xr:uid="{00000000-0005-0000-0000-000083980000}"/>
    <cellStyle name="Note 3 2 37 2 2" xfId="39046" xr:uid="{00000000-0005-0000-0000-000084980000}"/>
    <cellStyle name="Note 3 2 37 2 3" xfId="39047" xr:uid="{00000000-0005-0000-0000-000085980000}"/>
    <cellStyle name="Note 3 2 37 2 4" xfId="39048" xr:uid="{00000000-0005-0000-0000-000086980000}"/>
    <cellStyle name="Note 3 2 37 2 5" xfId="39049" xr:uid="{00000000-0005-0000-0000-000087980000}"/>
    <cellStyle name="Note 3 2 37 2 6" xfId="39050" xr:uid="{00000000-0005-0000-0000-000088980000}"/>
    <cellStyle name="Note 3 2 37 3" xfId="39051" xr:uid="{00000000-0005-0000-0000-000089980000}"/>
    <cellStyle name="Note 3 2 37 4" xfId="39052" xr:uid="{00000000-0005-0000-0000-00008A980000}"/>
    <cellStyle name="Note 3 2 37 5" xfId="39053" xr:uid="{00000000-0005-0000-0000-00008B980000}"/>
    <cellStyle name="Note 3 2 37 6" xfId="39054" xr:uid="{00000000-0005-0000-0000-00008C980000}"/>
    <cellStyle name="Note 3 2 37 7" xfId="39055" xr:uid="{00000000-0005-0000-0000-00008D980000}"/>
    <cellStyle name="Note 3 2 38" xfId="39056" xr:uid="{00000000-0005-0000-0000-00008E980000}"/>
    <cellStyle name="Note 3 2 38 2" xfId="39057" xr:uid="{00000000-0005-0000-0000-00008F980000}"/>
    <cellStyle name="Note 3 2 38 2 2" xfId="39058" xr:uid="{00000000-0005-0000-0000-000090980000}"/>
    <cellStyle name="Note 3 2 38 2 3" xfId="39059" xr:uid="{00000000-0005-0000-0000-000091980000}"/>
    <cellStyle name="Note 3 2 38 2 4" xfId="39060" xr:uid="{00000000-0005-0000-0000-000092980000}"/>
    <cellStyle name="Note 3 2 38 2 5" xfId="39061" xr:uid="{00000000-0005-0000-0000-000093980000}"/>
    <cellStyle name="Note 3 2 38 2 6" xfId="39062" xr:uid="{00000000-0005-0000-0000-000094980000}"/>
    <cellStyle name="Note 3 2 38 3" xfId="39063" xr:uid="{00000000-0005-0000-0000-000095980000}"/>
    <cellStyle name="Note 3 2 38 4" xfId="39064" xr:uid="{00000000-0005-0000-0000-000096980000}"/>
    <cellStyle name="Note 3 2 38 5" xfId="39065" xr:uid="{00000000-0005-0000-0000-000097980000}"/>
    <cellStyle name="Note 3 2 38 6" xfId="39066" xr:uid="{00000000-0005-0000-0000-000098980000}"/>
    <cellStyle name="Note 3 2 38 7" xfId="39067" xr:uid="{00000000-0005-0000-0000-000099980000}"/>
    <cellStyle name="Note 3 2 39" xfId="39068" xr:uid="{00000000-0005-0000-0000-00009A980000}"/>
    <cellStyle name="Note 3 2 39 2" xfId="39069" xr:uid="{00000000-0005-0000-0000-00009B980000}"/>
    <cellStyle name="Note 3 2 39 2 2" xfId="39070" xr:uid="{00000000-0005-0000-0000-00009C980000}"/>
    <cellStyle name="Note 3 2 39 2 3" xfId="39071" xr:uid="{00000000-0005-0000-0000-00009D980000}"/>
    <cellStyle name="Note 3 2 39 2 4" xfId="39072" xr:uid="{00000000-0005-0000-0000-00009E980000}"/>
    <cellStyle name="Note 3 2 39 2 5" xfId="39073" xr:uid="{00000000-0005-0000-0000-00009F980000}"/>
    <cellStyle name="Note 3 2 39 2 6" xfId="39074" xr:uid="{00000000-0005-0000-0000-0000A0980000}"/>
    <cellStyle name="Note 3 2 39 3" xfId="39075" xr:uid="{00000000-0005-0000-0000-0000A1980000}"/>
    <cellStyle name="Note 3 2 39 4" xfId="39076" xr:uid="{00000000-0005-0000-0000-0000A2980000}"/>
    <cellStyle name="Note 3 2 39 5" xfId="39077" xr:uid="{00000000-0005-0000-0000-0000A3980000}"/>
    <cellStyle name="Note 3 2 39 6" xfId="39078" xr:uid="{00000000-0005-0000-0000-0000A4980000}"/>
    <cellStyle name="Note 3 2 39 7" xfId="39079" xr:uid="{00000000-0005-0000-0000-0000A5980000}"/>
    <cellStyle name="Note 3 2 4" xfId="39080" xr:uid="{00000000-0005-0000-0000-0000A6980000}"/>
    <cellStyle name="Note 3 2 4 2" xfId="39081" xr:uid="{00000000-0005-0000-0000-0000A7980000}"/>
    <cellStyle name="Note 3 2 4 2 2" xfId="39082" xr:uid="{00000000-0005-0000-0000-0000A8980000}"/>
    <cellStyle name="Note 3 2 4 2 2 2" xfId="39083" xr:uid="{00000000-0005-0000-0000-0000A9980000}"/>
    <cellStyle name="Note 3 2 4 2 2 3" xfId="39084" xr:uid="{00000000-0005-0000-0000-0000AA980000}"/>
    <cellStyle name="Note 3 2 4 2 2 4" xfId="39085" xr:uid="{00000000-0005-0000-0000-0000AB980000}"/>
    <cellStyle name="Note 3 2 4 2 2 5" xfId="39086" xr:uid="{00000000-0005-0000-0000-0000AC980000}"/>
    <cellStyle name="Note 3 2 4 2 2 6" xfId="39087" xr:uid="{00000000-0005-0000-0000-0000AD980000}"/>
    <cellStyle name="Note 3 2 4 2 3" xfId="39088" xr:uid="{00000000-0005-0000-0000-0000AE980000}"/>
    <cellStyle name="Note 3 2 4 2 3 2" xfId="39089" xr:uid="{00000000-0005-0000-0000-0000AF980000}"/>
    <cellStyle name="Note 3 2 4 2 3 3" xfId="39090" xr:uid="{00000000-0005-0000-0000-0000B0980000}"/>
    <cellStyle name="Note 3 2 4 2 3 4" xfId="39091" xr:uid="{00000000-0005-0000-0000-0000B1980000}"/>
    <cellStyle name="Note 3 2 4 2 3 5" xfId="39092" xr:uid="{00000000-0005-0000-0000-0000B2980000}"/>
    <cellStyle name="Note 3 2 4 2 3 6" xfId="39093" xr:uid="{00000000-0005-0000-0000-0000B3980000}"/>
    <cellStyle name="Note 3 2 4 2 4" xfId="39094" xr:uid="{00000000-0005-0000-0000-0000B4980000}"/>
    <cellStyle name="Note 3 2 4 2 5" xfId="39095" xr:uid="{00000000-0005-0000-0000-0000B5980000}"/>
    <cellStyle name="Note 3 2 4 2 6" xfId="39096" xr:uid="{00000000-0005-0000-0000-0000B6980000}"/>
    <cellStyle name="Note 3 2 4 2 7" xfId="39097" xr:uid="{00000000-0005-0000-0000-0000B7980000}"/>
    <cellStyle name="Note 3 2 4 3" xfId="39098" xr:uid="{00000000-0005-0000-0000-0000B8980000}"/>
    <cellStyle name="Note 3 2 4 3 2" xfId="39099" xr:uid="{00000000-0005-0000-0000-0000B9980000}"/>
    <cellStyle name="Note 3 2 4 3 2 2" xfId="39100" xr:uid="{00000000-0005-0000-0000-0000BA980000}"/>
    <cellStyle name="Note 3 2 4 3 2 3" xfId="39101" xr:uid="{00000000-0005-0000-0000-0000BB980000}"/>
    <cellStyle name="Note 3 2 4 3 2 4" xfId="39102" xr:uid="{00000000-0005-0000-0000-0000BC980000}"/>
    <cellStyle name="Note 3 2 4 3 2 5" xfId="39103" xr:uid="{00000000-0005-0000-0000-0000BD980000}"/>
    <cellStyle name="Note 3 2 4 3 2 6" xfId="39104" xr:uid="{00000000-0005-0000-0000-0000BE980000}"/>
    <cellStyle name="Note 3 2 4 3 3" xfId="39105" xr:uid="{00000000-0005-0000-0000-0000BF980000}"/>
    <cellStyle name="Note 3 2 4 3 4" xfId="39106" xr:uid="{00000000-0005-0000-0000-0000C0980000}"/>
    <cellStyle name="Note 3 2 4 3 5" xfId="39107" xr:uid="{00000000-0005-0000-0000-0000C1980000}"/>
    <cellStyle name="Note 3 2 4 3 6" xfId="39108" xr:uid="{00000000-0005-0000-0000-0000C2980000}"/>
    <cellStyle name="Note 3 2 4 4" xfId="39109" xr:uid="{00000000-0005-0000-0000-0000C3980000}"/>
    <cellStyle name="Note 3 2 4 4 2" xfId="39110" xr:uid="{00000000-0005-0000-0000-0000C4980000}"/>
    <cellStyle name="Note 3 2 4 4 3" xfId="39111" xr:uid="{00000000-0005-0000-0000-0000C5980000}"/>
    <cellStyle name="Note 3 2 4 4 4" xfId="39112" xr:uid="{00000000-0005-0000-0000-0000C6980000}"/>
    <cellStyle name="Note 3 2 4 4 5" xfId="39113" xr:uid="{00000000-0005-0000-0000-0000C7980000}"/>
    <cellStyle name="Note 3 2 4 4 6" xfId="39114" xr:uid="{00000000-0005-0000-0000-0000C8980000}"/>
    <cellStyle name="Note 3 2 4 5" xfId="39115" xr:uid="{00000000-0005-0000-0000-0000C9980000}"/>
    <cellStyle name="Note 3 2 4 5 2" xfId="39116" xr:uid="{00000000-0005-0000-0000-0000CA980000}"/>
    <cellStyle name="Note 3 2 4 5 3" xfId="39117" xr:uid="{00000000-0005-0000-0000-0000CB980000}"/>
    <cellStyle name="Note 3 2 4 5 4" xfId="39118" xr:uid="{00000000-0005-0000-0000-0000CC980000}"/>
    <cellStyle name="Note 3 2 4 5 5" xfId="39119" xr:uid="{00000000-0005-0000-0000-0000CD980000}"/>
    <cellStyle name="Note 3 2 4 5 6" xfId="39120" xr:uid="{00000000-0005-0000-0000-0000CE980000}"/>
    <cellStyle name="Note 3 2 4 6" xfId="39121" xr:uid="{00000000-0005-0000-0000-0000CF980000}"/>
    <cellStyle name="Note 3 2 4 7" xfId="39122" xr:uid="{00000000-0005-0000-0000-0000D0980000}"/>
    <cellStyle name="Note 3 2 4 8" xfId="39123" xr:uid="{00000000-0005-0000-0000-0000D1980000}"/>
    <cellStyle name="Note 3 2 4 9" xfId="39124" xr:uid="{00000000-0005-0000-0000-0000D2980000}"/>
    <cellStyle name="Note 3 2 40" xfId="39125" xr:uid="{00000000-0005-0000-0000-0000D3980000}"/>
    <cellStyle name="Note 3 2 40 2" xfId="39126" xr:uid="{00000000-0005-0000-0000-0000D4980000}"/>
    <cellStyle name="Note 3 2 40 2 2" xfId="39127" xr:uid="{00000000-0005-0000-0000-0000D5980000}"/>
    <cellStyle name="Note 3 2 40 2 3" xfId="39128" xr:uid="{00000000-0005-0000-0000-0000D6980000}"/>
    <cellStyle name="Note 3 2 40 2 4" xfId="39129" xr:uid="{00000000-0005-0000-0000-0000D7980000}"/>
    <cellStyle name="Note 3 2 40 2 5" xfId="39130" xr:uid="{00000000-0005-0000-0000-0000D8980000}"/>
    <cellStyle name="Note 3 2 40 2 6" xfId="39131" xr:uid="{00000000-0005-0000-0000-0000D9980000}"/>
    <cellStyle name="Note 3 2 40 3" xfId="39132" xr:uid="{00000000-0005-0000-0000-0000DA980000}"/>
    <cellStyle name="Note 3 2 40 4" xfId="39133" xr:uid="{00000000-0005-0000-0000-0000DB980000}"/>
    <cellStyle name="Note 3 2 40 5" xfId="39134" xr:uid="{00000000-0005-0000-0000-0000DC980000}"/>
    <cellStyle name="Note 3 2 40 6" xfId="39135" xr:uid="{00000000-0005-0000-0000-0000DD980000}"/>
    <cellStyle name="Note 3 2 40 7" xfId="39136" xr:uid="{00000000-0005-0000-0000-0000DE980000}"/>
    <cellStyle name="Note 3 2 41" xfId="39137" xr:uid="{00000000-0005-0000-0000-0000DF980000}"/>
    <cellStyle name="Note 3 2 41 2" xfId="39138" xr:uid="{00000000-0005-0000-0000-0000E0980000}"/>
    <cellStyle name="Note 3 2 41 2 2" xfId="39139" xr:uid="{00000000-0005-0000-0000-0000E1980000}"/>
    <cellStyle name="Note 3 2 41 2 3" xfId="39140" xr:uid="{00000000-0005-0000-0000-0000E2980000}"/>
    <cellStyle name="Note 3 2 41 2 4" xfId="39141" xr:uid="{00000000-0005-0000-0000-0000E3980000}"/>
    <cellStyle name="Note 3 2 41 2 5" xfId="39142" xr:uid="{00000000-0005-0000-0000-0000E4980000}"/>
    <cellStyle name="Note 3 2 41 2 6" xfId="39143" xr:uid="{00000000-0005-0000-0000-0000E5980000}"/>
    <cellStyle name="Note 3 2 41 3" xfId="39144" xr:uid="{00000000-0005-0000-0000-0000E6980000}"/>
    <cellStyle name="Note 3 2 41 4" xfId="39145" xr:uid="{00000000-0005-0000-0000-0000E7980000}"/>
    <cellStyle name="Note 3 2 41 5" xfId="39146" xr:uid="{00000000-0005-0000-0000-0000E8980000}"/>
    <cellStyle name="Note 3 2 41 6" xfId="39147" xr:uid="{00000000-0005-0000-0000-0000E9980000}"/>
    <cellStyle name="Note 3 2 41 7" xfId="39148" xr:uid="{00000000-0005-0000-0000-0000EA980000}"/>
    <cellStyle name="Note 3 2 42" xfId="39149" xr:uid="{00000000-0005-0000-0000-0000EB980000}"/>
    <cellStyle name="Note 3 2 42 2" xfId="39150" xr:uid="{00000000-0005-0000-0000-0000EC980000}"/>
    <cellStyle name="Note 3 2 42 3" xfId="39151" xr:uid="{00000000-0005-0000-0000-0000ED980000}"/>
    <cellStyle name="Note 3 2 42 4" xfId="39152" xr:uid="{00000000-0005-0000-0000-0000EE980000}"/>
    <cellStyle name="Note 3 2 42 5" xfId="39153" xr:uid="{00000000-0005-0000-0000-0000EF980000}"/>
    <cellStyle name="Note 3 2 42 6" xfId="39154" xr:uid="{00000000-0005-0000-0000-0000F0980000}"/>
    <cellStyle name="Note 3 2 43" xfId="39155" xr:uid="{00000000-0005-0000-0000-0000F1980000}"/>
    <cellStyle name="Note 3 2 43 2" xfId="39156" xr:uid="{00000000-0005-0000-0000-0000F2980000}"/>
    <cellStyle name="Note 3 2 43 3" xfId="39157" xr:uid="{00000000-0005-0000-0000-0000F3980000}"/>
    <cellStyle name="Note 3 2 43 4" xfId="39158" xr:uid="{00000000-0005-0000-0000-0000F4980000}"/>
    <cellStyle name="Note 3 2 43 5" xfId="39159" xr:uid="{00000000-0005-0000-0000-0000F5980000}"/>
    <cellStyle name="Note 3 2 43 6" xfId="39160" xr:uid="{00000000-0005-0000-0000-0000F6980000}"/>
    <cellStyle name="Note 3 2 44" xfId="39161" xr:uid="{00000000-0005-0000-0000-0000F7980000}"/>
    <cellStyle name="Note 3 2 45" xfId="39162" xr:uid="{00000000-0005-0000-0000-0000F8980000}"/>
    <cellStyle name="Note 3 2 46" xfId="39163" xr:uid="{00000000-0005-0000-0000-0000F9980000}"/>
    <cellStyle name="Note 3 2 47" xfId="39164" xr:uid="{00000000-0005-0000-0000-0000FA980000}"/>
    <cellStyle name="Note 3 2 5" xfId="39165" xr:uid="{00000000-0005-0000-0000-0000FB980000}"/>
    <cellStyle name="Note 3 2 5 2" xfId="39166" xr:uid="{00000000-0005-0000-0000-0000FC980000}"/>
    <cellStyle name="Note 3 2 5 2 2" xfId="39167" xr:uid="{00000000-0005-0000-0000-0000FD980000}"/>
    <cellStyle name="Note 3 2 5 2 2 2" xfId="39168" xr:uid="{00000000-0005-0000-0000-0000FE980000}"/>
    <cellStyle name="Note 3 2 5 2 2 3" xfId="39169" xr:uid="{00000000-0005-0000-0000-0000FF980000}"/>
    <cellStyle name="Note 3 2 5 2 2 4" xfId="39170" xr:uid="{00000000-0005-0000-0000-000000990000}"/>
    <cellStyle name="Note 3 2 5 2 2 5" xfId="39171" xr:uid="{00000000-0005-0000-0000-000001990000}"/>
    <cellStyle name="Note 3 2 5 2 2 6" xfId="39172" xr:uid="{00000000-0005-0000-0000-000002990000}"/>
    <cellStyle name="Note 3 2 5 2 3" xfId="39173" xr:uid="{00000000-0005-0000-0000-000003990000}"/>
    <cellStyle name="Note 3 2 5 2 3 2" xfId="39174" xr:uid="{00000000-0005-0000-0000-000004990000}"/>
    <cellStyle name="Note 3 2 5 2 3 3" xfId="39175" xr:uid="{00000000-0005-0000-0000-000005990000}"/>
    <cellStyle name="Note 3 2 5 2 3 4" xfId="39176" xr:uid="{00000000-0005-0000-0000-000006990000}"/>
    <cellStyle name="Note 3 2 5 2 3 5" xfId="39177" xr:uid="{00000000-0005-0000-0000-000007990000}"/>
    <cellStyle name="Note 3 2 5 2 3 6" xfId="39178" xr:uid="{00000000-0005-0000-0000-000008990000}"/>
    <cellStyle name="Note 3 2 5 2 4" xfId="39179" xr:uid="{00000000-0005-0000-0000-000009990000}"/>
    <cellStyle name="Note 3 2 5 2 5" xfId="39180" xr:uid="{00000000-0005-0000-0000-00000A990000}"/>
    <cellStyle name="Note 3 2 5 2 6" xfId="39181" xr:uid="{00000000-0005-0000-0000-00000B990000}"/>
    <cellStyle name="Note 3 2 5 2 7" xfId="39182" xr:uid="{00000000-0005-0000-0000-00000C990000}"/>
    <cellStyle name="Note 3 2 5 3" xfId="39183" xr:uid="{00000000-0005-0000-0000-00000D990000}"/>
    <cellStyle name="Note 3 2 5 3 2" xfId="39184" xr:uid="{00000000-0005-0000-0000-00000E990000}"/>
    <cellStyle name="Note 3 2 5 3 2 2" xfId="39185" xr:uid="{00000000-0005-0000-0000-00000F990000}"/>
    <cellStyle name="Note 3 2 5 3 2 3" xfId="39186" xr:uid="{00000000-0005-0000-0000-000010990000}"/>
    <cellStyle name="Note 3 2 5 3 2 4" xfId="39187" xr:uid="{00000000-0005-0000-0000-000011990000}"/>
    <cellStyle name="Note 3 2 5 3 2 5" xfId="39188" xr:uid="{00000000-0005-0000-0000-000012990000}"/>
    <cellStyle name="Note 3 2 5 3 2 6" xfId="39189" xr:uid="{00000000-0005-0000-0000-000013990000}"/>
    <cellStyle name="Note 3 2 5 3 3" xfId="39190" xr:uid="{00000000-0005-0000-0000-000014990000}"/>
    <cellStyle name="Note 3 2 5 3 4" xfId="39191" xr:uid="{00000000-0005-0000-0000-000015990000}"/>
    <cellStyle name="Note 3 2 5 3 5" xfId="39192" xr:uid="{00000000-0005-0000-0000-000016990000}"/>
    <cellStyle name="Note 3 2 5 3 6" xfId="39193" xr:uid="{00000000-0005-0000-0000-000017990000}"/>
    <cellStyle name="Note 3 2 5 4" xfId="39194" xr:uid="{00000000-0005-0000-0000-000018990000}"/>
    <cellStyle name="Note 3 2 5 4 2" xfId="39195" xr:uid="{00000000-0005-0000-0000-000019990000}"/>
    <cellStyle name="Note 3 2 5 4 3" xfId="39196" xr:uid="{00000000-0005-0000-0000-00001A990000}"/>
    <cellStyle name="Note 3 2 5 4 4" xfId="39197" xr:uid="{00000000-0005-0000-0000-00001B990000}"/>
    <cellStyle name="Note 3 2 5 4 5" xfId="39198" xr:uid="{00000000-0005-0000-0000-00001C990000}"/>
    <cellStyle name="Note 3 2 5 4 6" xfId="39199" xr:uid="{00000000-0005-0000-0000-00001D990000}"/>
    <cellStyle name="Note 3 2 5 5" xfId="39200" xr:uid="{00000000-0005-0000-0000-00001E990000}"/>
    <cellStyle name="Note 3 2 5 5 2" xfId="39201" xr:uid="{00000000-0005-0000-0000-00001F990000}"/>
    <cellStyle name="Note 3 2 5 5 3" xfId="39202" xr:uid="{00000000-0005-0000-0000-000020990000}"/>
    <cellStyle name="Note 3 2 5 5 4" xfId="39203" xr:uid="{00000000-0005-0000-0000-000021990000}"/>
    <cellStyle name="Note 3 2 5 5 5" xfId="39204" xr:uid="{00000000-0005-0000-0000-000022990000}"/>
    <cellStyle name="Note 3 2 5 5 6" xfId="39205" xr:uid="{00000000-0005-0000-0000-000023990000}"/>
    <cellStyle name="Note 3 2 5 6" xfId="39206" xr:uid="{00000000-0005-0000-0000-000024990000}"/>
    <cellStyle name="Note 3 2 5 7" xfId="39207" xr:uid="{00000000-0005-0000-0000-000025990000}"/>
    <cellStyle name="Note 3 2 5 8" xfId="39208" xr:uid="{00000000-0005-0000-0000-000026990000}"/>
    <cellStyle name="Note 3 2 5 9" xfId="39209" xr:uid="{00000000-0005-0000-0000-000027990000}"/>
    <cellStyle name="Note 3 2 6" xfId="39210" xr:uid="{00000000-0005-0000-0000-000028990000}"/>
    <cellStyle name="Note 3 2 6 2" xfId="39211" xr:uid="{00000000-0005-0000-0000-000029990000}"/>
    <cellStyle name="Note 3 2 6 2 2" xfId="39212" xr:uid="{00000000-0005-0000-0000-00002A990000}"/>
    <cellStyle name="Note 3 2 6 2 2 2" xfId="39213" xr:uid="{00000000-0005-0000-0000-00002B990000}"/>
    <cellStyle name="Note 3 2 6 2 2 3" xfId="39214" xr:uid="{00000000-0005-0000-0000-00002C990000}"/>
    <cellStyle name="Note 3 2 6 2 2 4" xfId="39215" xr:uid="{00000000-0005-0000-0000-00002D990000}"/>
    <cellStyle name="Note 3 2 6 2 2 5" xfId="39216" xr:uid="{00000000-0005-0000-0000-00002E990000}"/>
    <cellStyle name="Note 3 2 6 2 2 6" xfId="39217" xr:uid="{00000000-0005-0000-0000-00002F990000}"/>
    <cellStyle name="Note 3 2 6 2 3" xfId="39218" xr:uid="{00000000-0005-0000-0000-000030990000}"/>
    <cellStyle name="Note 3 2 6 2 3 2" xfId="39219" xr:uid="{00000000-0005-0000-0000-000031990000}"/>
    <cellStyle name="Note 3 2 6 2 3 3" xfId="39220" xr:uid="{00000000-0005-0000-0000-000032990000}"/>
    <cellStyle name="Note 3 2 6 2 3 4" xfId="39221" xr:uid="{00000000-0005-0000-0000-000033990000}"/>
    <cellStyle name="Note 3 2 6 2 3 5" xfId="39222" xr:uid="{00000000-0005-0000-0000-000034990000}"/>
    <cellStyle name="Note 3 2 6 2 3 6" xfId="39223" xr:uid="{00000000-0005-0000-0000-000035990000}"/>
    <cellStyle name="Note 3 2 6 2 4" xfId="39224" xr:uid="{00000000-0005-0000-0000-000036990000}"/>
    <cellStyle name="Note 3 2 6 2 5" xfId="39225" xr:uid="{00000000-0005-0000-0000-000037990000}"/>
    <cellStyle name="Note 3 2 6 2 6" xfId="39226" xr:uid="{00000000-0005-0000-0000-000038990000}"/>
    <cellStyle name="Note 3 2 6 2 7" xfId="39227" xr:uid="{00000000-0005-0000-0000-000039990000}"/>
    <cellStyle name="Note 3 2 6 3" xfId="39228" xr:uid="{00000000-0005-0000-0000-00003A990000}"/>
    <cellStyle name="Note 3 2 6 3 2" xfId="39229" xr:uid="{00000000-0005-0000-0000-00003B990000}"/>
    <cellStyle name="Note 3 2 6 3 2 2" xfId="39230" xr:uid="{00000000-0005-0000-0000-00003C990000}"/>
    <cellStyle name="Note 3 2 6 3 2 3" xfId="39231" xr:uid="{00000000-0005-0000-0000-00003D990000}"/>
    <cellStyle name="Note 3 2 6 3 2 4" xfId="39232" xr:uid="{00000000-0005-0000-0000-00003E990000}"/>
    <cellStyle name="Note 3 2 6 3 2 5" xfId="39233" xr:uid="{00000000-0005-0000-0000-00003F990000}"/>
    <cellStyle name="Note 3 2 6 3 2 6" xfId="39234" xr:uid="{00000000-0005-0000-0000-000040990000}"/>
    <cellStyle name="Note 3 2 6 3 3" xfId="39235" xr:uid="{00000000-0005-0000-0000-000041990000}"/>
    <cellStyle name="Note 3 2 6 3 4" xfId="39236" xr:uid="{00000000-0005-0000-0000-000042990000}"/>
    <cellStyle name="Note 3 2 6 3 5" xfId="39237" xr:uid="{00000000-0005-0000-0000-000043990000}"/>
    <cellStyle name="Note 3 2 6 3 6" xfId="39238" xr:uid="{00000000-0005-0000-0000-000044990000}"/>
    <cellStyle name="Note 3 2 6 4" xfId="39239" xr:uid="{00000000-0005-0000-0000-000045990000}"/>
    <cellStyle name="Note 3 2 6 4 2" xfId="39240" xr:uid="{00000000-0005-0000-0000-000046990000}"/>
    <cellStyle name="Note 3 2 6 4 3" xfId="39241" xr:uid="{00000000-0005-0000-0000-000047990000}"/>
    <cellStyle name="Note 3 2 6 4 4" xfId="39242" xr:uid="{00000000-0005-0000-0000-000048990000}"/>
    <cellStyle name="Note 3 2 6 4 5" xfId="39243" xr:uid="{00000000-0005-0000-0000-000049990000}"/>
    <cellStyle name="Note 3 2 6 4 6" xfId="39244" xr:uid="{00000000-0005-0000-0000-00004A990000}"/>
    <cellStyle name="Note 3 2 6 5" xfId="39245" xr:uid="{00000000-0005-0000-0000-00004B990000}"/>
    <cellStyle name="Note 3 2 6 5 2" xfId="39246" xr:uid="{00000000-0005-0000-0000-00004C990000}"/>
    <cellStyle name="Note 3 2 6 5 3" xfId="39247" xr:uid="{00000000-0005-0000-0000-00004D990000}"/>
    <cellStyle name="Note 3 2 6 5 4" xfId="39248" xr:uid="{00000000-0005-0000-0000-00004E990000}"/>
    <cellStyle name="Note 3 2 6 5 5" xfId="39249" xr:uid="{00000000-0005-0000-0000-00004F990000}"/>
    <cellStyle name="Note 3 2 6 5 6" xfId="39250" xr:uid="{00000000-0005-0000-0000-000050990000}"/>
    <cellStyle name="Note 3 2 6 6" xfId="39251" xr:uid="{00000000-0005-0000-0000-000051990000}"/>
    <cellStyle name="Note 3 2 6 7" xfId="39252" xr:uid="{00000000-0005-0000-0000-000052990000}"/>
    <cellStyle name="Note 3 2 6 8" xfId="39253" xr:uid="{00000000-0005-0000-0000-000053990000}"/>
    <cellStyle name="Note 3 2 6 9" xfId="39254" xr:uid="{00000000-0005-0000-0000-000054990000}"/>
    <cellStyle name="Note 3 2 7" xfId="39255" xr:uid="{00000000-0005-0000-0000-000055990000}"/>
    <cellStyle name="Note 3 2 7 2" xfId="39256" xr:uid="{00000000-0005-0000-0000-000056990000}"/>
    <cellStyle name="Note 3 2 7 2 2" xfId="39257" xr:uid="{00000000-0005-0000-0000-000057990000}"/>
    <cellStyle name="Note 3 2 7 2 2 2" xfId="39258" xr:uid="{00000000-0005-0000-0000-000058990000}"/>
    <cellStyle name="Note 3 2 7 2 2 3" xfId="39259" xr:uid="{00000000-0005-0000-0000-000059990000}"/>
    <cellStyle name="Note 3 2 7 2 2 4" xfId="39260" xr:uid="{00000000-0005-0000-0000-00005A990000}"/>
    <cellStyle name="Note 3 2 7 2 2 5" xfId="39261" xr:uid="{00000000-0005-0000-0000-00005B990000}"/>
    <cellStyle name="Note 3 2 7 2 2 6" xfId="39262" xr:uid="{00000000-0005-0000-0000-00005C990000}"/>
    <cellStyle name="Note 3 2 7 2 3" xfId="39263" xr:uid="{00000000-0005-0000-0000-00005D990000}"/>
    <cellStyle name="Note 3 2 7 2 3 2" xfId="39264" xr:uid="{00000000-0005-0000-0000-00005E990000}"/>
    <cellStyle name="Note 3 2 7 2 3 3" xfId="39265" xr:uid="{00000000-0005-0000-0000-00005F990000}"/>
    <cellStyle name="Note 3 2 7 2 3 4" xfId="39266" xr:uid="{00000000-0005-0000-0000-000060990000}"/>
    <cellStyle name="Note 3 2 7 2 3 5" xfId="39267" xr:uid="{00000000-0005-0000-0000-000061990000}"/>
    <cellStyle name="Note 3 2 7 2 3 6" xfId="39268" xr:uid="{00000000-0005-0000-0000-000062990000}"/>
    <cellStyle name="Note 3 2 7 2 4" xfId="39269" xr:uid="{00000000-0005-0000-0000-000063990000}"/>
    <cellStyle name="Note 3 2 7 2 5" xfId="39270" xr:uid="{00000000-0005-0000-0000-000064990000}"/>
    <cellStyle name="Note 3 2 7 2 6" xfId="39271" xr:uid="{00000000-0005-0000-0000-000065990000}"/>
    <cellStyle name="Note 3 2 7 2 7" xfId="39272" xr:uid="{00000000-0005-0000-0000-000066990000}"/>
    <cellStyle name="Note 3 2 7 3" xfId="39273" xr:uid="{00000000-0005-0000-0000-000067990000}"/>
    <cellStyle name="Note 3 2 7 3 2" xfId="39274" xr:uid="{00000000-0005-0000-0000-000068990000}"/>
    <cellStyle name="Note 3 2 7 3 2 2" xfId="39275" xr:uid="{00000000-0005-0000-0000-000069990000}"/>
    <cellStyle name="Note 3 2 7 3 2 3" xfId="39276" xr:uid="{00000000-0005-0000-0000-00006A990000}"/>
    <cellStyle name="Note 3 2 7 3 2 4" xfId="39277" xr:uid="{00000000-0005-0000-0000-00006B990000}"/>
    <cellStyle name="Note 3 2 7 3 2 5" xfId="39278" xr:uid="{00000000-0005-0000-0000-00006C990000}"/>
    <cellStyle name="Note 3 2 7 3 2 6" xfId="39279" xr:uid="{00000000-0005-0000-0000-00006D990000}"/>
    <cellStyle name="Note 3 2 7 3 3" xfId="39280" xr:uid="{00000000-0005-0000-0000-00006E990000}"/>
    <cellStyle name="Note 3 2 7 3 4" xfId="39281" xr:uid="{00000000-0005-0000-0000-00006F990000}"/>
    <cellStyle name="Note 3 2 7 3 5" xfId="39282" xr:uid="{00000000-0005-0000-0000-000070990000}"/>
    <cellStyle name="Note 3 2 7 3 6" xfId="39283" xr:uid="{00000000-0005-0000-0000-000071990000}"/>
    <cellStyle name="Note 3 2 7 4" xfId="39284" xr:uid="{00000000-0005-0000-0000-000072990000}"/>
    <cellStyle name="Note 3 2 7 4 2" xfId="39285" xr:uid="{00000000-0005-0000-0000-000073990000}"/>
    <cellStyle name="Note 3 2 7 4 3" xfId="39286" xr:uid="{00000000-0005-0000-0000-000074990000}"/>
    <cellStyle name="Note 3 2 7 4 4" xfId="39287" xr:uid="{00000000-0005-0000-0000-000075990000}"/>
    <cellStyle name="Note 3 2 7 4 5" xfId="39288" xr:uid="{00000000-0005-0000-0000-000076990000}"/>
    <cellStyle name="Note 3 2 7 4 6" xfId="39289" xr:uid="{00000000-0005-0000-0000-000077990000}"/>
    <cellStyle name="Note 3 2 7 5" xfId="39290" xr:uid="{00000000-0005-0000-0000-000078990000}"/>
    <cellStyle name="Note 3 2 7 5 2" xfId="39291" xr:uid="{00000000-0005-0000-0000-000079990000}"/>
    <cellStyle name="Note 3 2 7 5 3" xfId="39292" xr:uid="{00000000-0005-0000-0000-00007A990000}"/>
    <cellStyle name="Note 3 2 7 5 4" xfId="39293" xr:uid="{00000000-0005-0000-0000-00007B990000}"/>
    <cellStyle name="Note 3 2 7 5 5" xfId="39294" xr:uid="{00000000-0005-0000-0000-00007C990000}"/>
    <cellStyle name="Note 3 2 7 5 6" xfId="39295" xr:uid="{00000000-0005-0000-0000-00007D990000}"/>
    <cellStyle name="Note 3 2 7 6" xfId="39296" xr:uid="{00000000-0005-0000-0000-00007E990000}"/>
    <cellStyle name="Note 3 2 7 7" xfId="39297" xr:uid="{00000000-0005-0000-0000-00007F990000}"/>
    <cellStyle name="Note 3 2 7 8" xfId="39298" xr:uid="{00000000-0005-0000-0000-000080990000}"/>
    <cellStyle name="Note 3 2 7 9" xfId="39299" xr:uid="{00000000-0005-0000-0000-000081990000}"/>
    <cellStyle name="Note 3 2 8" xfId="39300" xr:uid="{00000000-0005-0000-0000-000082990000}"/>
    <cellStyle name="Note 3 2 8 2" xfId="39301" xr:uid="{00000000-0005-0000-0000-000083990000}"/>
    <cellStyle name="Note 3 2 8 2 2" xfId="39302" xr:uid="{00000000-0005-0000-0000-000084990000}"/>
    <cellStyle name="Note 3 2 8 2 2 2" xfId="39303" xr:uid="{00000000-0005-0000-0000-000085990000}"/>
    <cellStyle name="Note 3 2 8 2 2 3" xfId="39304" xr:uid="{00000000-0005-0000-0000-000086990000}"/>
    <cellStyle name="Note 3 2 8 2 2 4" xfId="39305" xr:uid="{00000000-0005-0000-0000-000087990000}"/>
    <cellStyle name="Note 3 2 8 2 2 5" xfId="39306" xr:uid="{00000000-0005-0000-0000-000088990000}"/>
    <cellStyle name="Note 3 2 8 2 2 6" xfId="39307" xr:uid="{00000000-0005-0000-0000-000089990000}"/>
    <cellStyle name="Note 3 2 8 2 3" xfId="39308" xr:uid="{00000000-0005-0000-0000-00008A990000}"/>
    <cellStyle name="Note 3 2 8 2 4" xfId="39309" xr:uid="{00000000-0005-0000-0000-00008B990000}"/>
    <cellStyle name="Note 3 2 8 2 5" xfId="39310" xr:uid="{00000000-0005-0000-0000-00008C990000}"/>
    <cellStyle name="Note 3 2 8 2 6" xfId="39311" xr:uid="{00000000-0005-0000-0000-00008D990000}"/>
    <cellStyle name="Note 3 2 8 2 7" xfId="39312" xr:uid="{00000000-0005-0000-0000-00008E990000}"/>
    <cellStyle name="Note 3 2 8 3" xfId="39313" xr:uid="{00000000-0005-0000-0000-00008F990000}"/>
    <cellStyle name="Note 3 2 8 3 2" xfId="39314" xr:uid="{00000000-0005-0000-0000-000090990000}"/>
    <cellStyle name="Note 3 2 8 3 3" xfId="39315" xr:uid="{00000000-0005-0000-0000-000091990000}"/>
    <cellStyle name="Note 3 2 8 3 4" xfId="39316" xr:uid="{00000000-0005-0000-0000-000092990000}"/>
    <cellStyle name="Note 3 2 8 3 5" xfId="39317" xr:uid="{00000000-0005-0000-0000-000093990000}"/>
    <cellStyle name="Note 3 2 8 3 6" xfId="39318" xr:uid="{00000000-0005-0000-0000-000094990000}"/>
    <cellStyle name="Note 3 2 8 4" xfId="39319" xr:uid="{00000000-0005-0000-0000-000095990000}"/>
    <cellStyle name="Note 3 2 8 5" xfId="39320" xr:uid="{00000000-0005-0000-0000-000096990000}"/>
    <cellStyle name="Note 3 2 8 6" xfId="39321" xr:uid="{00000000-0005-0000-0000-000097990000}"/>
    <cellStyle name="Note 3 2 8 7" xfId="39322" xr:uid="{00000000-0005-0000-0000-000098990000}"/>
    <cellStyle name="Note 3 2 9" xfId="39323" xr:uid="{00000000-0005-0000-0000-000099990000}"/>
    <cellStyle name="Note 3 2 9 2" xfId="39324" xr:uid="{00000000-0005-0000-0000-00009A990000}"/>
    <cellStyle name="Note 3 2 9 2 2" xfId="39325" xr:uid="{00000000-0005-0000-0000-00009B990000}"/>
    <cellStyle name="Note 3 2 9 2 2 2" xfId="39326" xr:uid="{00000000-0005-0000-0000-00009C990000}"/>
    <cellStyle name="Note 3 2 9 2 2 3" xfId="39327" xr:uid="{00000000-0005-0000-0000-00009D990000}"/>
    <cellStyle name="Note 3 2 9 2 2 4" xfId="39328" xr:uid="{00000000-0005-0000-0000-00009E990000}"/>
    <cellStyle name="Note 3 2 9 2 2 5" xfId="39329" xr:uid="{00000000-0005-0000-0000-00009F990000}"/>
    <cellStyle name="Note 3 2 9 2 2 6" xfId="39330" xr:uid="{00000000-0005-0000-0000-0000A0990000}"/>
    <cellStyle name="Note 3 2 9 2 3" xfId="39331" xr:uid="{00000000-0005-0000-0000-0000A1990000}"/>
    <cellStyle name="Note 3 2 9 2 4" xfId="39332" xr:uid="{00000000-0005-0000-0000-0000A2990000}"/>
    <cellStyle name="Note 3 2 9 2 5" xfId="39333" xr:uid="{00000000-0005-0000-0000-0000A3990000}"/>
    <cellStyle name="Note 3 2 9 2 6" xfId="39334" xr:uid="{00000000-0005-0000-0000-0000A4990000}"/>
    <cellStyle name="Note 3 2 9 2 7" xfId="39335" xr:uid="{00000000-0005-0000-0000-0000A5990000}"/>
    <cellStyle name="Note 3 2 9 3" xfId="39336" xr:uid="{00000000-0005-0000-0000-0000A6990000}"/>
    <cellStyle name="Note 3 2 9 3 2" xfId="39337" xr:uid="{00000000-0005-0000-0000-0000A7990000}"/>
    <cellStyle name="Note 3 2 9 3 3" xfId="39338" xr:uid="{00000000-0005-0000-0000-0000A8990000}"/>
    <cellStyle name="Note 3 2 9 3 4" xfId="39339" xr:uid="{00000000-0005-0000-0000-0000A9990000}"/>
    <cellStyle name="Note 3 2 9 3 5" xfId="39340" xr:uid="{00000000-0005-0000-0000-0000AA990000}"/>
    <cellStyle name="Note 3 2 9 3 6" xfId="39341" xr:uid="{00000000-0005-0000-0000-0000AB990000}"/>
    <cellStyle name="Note 3 2 9 4" xfId="39342" xr:uid="{00000000-0005-0000-0000-0000AC990000}"/>
    <cellStyle name="Note 3 2 9 5" xfId="39343" xr:uid="{00000000-0005-0000-0000-0000AD990000}"/>
    <cellStyle name="Note 3 2 9 6" xfId="39344" xr:uid="{00000000-0005-0000-0000-0000AE990000}"/>
    <cellStyle name="Note 3 2 9 7" xfId="39345" xr:uid="{00000000-0005-0000-0000-0000AF990000}"/>
    <cellStyle name="Note 3 20" xfId="39346" xr:uid="{00000000-0005-0000-0000-0000B0990000}"/>
    <cellStyle name="Note 3 20 2" xfId="39347" xr:uid="{00000000-0005-0000-0000-0000B1990000}"/>
    <cellStyle name="Note 3 20 2 2" xfId="39348" xr:uid="{00000000-0005-0000-0000-0000B2990000}"/>
    <cellStyle name="Note 3 20 2 3" xfId="39349" xr:uid="{00000000-0005-0000-0000-0000B3990000}"/>
    <cellStyle name="Note 3 20 2 4" xfId="39350" xr:uid="{00000000-0005-0000-0000-0000B4990000}"/>
    <cellStyle name="Note 3 20 2 5" xfId="39351" xr:uid="{00000000-0005-0000-0000-0000B5990000}"/>
    <cellStyle name="Note 3 20 2 6" xfId="39352" xr:uid="{00000000-0005-0000-0000-0000B6990000}"/>
    <cellStyle name="Note 3 20 3" xfId="39353" xr:uid="{00000000-0005-0000-0000-0000B7990000}"/>
    <cellStyle name="Note 3 20 4" xfId="39354" xr:uid="{00000000-0005-0000-0000-0000B8990000}"/>
    <cellStyle name="Note 3 20 5" xfId="39355" xr:uid="{00000000-0005-0000-0000-0000B9990000}"/>
    <cellStyle name="Note 3 20 6" xfId="39356" xr:uid="{00000000-0005-0000-0000-0000BA990000}"/>
    <cellStyle name="Note 3 20 7" xfId="39357" xr:uid="{00000000-0005-0000-0000-0000BB990000}"/>
    <cellStyle name="Note 3 21" xfId="39358" xr:uid="{00000000-0005-0000-0000-0000BC990000}"/>
    <cellStyle name="Note 3 21 2" xfId="39359" xr:uid="{00000000-0005-0000-0000-0000BD990000}"/>
    <cellStyle name="Note 3 21 2 2" xfId="39360" xr:uid="{00000000-0005-0000-0000-0000BE990000}"/>
    <cellStyle name="Note 3 21 2 3" xfId="39361" xr:uid="{00000000-0005-0000-0000-0000BF990000}"/>
    <cellStyle name="Note 3 21 2 4" xfId="39362" xr:uid="{00000000-0005-0000-0000-0000C0990000}"/>
    <cellStyle name="Note 3 21 2 5" xfId="39363" xr:uid="{00000000-0005-0000-0000-0000C1990000}"/>
    <cellStyle name="Note 3 21 2 6" xfId="39364" xr:uid="{00000000-0005-0000-0000-0000C2990000}"/>
    <cellStyle name="Note 3 21 3" xfId="39365" xr:uid="{00000000-0005-0000-0000-0000C3990000}"/>
    <cellStyle name="Note 3 21 4" xfId="39366" xr:uid="{00000000-0005-0000-0000-0000C4990000}"/>
    <cellStyle name="Note 3 21 5" xfId="39367" xr:uid="{00000000-0005-0000-0000-0000C5990000}"/>
    <cellStyle name="Note 3 21 6" xfId="39368" xr:uid="{00000000-0005-0000-0000-0000C6990000}"/>
    <cellStyle name="Note 3 21 7" xfId="39369" xr:uid="{00000000-0005-0000-0000-0000C7990000}"/>
    <cellStyle name="Note 3 22" xfId="39370" xr:uid="{00000000-0005-0000-0000-0000C8990000}"/>
    <cellStyle name="Note 3 22 2" xfId="39371" xr:uid="{00000000-0005-0000-0000-0000C9990000}"/>
    <cellStyle name="Note 3 22 2 2" xfId="39372" xr:uid="{00000000-0005-0000-0000-0000CA990000}"/>
    <cellStyle name="Note 3 22 2 3" xfId="39373" xr:uid="{00000000-0005-0000-0000-0000CB990000}"/>
    <cellStyle name="Note 3 22 2 4" xfId="39374" xr:uid="{00000000-0005-0000-0000-0000CC990000}"/>
    <cellStyle name="Note 3 22 2 5" xfId="39375" xr:uid="{00000000-0005-0000-0000-0000CD990000}"/>
    <cellStyle name="Note 3 22 2 6" xfId="39376" xr:uid="{00000000-0005-0000-0000-0000CE990000}"/>
    <cellStyle name="Note 3 22 3" xfId="39377" xr:uid="{00000000-0005-0000-0000-0000CF990000}"/>
    <cellStyle name="Note 3 22 4" xfId="39378" xr:uid="{00000000-0005-0000-0000-0000D0990000}"/>
    <cellStyle name="Note 3 22 5" xfId="39379" xr:uid="{00000000-0005-0000-0000-0000D1990000}"/>
    <cellStyle name="Note 3 22 6" xfId="39380" xr:uid="{00000000-0005-0000-0000-0000D2990000}"/>
    <cellStyle name="Note 3 22 7" xfId="39381" xr:uid="{00000000-0005-0000-0000-0000D3990000}"/>
    <cellStyle name="Note 3 23" xfId="39382" xr:uid="{00000000-0005-0000-0000-0000D4990000}"/>
    <cellStyle name="Note 3 23 2" xfId="39383" xr:uid="{00000000-0005-0000-0000-0000D5990000}"/>
    <cellStyle name="Note 3 23 2 2" xfId="39384" xr:uid="{00000000-0005-0000-0000-0000D6990000}"/>
    <cellStyle name="Note 3 23 2 3" xfId="39385" xr:uid="{00000000-0005-0000-0000-0000D7990000}"/>
    <cellStyle name="Note 3 23 2 4" xfId="39386" xr:uid="{00000000-0005-0000-0000-0000D8990000}"/>
    <cellStyle name="Note 3 23 2 5" xfId="39387" xr:uid="{00000000-0005-0000-0000-0000D9990000}"/>
    <cellStyle name="Note 3 23 2 6" xfId="39388" xr:uid="{00000000-0005-0000-0000-0000DA990000}"/>
    <cellStyle name="Note 3 23 3" xfId="39389" xr:uid="{00000000-0005-0000-0000-0000DB990000}"/>
    <cellStyle name="Note 3 23 4" xfId="39390" xr:uid="{00000000-0005-0000-0000-0000DC990000}"/>
    <cellStyle name="Note 3 23 5" xfId="39391" xr:uid="{00000000-0005-0000-0000-0000DD990000}"/>
    <cellStyle name="Note 3 23 6" xfId="39392" xr:uid="{00000000-0005-0000-0000-0000DE990000}"/>
    <cellStyle name="Note 3 23 7" xfId="39393" xr:uid="{00000000-0005-0000-0000-0000DF990000}"/>
    <cellStyle name="Note 3 24" xfId="39394" xr:uid="{00000000-0005-0000-0000-0000E0990000}"/>
    <cellStyle name="Note 3 24 2" xfId="39395" xr:uid="{00000000-0005-0000-0000-0000E1990000}"/>
    <cellStyle name="Note 3 24 2 2" xfId="39396" xr:uid="{00000000-0005-0000-0000-0000E2990000}"/>
    <cellStyle name="Note 3 24 2 3" xfId="39397" xr:uid="{00000000-0005-0000-0000-0000E3990000}"/>
    <cellStyle name="Note 3 24 2 4" xfId="39398" xr:uid="{00000000-0005-0000-0000-0000E4990000}"/>
    <cellStyle name="Note 3 24 2 5" xfId="39399" xr:uid="{00000000-0005-0000-0000-0000E5990000}"/>
    <cellStyle name="Note 3 24 2 6" xfId="39400" xr:uid="{00000000-0005-0000-0000-0000E6990000}"/>
    <cellStyle name="Note 3 24 3" xfId="39401" xr:uid="{00000000-0005-0000-0000-0000E7990000}"/>
    <cellStyle name="Note 3 24 4" xfId="39402" xr:uid="{00000000-0005-0000-0000-0000E8990000}"/>
    <cellStyle name="Note 3 24 5" xfId="39403" xr:uid="{00000000-0005-0000-0000-0000E9990000}"/>
    <cellStyle name="Note 3 24 6" xfId="39404" xr:uid="{00000000-0005-0000-0000-0000EA990000}"/>
    <cellStyle name="Note 3 24 7" xfId="39405" xr:uid="{00000000-0005-0000-0000-0000EB990000}"/>
    <cellStyle name="Note 3 25" xfId="39406" xr:uid="{00000000-0005-0000-0000-0000EC990000}"/>
    <cellStyle name="Note 3 25 2" xfId="39407" xr:uid="{00000000-0005-0000-0000-0000ED990000}"/>
    <cellStyle name="Note 3 25 2 2" xfId="39408" xr:uid="{00000000-0005-0000-0000-0000EE990000}"/>
    <cellStyle name="Note 3 25 2 3" xfId="39409" xr:uid="{00000000-0005-0000-0000-0000EF990000}"/>
    <cellStyle name="Note 3 25 2 4" xfId="39410" xr:uid="{00000000-0005-0000-0000-0000F0990000}"/>
    <cellStyle name="Note 3 25 2 5" xfId="39411" xr:uid="{00000000-0005-0000-0000-0000F1990000}"/>
    <cellStyle name="Note 3 25 2 6" xfId="39412" xr:uid="{00000000-0005-0000-0000-0000F2990000}"/>
    <cellStyle name="Note 3 25 3" xfId="39413" xr:uid="{00000000-0005-0000-0000-0000F3990000}"/>
    <cellStyle name="Note 3 25 4" xfId="39414" xr:uid="{00000000-0005-0000-0000-0000F4990000}"/>
    <cellStyle name="Note 3 25 5" xfId="39415" xr:uid="{00000000-0005-0000-0000-0000F5990000}"/>
    <cellStyle name="Note 3 25 6" xfId="39416" xr:uid="{00000000-0005-0000-0000-0000F6990000}"/>
    <cellStyle name="Note 3 25 7" xfId="39417" xr:uid="{00000000-0005-0000-0000-0000F7990000}"/>
    <cellStyle name="Note 3 26" xfId="39418" xr:uid="{00000000-0005-0000-0000-0000F8990000}"/>
    <cellStyle name="Note 3 26 2" xfId="39419" xr:uid="{00000000-0005-0000-0000-0000F9990000}"/>
    <cellStyle name="Note 3 26 2 2" xfId="39420" xr:uid="{00000000-0005-0000-0000-0000FA990000}"/>
    <cellStyle name="Note 3 26 2 3" xfId="39421" xr:uid="{00000000-0005-0000-0000-0000FB990000}"/>
    <cellStyle name="Note 3 26 2 4" xfId="39422" xr:uid="{00000000-0005-0000-0000-0000FC990000}"/>
    <cellStyle name="Note 3 26 2 5" xfId="39423" xr:uid="{00000000-0005-0000-0000-0000FD990000}"/>
    <cellStyle name="Note 3 26 2 6" xfId="39424" xr:uid="{00000000-0005-0000-0000-0000FE990000}"/>
    <cellStyle name="Note 3 26 3" xfId="39425" xr:uid="{00000000-0005-0000-0000-0000FF990000}"/>
    <cellStyle name="Note 3 26 4" xfId="39426" xr:uid="{00000000-0005-0000-0000-0000009A0000}"/>
    <cellStyle name="Note 3 26 5" xfId="39427" xr:uid="{00000000-0005-0000-0000-0000019A0000}"/>
    <cellStyle name="Note 3 26 6" xfId="39428" xr:uid="{00000000-0005-0000-0000-0000029A0000}"/>
    <cellStyle name="Note 3 26 7" xfId="39429" xr:uid="{00000000-0005-0000-0000-0000039A0000}"/>
    <cellStyle name="Note 3 27" xfId="39430" xr:uid="{00000000-0005-0000-0000-0000049A0000}"/>
    <cellStyle name="Note 3 27 2" xfId="39431" xr:uid="{00000000-0005-0000-0000-0000059A0000}"/>
    <cellStyle name="Note 3 27 2 2" xfId="39432" xr:uid="{00000000-0005-0000-0000-0000069A0000}"/>
    <cellStyle name="Note 3 27 2 3" xfId="39433" xr:uid="{00000000-0005-0000-0000-0000079A0000}"/>
    <cellStyle name="Note 3 27 2 4" xfId="39434" xr:uid="{00000000-0005-0000-0000-0000089A0000}"/>
    <cellStyle name="Note 3 27 2 5" xfId="39435" xr:uid="{00000000-0005-0000-0000-0000099A0000}"/>
    <cellStyle name="Note 3 27 2 6" xfId="39436" xr:uid="{00000000-0005-0000-0000-00000A9A0000}"/>
    <cellStyle name="Note 3 27 3" xfId="39437" xr:uid="{00000000-0005-0000-0000-00000B9A0000}"/>
    <cellStyle name="Note 3 27 4" xfId="39438" xr:uid="{00000000-0005-0000-0000-00000C9A0000}"/>
    <cellStyle name="Note 3 27 5" xfId="39439" xr:uid="{00000000-0005-0000-0000-00000D9A0000}"/>
    <cellStyle name="Note 3 27 6" xfId="39440" xr:uid="{00000000-0005-0000-0000-00000E9A0000}"/>
    <cellStyle name="Note 3 27 7" xfId="39441" xr:uid="{00000000-0005-0000-0000-00000F9A0000}"/>
    <cellStyle name="Note 3 28" xfId="39442" xr:uid="{00000000-0005-0000-0000-0000109A0000}"/>
    <cellStyle name="Note 3 28 2" xfId="39443" xr:uid="{00000000-0005-0000-0000-0000119A0000}"/>
    <cellStyle name="Note 3 28 2 2" xfId="39444" xr:uid="{00000000-0005-0000-0000-0000129A0000}"/>
    <cellStyle name="Note 3 28 2 3" xfId="39445" xr:uid="{00000000-0005-0000-0000-0000139A0000}"/>
    <cellStyle name="Note 3 28 2 4" xfId="39446" xr:uid="{00000000-0005-0000-0000-0000149A0000}"/>
    <cellStyle name="Note 3 28 2 5" xfId="39447" xr:uid="{00000000-0005-0000-0000-0000159A0000}"/>
    <cellStyle name="Note 3 28 2 6" xfId="39448" xr:uid="{00000000-0005-0000-0000-0000169A0000}"/>
    <cellStyle name="Note 3 28 3" xfId="39449" xr:uid="{00000000-0005-0000-0000-0000179A0000}"/>
    <cellStyle name="Note 3 28 4" xfId="39450" xr:uid="{00000000-0005-0000-0000-0000189A0000}"/>
    <cellStyle name="Note 3 28 5" xfId="39451" xr:uid="{00000000-0005-0000-0000-0000199A0000}"/>
    <cellStyle name="Note 3 28 6" xfId="39452" xr:uid="{00000000-0005-0000-0000-00001A9A0000}"/>
    <cellStyle name="Note 3 28 7" xfId="39453" xr:uid="{00000000-0005-0000-0000-00001B9A0000}"/>
    <cellStyle name="Note 3 29" xfId="39454" xr:uid="{00000000-0005-0000-0000-00001C9A0000}"/>
    <cellStyle name="Note 3 29 2" xfId="39455" xr:uid="{00000000-0005-0000-0000-00001D9A0000}"/>
    <cellStyle name="Note 3 29 2 2" xfId="39456" xr:uid="{00000000-0005-0000-0000-00001E9A0000}"/>
    <cellStyle name="Note 3 29 2 3" xfId="39457" xr:uid="{00000000-0005-0000-0000-00001F9A0000}"/>
    <cellStyle name="Note 3 29 2 4" xfId="39458" xr:uid="{00000000-0005-0000-0000-0000209A0000}"/>
    <cellStyle name="Note 3 29 2 5" xfId="39459" xr:uid="{00000000-0005-0000-0000-0000219A0000}"/>
    <cellStyle name="Note 3 29 2 6" xfId="39460" xr:uid="{00000000-0005-0000-0000-0000229A0000}"/>
    <cellStyle name="Note 3 29 3" xfId="39461" xr:uid="{00000000-0005-0000-0000-0000239A0000}"/>
    <cellStyle name="Note 3 29 4" xfId="39462" xr:uid="{00000000-0005-0000-0000-0000249A0000}"/>
    <cellStyle name="Note 3 29 5" xfId="39463" xr:uid="{00000000-0005-0000-0000-0000259A0000}"/>
    <cellStyle name="Note 3 29 6" xfId="39464" xr:uid="{00000000-0005-0000-0000-0000269A0000}"/>
    <cellStyle name="Note 3 29 7" xfId="39465" xr:uid="{00000000-0005-0000-0000-0000279A0000}"/>
    <cellStyle name="Note 3 3" xfId="39466" xr:uid="{00000000-0005-0000-0000-0000289A0000}"/>
    <cellStyle name="Note 3 3 10" xfId="39467" xr:uid="{00000000-0005-0000-0000-0000299A0000}"/>
    <cellStyle name="Note 3 3 10 2" xfId="39468" xr:uid="{00000000-0005-0000-0000-00002A9A0000}"/>
    <cellStyle name="Note 3 3 10 2 2" xfId="39469" xr:uid="{00000000-0005-0000-0000-00002B9A0000}"/>
    <cellStyle name="Note 3 3 10 2 3" xfId="39470" xr:uid="{00000000-0005-0000-0000-00002C9A0000}"/>
    <cellStyle name="Note 3 3 10 2 4" xfId="39471" xr:uid="{00000000-0005-0000-0000-00002D9A0000}"/>
    <cellStyle name="Note 3 3 10 2 5" xfId="39472" xr:uid="{00000000-0005-0000-0000-00002E9A0000}"/>
    <cellStyle name="Note 3 3 10 2 6" xfId="39473" xr:uid="{00000000-0005-0000-0000-00002F9A0000}"/>
    <cellStyle name="Note 3 3 10 3" xfId="39474" xr:uid="{00000000-0005-0000-0000-0000309A0000}"/>
    <cellStyle name="Note 3 3 10 4" xfId="39475" xr:uid="{00000000-0005-0000-0000-0000319A0000}"/>
    <cellStyle name="Note 3 3 10 5" xfId="39476" xr:uid="{00000000-0005-0000-0000-0000329A0000}"/>
    <cellStyle name="Note 3 3 10 6" xfId="39477" xr:uid="{00000000-0005-0000-0000-0000339A0000}"/>
    <cellStyle name="Note 3 3 10 7" xfId="39478" xr:uid="{00000000-0005-0000-0000-0000349A0000}"/>
    <cellStyle name="Note 3 3 11" xfId="39479" xr:uid="{00000000-0005-0000-0000-0000359A0000}"/>
    <cellStyle name="Note 3 3 11 2" xfId="39480" xr:uid="{00000000-0005-0000-0000-0000369A0000}"/>
    <cellStyle name="Note 3 3 11 2 2" xfId="39481" xr:uid="{00000000-0005-0000-0000-0000379A0000}"/>
    <cellStyle name="Note 3 3 11 2 3" xfId="39482" xr:uid="{00000000-0005-0000-0000-0000389A0000}"/>
    <cellStyle name="Note 3 3 11 2 4" xfId="39483" xr:uid="{00000000-0005-0000-0000-0000399A0000}"/>
    <cellStyle name="Note 3 3 11 2 5" xfId="39484" xr:uid="{00000000-0005-0000-0000-00003A9A0000}"/>
    <cellStyle name="Note 3 3 11 2 6" xfId="39485" xr:uid="{00000000-0005-0000-0000-00003B9A0000}"/>
    <cellStyle name="Note 3 3 11 3" xfId="39486" xr:uid="{00000000-0005-0000-0000-00003C9A0000}"/>
    <cellStyle name="Note 3 3 11 4" xfId="39487" xr:uid="{00000000-0005-0000-0000-00003D9A0000}"/>
    <cellStyle name="Note 3 3 11 5" xfId="39488" xr:uid="{00000000-0005-0000-0000-00003E9A0000}"/>
    <cellStyle name="Note 3 3 11 6" xfId="39489" xr:uid="{00000000-0005-0000-0000-00003F9A0000}"/>
    <cellStyle name="Note 3 3 11 7" xfId="39490" xr:uid="{00000000-0005-0000-0000-0000409A0000}"/>
    <cellStyle name="Note 3 3 12" xfId="39491" xr:uid="{00000000-0005-0000-0000-0000419A0000}"/>
    <cellStyle name="Note 3 3 12 2" xfId="39492" xr:uid="{00000000-0005-0000-0000-0000429A0000}"/>
    <cellStyle name="Note 3 3 12 2 2" xfId="39493" xr:uid="{00000000-0005-0000-0000-0000439A0000}"/>
    <cellStyle name="Note 3 3 12 2 3" xfId="39494" xr:uid="{00000000-0005-0000-0000-0000449A0000}"/>
    <cellStyle name="Note 3 3 12 2 4" xfId="39495" xr:uid="{00000000-0005-0000-0000-0000459A0000}"/>
    <cellStyle name="Note 3 3 12 2 5" xfId="39496" xr:uid="{00000000-0005-0000-0000-0000469A0000}"/>
    <cellStyle name="Note 3 3 12 2 6" xfId="39497" xr:uid="{00000000-0005-0000-0000-0000479A0000}"/>
    <cellStyle name="Note 3 3 12 3" xfId="39498" xr:uid="{00000000-0005-0000-0000-0000489A0000}"/>
    <cellStyle name="Note 3 3 12 4" xfId="39499" xr:uid="{00000000-0005-0000-0000-0000499A0000}"/>
    <cellStyle name="Note 3 3 12 5" xfId="39500" xr:uid="{00000000-0005-0000-0000-00004A9A0000}"/>
    <cellStyle name="Note 3 3 12 6" xfId="39501" xr:uid="{00000000-0005-0000-0000-00004B9A0000}"/>
    <cellStyle name="Note 3 3 12 7" xfId="39502" xr:uid="{00000000-0005-0000-0000-00004C9A0000}"/>
    <cellStyle name="Note 3 3 13" xfId="39503" xr:uid="{00000000-0005-0000-0000-00004D9A0000}"/>
    <cellStyle name="Note 3 3 13 2" xfId="39504" xr:uid="{00000000-0005-0000-0000-00004E9A0000}"/>
    <cellStyle name="Note 3 3 13 2 2" xfId="39505" xr:uid="{00000000-0005-0000-0000-00004F9A0000}"/>
    <cellStyle name="Note 3 3 13 2 3" xfId="39506" xr:uid="{00000000-0005-0000-0000-0000509A0000}"/>
    <cellStyle name="Note 3 3 13 2 4" xfId="39507" xr:uid="{00000000-0005-0000-0000-0000519A0000}"/>
    <cellStyle name="Note 3 3 13 2 5" xfId="39508" xr:uid="{00000000-0005-0000-0000-0000529A0000}"/>
    <cellStyle name="Note 3 3 13 2 6" xfId="39509" xr:uid="{00000000-0005-0000-0000-0000539A0000}"/>
    <cellStyle name="Note 3 3 13 3" xfId="39510" xr:uid="{00000000-0005-0000-0000-0000549A0000}"/>
    <cellStyle name="Note 3 3 13 4" xfId="39511" xr:uid="{00000000-0005-0000-0000-0000559A0000}"/>
    <cellStyle name="Note 3 3 13 5" xfId="39512" xr:uid="{00000000-0005-0000-0000-0000569A0000}"/>
    <cellStyle name="Note 3 3 13 6" xfId="39513" xr:uid="{00000000-0005-0000-0000-0000579A0000}"/>
    <cellStyle name="Note 3 3 13 7" xfId="39514" xr:uid="{00000000-0005-0000-0000-0000589A0000}"/>
    <cellStyle name="Note 3 3 14" xfId="39515" xr:uid="{00000000-0005-0000-0000-0000599A0000}"/>
    <cellStyle name="Note 3 3 14 2" xfId="39516" xr:uid="{00000000-0005-0000-0000-00005A9A0000}"/>
    <cellStyle name="Note 3 3 14 2 2" xfId="39517" xr:uid="{00000000-0005-0000-0000-00005B9A0000}"/>
    <cellStyle name="Note 3 3 14 2 3" xfId="39518" xr:uid="{00000000-0005-0000-0000-00005C9A0000}"/>
    <cellStyle name="Note 3 3 14 2 4" xfId="39519" xr:uid="{00000000-0005-0000-0000-00005D9A0000}"/>
    <cellStyle name="Note 3 3 14 2 5" xfId="39520" xr:uid="{00000000-0005-0000-0000-00005E9A0000}"/>
    <cellStyle name="Note 3 3 14 2 6" xfId="39521" xr:uid="{00000000-0005-0000-0000-00005F9A0000}"/>
    <cellStyle name="Note 3 3 14 3" xfId="39522" xr:uid="{00000000-0005-0000-0000-0000609A0000}"/>
    <cellStyle name="Note 3 3 14 4" xfId="39523" xr:uid="{00000000-0005-0000-0000-0000619A0000}"/>
    <cellStyle name="Note 3 3 14 5" xfId="39524" xr:uid="{00000000-0005-0000-0000-0000629A0000}"/>
    <cellStyle name="Note 3 3 14 6" xfId="39525" xr:uid="{00000000-0005-0000-0000-0000639A0000}"/>
    <cellStyle name="Note 3 3 14 7" xfId="39526" xr:uid="{00000000-0005-0000-0000-0000649A0000}"/>
    <cellStyle name="Note 3 3 15" xfId="39527" xr:uid="{00000000-0005-0000-0000-0000659A0000}"/>
    <cellStyle name="Note 3 3 15 2" xfId="39528" xr:uid="{00000000-0005-0000-0000-0000669A0000}"/>
    <cellStyle name="Note 3 3 15 2 2" xfId="39529" xr:uid="{00000000-0005-0000-0000-0000679A0000}"/>
    <cellStyle name="Note 3 3 15 2 3" xfId="39530" xr:uid="{00000000-0005-0000-0000-0000689A0000}"/>
    <cellStyle name="Note 3 3 15 2 4" xfId="39531" xr:uid="{00000000-0005-0000-0000-0000699A0000}"/>
    <cellStyle name="Note 3 3 15 2 5" xfId="39532" xr:uid="{00000000-0005-0000-0000-00006A9A0000}"/>
    <cellStyle name="Note 3 3 15 2 6" xfId="39533" xr:uid="{00000000-0005-0000-0000-00006B9A0000}"/>
    <cellStyle name="Note 3 3 15 3" xfId="39534" xr:uid="{00000000-0005-0000-0000-00006C9A0000}"/>
    <cellStyle name="Note 3 3 15 4" xfId="39535" xr:uid="{00000000-0005-0000-0000-00006D9A0000}"/>
    <cellStyle name="Note 3 3 15 5" xfId="39536" xr:uid="{00000000-0005-0000-0000-00006E9A0000}"/>
    <cellStyle name="Note 3 3 15 6" xfId="39537" xr:uid="{00000000-0005-0000-0000-00006F9A0000}"/>
    <cellStyle name="Note 3 3 15 7" xfId="39538" xr:uid="{00000000-0005-0000-0000-0000709A0000}"/>
    <cellStyle name="Note 3 3 16" xfId="39539" xr:uid="{00000000-0005-0000-0000-0000719A0000}"/>
    <cellStyle name="Note 3 3 16 2" xfId="39540" xr:uid="{00000000-0005-0000-0000-0000729A0000}"/>
    <cellStyle name="Note 3 3 16 2 2" xfId="39541" xr:uid="{00000000-0005-0000-0000-0000739A0000}"/>
    <cellStyle name="Note 3 3 16 2 3" xfId="39542" xr:uid="{00000000-0005-0000-0000-0000749A0000}"/>
    <cellStyle name="Note 3 3 16 2 4" xfId="39543" xr:uid="{00000000-0005-0000-0000-0000759A0000}"/>
    <cellStyle name="Note 3 3 16 2 5" xfId="39544" xr:uid="{00000000-0005-0000-0000-0000769A0000}"/>
    <cellStyle name="Note 3 3 16 2 6" xfId="39545" xr:uid="{00000000-0005-0000-0000-0000779A0000}"/>
    <cellStyle name="Note 3 3 16 3" xfId="39546" xr:uid="{00000000-0005-0000-0000-0000789A0000}"/>
    <cellStyle name="Note 3 3 16 4" xfId="39547" xr:uid="{00000000-0005-0000-0000-0000799A0000}"/>
    <cellStyle name="Note 3 3 16 5" xfId="39548" xr:uid="{00000000-0005-0000-0000-00007A9A0000}"/>
    <cellStyle name="Note 3 3 16 6" xfId="39549" xr:uid="{00000000-0005-0000-0000-00007B9A0000}"/>
    <cellStyle name="Note 3 3 16 7" xfId="39550" xr:uid="{00000000-0005-0000-0000-00007C9A0000}"/>
    <cellStyle name="Note 3 3 17" xfId="39551" xr:uid="{00000000-0005-0000-0000-00007D9A0000}"/>
    <cellStyle name="Note 3 3 17 2" xfId="39552" xr:uid="{00000000-0005-0000-0000-00007E9A0000}"/>
    <cellStyle name="Note 3 3 17 2 2" xfId="39553" xr:uid="{00000000-0005-0000-0000-00007F9A0000}"/>
    <cellStyle name="Note 3 3 17 2 3" xfId="39554" xr:uid="{00000000-0005-0000-0000-0000809A0000}"/>
    <cellStyle name="Note 3 3 17 2 4" xfId="39555" xr:uid="{00000000-0005-0000-0000-0000819A0000}"/>
    <cellStyle name="Note 3 3 17 2 5" xfId="39556" xr:uid="{00000000-0005-0000-0000-0000829A0000}"/>
    <cellStyle name="Note 3 3 17 2 6" xfId="39557" xr:uid="{00000000-0005-0000-0000-0000839A0000}"/>
    <cellStyle name="Note 3 3 17 3" xfId="39558" xr:uid="{00000000-0005-0000-0000-0000849A0000}"/>
    <cellStyle name="Note 3 3 17 4" xfId="39559" xr:uid="{00000000-0005-0000-0000-0000859A0000}"/>
    <cellStyle name="Note 3 3 17 5" xfId="39560" xr:uid="{00000000-0005-0000-0000-0000869A0000}"/>
    <cellStyle name="Note 3 3 17 6" xfId="39561" xr:uid="{00000000-0005-0000-0000-0000879A0000}"/>
    <cellStyle name="Note 3 3 17 7" xfId="39562" xr:uid="{00000000-0005-0000-0000-0000889A0000}"/>
    <cellStyle name="Note 3 3 18" xfId="39563" xr:uid="{00000000-0005-0000-0000-0000899A0000}"/>
    <cellStyle name="Note 3 3 18 2" xfId="39564" xr:uid="{00000000-0005-0000-0000-00008A9A0000}"/>
    <cellStyle name="Note 3 3 18 2 2" xfId="39565" xr:uid="{00000000-0005-0000-0000-00008B9A0000}"/>
    <cellStyle name="Note 3 3 18 2 3" xfId="39566" xr:uid="{00000000-0005-0000-0000-00008C9A0000}"/>
    <cellStyle name="Note 3 3 18 2 4" xfId="39567" xr:uid="{00000000-0005-0000-0000-00008D9A0000}"/>
    <cellStyle name="Note 3 3 18 2 5" xfId="39568" xr:uid="{00000000-0005-0000-0000-00008E9A0000}"/>
    <cellStyle name="Note 3 3 18 2 6" xfId="39569" xr:uid="{00000000-0005-0000-0000-00008F9A0000}"/>
    <cellStyle name="Note 3 3 18 3" xfId="39570" xr:uid="{00000000-0005-0000-0000-0000909A0000}"/>
    <cellStyle name="Note 3 3 18 4" xfId="39571" xr:uid="{00000000-0005-0000-0000-0000919A0000}"/>
    <cellStyle name="Note 3 3 18 5" xfId="39572" xr:uid="{00000000-0005-0000-0000-0000929A0000}"/>
    <cellStyle name="Note 3 3 18 6" xfId="39573" xr:uid="{00000000-0005-0000-0000-0000939A0000}"/>
    <cellStyle name="Note 3 3 18 7" xfId="39574" xr:uid="{00000000-0005-0000-0000-0000949A0000}"/>
    <cellStyle name="Note 3 3 19" xfId="39575" xr:uid="{00000000-0005-0000-0000-0000959A0000}"/>
    <cellStyle name="Note 3 3 19 2" xfId="39576" xr:uid="{00000000-0005-0000-0000-0000969A0000}"/>
    <cellStyle name="Note 3 3 19 2 2" xfId="39577" xr:uid="{00000000-0005-0000-0000-0000979A0000}"/>
    <cellStyle name="Note 3 3 19 2 3" xfId="39578" xr:uid="{00000000-0005-0000-0000-0000989A0000}"/>
    <cellStyle name="Note 3 3 19 2 4" xfId="39579" xr:uid="{00000000-0005-0000-0000-0000999A0000}"/>
    <cellStyle name="Note 3 3 19 2 5" xfId="39580" xr:uid="{00000000-0005-0000-0000-00009A9A0000}"/>
    <cellStyle name="Note 3 3 19 2 6" xfId="39581" xr:uid="{00000000-0005-0000-0000-00009B9A0000}"/>
    <cellStyle name="Note 3 3 19 3" xfId="39582" xr:uid="{00000000-0005-0000-0000-00009C9A0000}"/>
    <cellStyle name="Note 3 3 19 4" xfId="39583" xr:uid="{00000000-0005-0000-0000-00009D9A0000}"/>
    <cellStyle name="Note 3 3 19 5" xfId="39584" xr:uid="{00000000-0005-0000-0000-00009E9A0000}"/>
    <cellStyle name="Note 3 3 19 6" xfId="39585" xr:uid="{00000000-0005-0000-0000-00009F9A0000}"/>
    <cellStyle name="Note 3 3 19 7" xfId="39586" xr:uid="{00000000-0005-0000-0000-0000A09A0000}"/>
    <cellStyle name="Note 3 3 2" xfId="39587" xr:uid="{00000000-0005-0000-0000-0000A19A0000}"/>
    <cellStyle name="Note 3 3 2 2" xfId="39588" xr:uid="{00000000-0005-0000-0000-0000A29A0000}"/>
    <cellStyle name="Note 3 3 2 2 2" xfId="39589" xr:uid="{00000000-0005-0000-0000-0000A39A0000}"/>
    <cellStyle name="Note 3 3 2 2 2 2" xfId="39590" xr:uid="{00000000-0005-0000-0000-0000A49A0000}"/>
    <cellStyle name="Note 3 3 2 2 2 3" xfId="39591" xr:uid="{00000000-0005-0000-0000-0000A59A0000}"/>
    <cellStyle name="Note 3 3 2 2 2 4" xfId="39592" xr:uid="{00000000-0005-0000-0000-0000A69A0000}"/>
    <cellStyle name="Note 3 3 2 2 2 5" xfId="39593" xr:uid="{00000000-0005-0000-0000-0000A79A0000}"/>
    <cellStyle name="Note 3 3 2 2 2 6" xfId="39594" xr:uid="{00000000-0005-0000-0000-0000A89A0000}"/>
    <cellStyle name="Note 3 3 2 2 3" xfId="39595" xr:uid="{00000000-0005-0000-0000-0000A99A0000}"/>
    <cellStyle name="Note 3 3 2 2 4" xfId="39596" xr:uid="{00000000-0005-0000-0000-0000AA9A0000}"/>
    <cellStyle name="Note 3 3 2 2 5" xfId="39597" xr:uid="{00000000-0005-0000-0000-0000AB9A0000}"/>
    <cellStyle name="Note 3 3 2 2 6" xfId="39598" xr:uid="{00000000-0005-0000-0000-0000AC9A0000}"/>
    <cellStyle name="Note 3 3 2 2 7" xfId="39599" xr:uid="{00000000-0005-0000-0000-0000AD9A0000}"/>
    <cellStyle name="Note 3 3 2 3" xfId="39600" xr:uid="{00000000-0005-0000-0000-0000AE9A0000}"/>
    <cellStyle name="Note 3 3 2 3 2" xfId="39601" xr:uid="{00000000-0005-0000-0000-0000AF9A0000}"/>
    <cellStyle name="Note 3 3 2 3 3" xfId="39602" xr:uid="{00000000-0005-0000-0000-0000B09A0000}"/>
    <cellStyle name="Note 3 3 2 3 4" xfId="39603" xr:uid="{00000000-0005-0000-0000-0000B19A0000}"/>
    <cellStyle name="Note 3 3 2 3 5" xfId="39604" xr:uid="{00000000-0005-0000-0000-0000B29A0000}"/>
    <cellStyle name="Note 3 3 2 3 6" xfId="39605" xr:uid="{00000000-0005-0000-0000-0000B39A0000}"/>
    <cellStyle name="Note 3 3 2 4" xfId="39606" xr:uid="{00000000-0005-0000-0000-0000B49A0000}"/>
    <cellStyle name="Note 3 3 2 5" xfId="39607" xr:uid="{00000000-0005-0000-0000-0000B59A0000}"/>
    <cellStyle name="Note 3 3 2 6" xfId="39608" xr:uid="{00000000-0005-0000-0000-0000B69A0000}"/>
    <cellStyle name="Note 3 3 2 7" xfId="39609" xr:uid="{00000000-0005-0000-0000-0000B79A0000}"/>
    <cellStyle name="Note 3 3 20" xfId="39610" xr:uid="{00000000-0005-0000-0000-0000B89A0000}"/>
    <cellStyle name="Note 3 3 20 2" xfId="39611" xr:uid="{00000000-0005-0000-0000-0000B99A0000}"/>
    <cellStyle name="Note 3 3 20 2 2" xfId="39612" xr:uid="{00000000-0005-0000-0000-0000BA9A0000}"/>
    <cellStyle name="Note 3 3 20 2 3" xfId="39613" xr:uid="{00000000-0005-0000-0000-0000BB9A0000}"/>
    <cellStyle name="Note 3 3 20 2 4" xfId="39614" xr:uid="{00000000-0005-0000-0000-0000BC9A0000}"/>
    <cellStyle name="Note 3 3 20 2 5" xfId="39615" xr:uid="{00000000-0005-0000-0000-0000BD9A0000}"/>
    <cellStyle name="Note 3 3 20 2 6" xfId="39616" xr:uid="{00000000-0005-0000-0000-0000BE9A0000}"/>
    <cellStyle name="Note 3 3 20 3" xfId="39617" xr:uid="{00000000-0005-0000-0000-0000BF9A0000}"/>
    <cellStyle name="Note 3 3 20 4" xfId="39618" xr:uid="{00000000-0005-0000-0000-0000C09A0000}"/>
    <cellStyle name="Note 3 3 20 5" xfId="39619" xr:uid="{00000000-0005-0000-0000-0000C19A0000}"/>
    <cellStyle name="Note 3 3 20 6" xfId="39620" xr:uid="{00000000-0005-0000-0000-0000C29A0000}"/>
    <cellStyle name="Note 3 3 20 7" xfId="39621" xr:uid="{00000000-0005-0000-0000-0000C39A0000}"/>
    <cellStyle name="Note 3 3 21" xfId="39622" xr:uid="{00000000-0005-0000-0000-0000C49A0000}"/>
    <cellStyle name="Note 3 3 21 2" xfId="39623" xr:uid="{00000000-0005-0000-0000-0000C59A0000}"/>
    <cellStyle name="Note 3 3 21 2 2" xfId="39624" xr:uid="{00000000-0005-0000-0000-0000C69A0000}"/>
    <cellStyle name="Note 3 3 21 2 3" xfId="39625" xr:uid="{00000000-0005-0000-0000-0000C79A0000}"/>
    <cellStyle name="Note 3 3 21 2 4" xfId="39626" xr:uid="{00000000-0005-0000-0000-0000C89A0000}"/>
    <cellStyle name="Note 3 3 21 2 5" xfId="39627" xr:uid="{00000000-0005-0000-0000-0000C99A0000}"/>
    <cellStyle name="Note 3 3 21 2 6" xfId="39628" xr:uid="{00000000-0005-0000-0000-0000CA9A0000}"/>
    <cellStyle name="Note 3 3 21 3" xfId="39629" xr:uid="{00000000-0005-0000-0000-0000CB9A0000}"/>
    <cellStyle name="Note 3 3 21 4" xfId="39630" xr:uid="{00000000-0005-0000-0000-0000CC9A0000}"/>
    <cellStyle name="Note 3 3 21 5" xfId="39631" xr:uid="{00000000-0005-0000-0000-0000CD9A0000}"/>
    <cellStyle name="Note 3 3 21 6" xfId="39632" xr:uid="{00000000-0005-0000-0000-0000CE9A0000}"/>
    <cellStyle name="Note 3 3 21 7" xfId="39633" xr:uid="{00000000-0005-0000-0000-0000CF9A0000}"/>
    <cellStyle name="Note 3 3 22" xfId="39634" xr:uid="{00000000-0005-0000-0000-0000D09A0000}"/>
    <cellStyle name="Note 3 3 22 2" xfId="39635" xr:uid="{00000000-0005-0000-0000-0000D19A0000}"/>
    <cellStyle name="Note 3 3 22 2 2" xfId="39636" xr:uid="{00000000-0005-0000-0000-0000D29A0000}"/>
    <cellStyle name="Note 3 3 22 2 3" xfId="39637" xr:uid="{00000000-0005-0000-0000-0000D39A0000}"/>
    <cellStyle name="Note 3 3 22 2 4" xfId="39638" xr:uid="{00000000-0005-0000-0000-0000D49A0000}"/>
    <cellStyle name="Note 3 3 22 2 5" xfId="39639" xr:uid="{00000000-0005-0000-0000-0000D59A0000}"/>
    <cellStyle name="Note 3 3 22 2 6" xfId="39640" xr:uid="{00000000-0005-0000-0000-0000D69A0000}"/>
    <cellStyle name="Note 3 3 22 3" xfId="39641" xr:uid="{00000000-0005-0000-0000-0000D79A0000}"/>
    <cellStyle name="Note 3 3 22 4" xfId="39642" xr:uid="{00000000-0005-0000-0000-0000D89A0000}"/>
    <cellStyle name="Note 3 3 22 5" xfId="39643" xr:uid="{00000000-0005-0000-0000-0000D99A0000}"/>
    <cellStyle name="Note 3 3 22 6" xfId="39644" xr:uid="{00000000-0005-0000-0000-0000DA9A0000}"/>
    <cellStyle name="Note 3 3 22 7" xfId="39645" xr:uid="{00000000-0005-0000-0000-0000DB9A0000}"/>
    <cellStyle name="Note 3 3 23" xfId="39646" xr:uid="{00000000-0005-0000-0000-0000DC9A0000}"/>
    <cellStyle name="Note 3 3 23 2" xfId="39647" xr:uid="{00000000-0005-0000-0000-0000DD9A0000}"/>
    <cellStyle name="Note 3 3 23 2 2" xfId="39648" xr:uid="{00000000-0005-0000-0000-0000DE9A0000}"/>
    <cellStyle name="Note 3 3 23 2 3" xfId="39649" xr:uid="{00000000-0005-0000-0000-0000DF9A0000}"/>
    <cellStyle name="Note 3 3 23 2 4" xfId="39650" xr:uid="{00000000-0005-0000-0000-0000E09A0000}"/>
    <cellStyle name="Note 3 3 23 2 5" xfId="39651" xr:uid="{00000000-0005-0000-0000-0000E19A0000}"/>
    <cellStyle name="Note 3 3 23 2 6" xfId="39652" xr:uid="{00000000-0005-0000-0000-0000E29A0000}"/>
    <cellStyle name="Note 3 3 23 3" xfId="39653" xr:uid="{00000000-0005-0000-0000-0000E39A0000}"/>
    <cellStyle name="Note 3 3 23 4" xfId="39654" xr:uid="{00000000-0005-0000-0000-0000E49A0000}"/>
    <cellStyle name="Note 3 3 23 5" xfId="39655" xr:uid="{00000000-0005-0000-0000-0000E59A0000}"/>
    <cellStyle name="Note 3 3 23 6" xfId="39656" xr:uid="{00000000-0005-0000-0000-0000E69A0000}"/>
    <cellStyle name="Note 3 3 23 7" xfId="39657" xr:uid="{00000000-0005-0000-0000-0000E79A0000}"/>
    <cellStyle name="Note 3 3 24" xfId="39658" xr:uid="{00000000-0005-0000-0000-0000E89A0000}"/>
    <cellStyle name="Note 3 3 24 2" xfId="39659" xr:uid="{00000000-0005-0000-0000-0000E99A0000}"/>
    <cellStyle name="Note 3 3 24 2 2" xfId="39660" xr:uid="{00000000-0005-0000-0000-0000EA9A0000}"/>
    <cellStyle name="Note 3 3 24 2 3" xfId="39661" xr:uid="{00000000-0005-0000-0000-0000EB9A0000}"/>
    <cellStyle name="Note 3 3 24 2 4" xfId="39662" xr:uid="{00000000-0005-0000-0000-0000EC9A0000}"/>
    <cellStyle name="Note 3 3 24 2 5" xfId="39663" xr:uid="{00000000-0005-0000-0000-0000ED9A0000}"/>
    <cellStyle name="Note 3 3 24 2 6" xfId="39664" xr:uid="{00000000-0005-0000-0000-0000EE9A0000}"/>
    <cellStyle name="Note 3 3 24 3" xfId="39665" xr:uid="{00000000-0005-0000-0000-0000EF9A0000}"/>
    <cellStyle name="Note 3 3 24 4" xfId="39666" xr:uid="{00000000-0005-0000-0000-0000F09A0000}"/>
    <cellStyle name="Note 3 3 24 5" xfId="39667" xr:uid="{00000000-0005-0000-0000-0000F19A0000}"/>
    <cellStyle name="Note 3 3 24 6" xfId="39668" xr:uid="{00000000-0005-0000-0000-0000F29A0000}"/>
    <cellStyle name="Note 3 3 24 7" xfId="39669" xr:uid="{00000000-0005-0000-0000-0000F39A0000}"/>
    <cellStyle name="Note 3 3 25" xfId="39670" xr:uid="{00000000-0005-0000-0000-0000F49A0000}"/>
    <cellStyle name="Note 3 3 25 2" xfId="39671" xr:uid="{00000000-0005-0000-0000-0000F59A0000}"/>
    <cellStyle name="Note 3 3 25 2 2" xfId="39672" xr:uid="{00000000-0005-0000-0000-0000F69A0000}"/>
    <cellStyle name="Note 3 3 25 2 3" xfId="39673" xr:uid="{00000000-0005-0000-0000-0000F79A0000}"/>
    <cellStyle name="Note 3 3 25 2 4" xfId="39674" xr:uid="{00000000-0005-0000-0000-0000F89A0000}"/>
    <cellStyle name="Note 3 3 25 2 5" xfId="39675" xr:uid="{00000000-0005-0000-0000-0000F99A0000}"/>
    <cellStyle name="Note 3 3 25 2 6" xfId="39676" xr:uid="{00000000-0005-0000-0000-0000FA9A0000}"/>
    <cellStyle name="Note 3 3 25 3" xfId="39677" xr:uid="{00000000-0005-0000-0000-0000FB9A0000}"/>
    <cellStyle name="Note 3 3 25 4" xfId="39678" xr:uid="{00000000-0005-0000-0000-0000FC9A0000}"/>
    <cellStyle name="Note 3 3 25 5" xfId="39679" xr:uid="{00000000-0005-0000-0000-0000FD9A0000}"/>
    <cellStyle name="Note 3 3 25 6" xfId="39680" xr:uid="{00000000-0005-0000-0000-0000FE9A0000}"/>
    <cellStyle name="Note 3 3 25 7" xfId="39681" xr:uid="{00000000-0005-0000-0000-0000FF9A0000}"/>
    <cellStyle name="Note 3 3 26" xfId="39682" xr:uid="{00000000-0005-0000-0000-0000009B0000}"/>
    <cellStyle name="Note 3 3 26 2" xfId="39683" xr:uid="{00000000-0005-0000-0000-0000019B0000}"/>
    <cellStyle name="Note 3 3 26 2 2" xfId="39684" xr:uid="{00000000-0005-0000-0000-0000029B0000}"/>
    <cellStyle name="Note 3 3 26 2 3" xfId="39685" xr:uid="{00000000-0005-0000-0000-0000039B0000}"/>
    <cellStyle name="Note 3 3 26 2 4" xfId="39686" xr:uid="{00000000-0005-0000-0000-0000049B0000}"/>
    <cellStyle name="Note 3 3 26 2 5" xfId="39687" xr:uid="{00000000-0005-0000-0000-0000059B0000}"/>
    <cellStyle name="Note 3 3 26 2 6" xfId="39688" xr:uid="{00000000-0005-0000-0000-0000069B0000}"/>
    <cellStyle name="Note 3 3 26 3" xfId="39689" xr:uid="{00000000-0005-0000-0000-0000079B0000}"/>
    <cellStyle name="Note 3 3 26 4" xfId="39690" xr:uid="{00000000-0005-0000-0000-0000089B0000}"/>
    <cellStyle name="Note 3 3 26 5" xfId="39691" xr:uid="{00000000-0005-0000-0000-0000099B0000}"/>
    <cellStyle name="Note 3 3 26 6" xfId="39692" xr:uid="{00000000-0005-0000-0000-00000A9B0000}"/>
    <cellStyle name="Note 3 3 26 7" xfId="39693" xr:uid="{00000000-0005-0000-0000-00000B9B0000}"/>
    <cellStyle name="Note 3 3 27" xfId="39694" xr:uid="{00000000-0005-0000-0000-00000C9B0000}"/>
    <cellStyle name="Note 3 3 27 2" xfId="39695" xr:uid="{00000000-0005-0000-0000-00000D9B0000}"/>
    <cellStyle name="Note 3 3 27 2 2" xfId="39696" xr:uid="{00000000-0005-0000-0000-00000E9B0000}"/>
    <cellStyle name="Note 3 3 27 2 3" xfId="39697" xr:uid="{00000000-0005-0000-0000-00000F9B0000}"/>
    <cellStyle name="Note 3 3 27 2 4" xfId="39698" xr:uid="{00000000-0005-0000-0000-0000109B0000}"/>
    <cellStyle name="Note 3 3 27 2 5" xfId="39699" xr:uid="{00000000-0005-0000-0000-0000119B0000}"/>
    <cellStyle name="Note 3 3 27 2 6" xfId="39700" xr:uid="{00000000-0005-0000-0000-0000129B0000}"/>
    <cellStyle name="Note 3 3 27 3" xfId="39701" xr:uid="{00000000-0005-0000-0000-0000139B0000}"/>
    <cellStyle name="Note 3 3 27 4" xfId="39702" xr:uid="{00000000-0005-0000-0000-0000149B0000}"/>
    <cellStyle name="Note 3 3 27 5" xfId="39703" xr:uid="{00000000-0005-0000-0000-0000159B0000}"/>
    <cellStyle name="Note 3 3 27 6" xfId="39704" xr:uid="{00000000-0005-0000-0000-0000169B0000}"/>
    <cellStyle name="Note 3 3 27 7" xfId="39705" xr:uid="{00000000-0005-0000-0000-0000179B0000}"/>
    <cellStyle name="Note 3 3 28" xfId="39706" xr:uid="{00000000-0005-0000-0000-0000189B0000}"/>
    <cellStyle name="Note 3 3 28 2" xfId="39707" xr:uid="{00000000-0005-0000-0000-0000199B0000}"/>
    <cellStyle name="Note 3 3 28 2 2" xfId="39708" xr:uid="{00000000-0005-0000-0000-00001A9B0000}"/>
    <cellStyle name="Note 3 3 28 2 3" xfId="39709" xr:uid="{00000000-0005-0000-0000-00001B9B0000}"/>
    <cellStyle name="Note 3 3 28 2 4" xfId="39710" xr:uid="{00000000-0005-0000-0000-00001C9B0000}"/>
    <cellStyle name="Note 3 3 28 2 5" xfId="39711" xr:uid="{00000000-0005-0000-0000-00001D9B0000}"/>
    <cellStyle name="Note 3 3 28 2 6" xfId="39712" xr:uid="{00000000-0005-0000-0000-00001E9B0000}"/>
    <cellStyle name="Note 3 3 28 3" xfId="39713" xr:uid="{00000000-0005-0000-0000-00001F9B0000}"/>
    <cellStyle name="Note 3 3 28 4" xfId="39714" xr:uid="{00000000-0005-0000-0000-0000209B0000}"/>
    <cellStyle name="Note 3 3 28 5" xfId="39715" xr:uid="{00000000-0005-0000-0000-0000219B0000}"/>
    <cellStyle name="Note 3 3 28 6" xfId="39716" xr:uid="{00000000-0005-0000-0000-0000229B0000}"/>
    <cellStyle name="Note 3 3 28 7" xfId="39717" xr:uid="{00000000-0005-0000-0000-0000239B0000}"/>
    <cellStyle name="Note 3 3 29" xfId="39718" xr:uid="{00000000-0005-0000-0000-0000249B0000}"/>
    <cellStyle name="Note 3 3 29 2" xfId="39719" xr:uid="{00000000-0005-0000-0000-0000259B0000}"/>
    <cellStyle name="Note 3 3 29 2 2" xfId="39720" xr:uid="{00000000-0005-0000-0000-0000269B0000}"/>
    <cellStyle name="Note 3 3 29 2 3" xfId="39721" xr:uid="{00000000-0005-0000-0000-0000279B0000}"/>
    <cellStyle name="Note 3 3 29 2 4" xfId="39722" xr:uid="{00000000-0005-0000-0000-0000289B0000}"/>
    <cellStyle name="Note 3 3 29 2 5" xfId="39723" xr:uid="{00000000-0005-0000-0000-0000299B0000}"/>
    <cellStyle name="Note 3 3 29 2 6" xfId="39724" xr:uid="{00000000-0005-0000-0000-00002A9B0000}"/>
    <cellStyle name="Note 3 3 29 3" xfId="39725" xr:uid="{00000000-0005-0000-0000-00002B9B0000}"/>
    <cellStyle name="Note 3 3 29 4" xfId="39726" xr:uid="{00000000-0005-0000-0000-00002C9B0000}"/>
    <cellStyle name="Note 3 3 29 5" xfId="39727" xr:uid="{00000000-0005-0000-0000-00002D9B0000}"/>
    <cellStyle name="Note 3 3 29 6" xfId="39728" xr:uid="{00000000-0005-0000-0000-00002E9B0000}"/>
    <cellStyle name="Note 3 3 29 7" xfId="39729" xr:uid="{00000000-0005-0000-0000-00002F9B0000}"/>
    <cellStyle name="Note 3 3 3" xfId="39730" xr:uid="{00000000-0005-0000-0000-0000309B0000}"/>
    <cellStyle name="Note 3 3 3 2" xfId="39731" xr:uid="{00000000-0005-0000-0000-0000319B0000}"/>
    <cellStyle name="Note 3 3 3 2 2" xfId="39732" xr:uid="{00000000-0005-0000-0000-0000329B0000}"/>
    <cellStyle name="Note 3 3 3 2 2 2" xfId="39733" xr:uid="{00000000-0005-0000-0000-0000339B0000}"/>
    <cellStyle name="Note 3 3 3 2 2 3" xfId="39734" xr:uid="{00000000-0005-0000-0000-0000349B0000}"/>
    <cellStyle name="Note 3 3 3 2 2 4" xfId="39735" xr:uid="{00000000-0005-0000-0000-0000359B0000}"/>
    <cellStyle name="Note 3 3 3 2 2 5" xfId="39736" xr:uid="{00000000-0005-0000-0000-0000369B0000}"/>
    <cellStyle name="Note 3 3 3 2 2 6" xfId="39737" xr:uid="{00000000-0005-0000-0000-0000379B0000}"/>
    <cellStyle name="Note 3 3 3 2 3" xfId="39738" xr:uid="{00000000-0005-0000-0000-0000389B0000}"/>
    <cellStyle name="Note 3 3 3 2 4" xfId="39739" xr:uid="{00000000-0005-0000-0000-0000399B0000}"/>
    <cellStyle name="Note 3 3 3 2 5" xfId="39740" xr:uid="{00000000-0005-0000-0000-00003A9B0000}"/>
    <cellStyle name="Note 3 3 3 2 6" xfId="39741" xr:uid="{00000000-0005-0000-0000-00003B9B0000}"/>
    <cellStyle name="Note 3 3 3 2 7" xfId="39742" xr:uid="{00000000-0005-0000-0000-00003C9B0000}"/>
    <cellStyle name="Note 3 3 3 3" xfId="39743" xr:uid="{00000000-0005-0000-0000-00003D9B0000}"/>
    <cellStyle name="Note 3 3 3 3 2" xfId="39744" xr:uid="{00000000-0005-0000-0000-00003E9B0000}"/>
    <cellStyle name="Note 3 3 3 3 3" xfId="39745" xr:uid="{00000000-0005-0000-0000-00003F9B0000}"/>
    <cellStyle name="Note 3 3 3 3 4" xfId="39746" xr:uid="{00000000-0005-0000-0000-0000409B0000}"/>
    <cellStyle name="Note 3 3 3 3 5" xfId="39747" xr:uid="{00000000-0005-0000-0000-0000419B0000}"/>
    <cellStyle name="Note 3 3 3 3 6" xfId="39748" xr:uid="{00000000-0005-0000-0000-0000429B0000}"/>
    <cellStyle name="Note 3 3 3 4" xfId="39749" xr:uid="{00000000-0005-0000-0000-0000439B0000}"/>
    <cellStyle name="Note 3 3 3 5" xfId="39750" xr:uid="{00000000-0005-0000-0000-0000449B0000}"/>
    <cellStyle name="Note 3 3 3 6" xfId="39751" xr:uid="{00000000-0005-0000-0000-0000459B0000}"/>
    <cellStyle name="Note 3 3 3 7" xfId="39752" xr:uid="{00000000-0005-0000-0000-0000469B0000}"/>
    <cellStyle name="Note 3 3 30" xfId="39753" xr:uid="{00000000-0005-0000-0000-0000479B0000}"/>
    <cellStyle name="Note 3 3 30 2" xfId="39754" xr:uid="{00000000-0005-0000-0000-0000489B0000}"/>
    <cellStyle name="Note 3 3 30 2 2" xfId="39755" xr:uid="{00000000-0005-0000-0000-0000499B0000}"/>
    <cellStyle name="Note 3 3 30 2 3" xfId="39756" xr:uid="{00000000-0005-0000-0000-00004A9B0000}"/>
    <cellStyle name="Note 3 3 30 2 4" xfId="39757" xr:uid="{00000000-0005-0000-0000-00004B9B0000}"/>
    <cellStyle name="Note 3 3 30 2 5" xfId="39758" xr:uid="{00000000-0005-0000-0000-00004C9B0000}"/>
    <cellStyle name="Note 3 3 30 2 6" xfId="39759" xr:uid="{00000000-0005-0000-0000-00004D9B0000}"/>
    <cellStyle name="Note 3 3 30 3" xfId="39760" xr:uid="{00000000-0005-0000-0000-00004E9B0000}"/>
    <cellStyle name="Note 3 3 30 4" xfId="39761" xr:uid="{00000000-0005-0000-0000-00004F9B0000}"/>
    <cellStyle name="Note 3 3 30 5" xfId="39762" xr:uid="{00000000-0005-0000-0000-0000509B0000}"/>
    <cellStyle name="Note 3 3 30 6" xfId="39763" xr:uid="{00000000-0005-0000-0000-0000519B0000}"/>
    <cellStyle name="Note 3 3 30 7" xfId="39764" xr:uid="{00000000-0005-0000-0000-0000529B0000}"/>
    <cellStyle name="Note 3 3 31" xfId="39765" xr:uid="{00000000-0005-0000-0000-0000539B0000}"/>
    <cellStyle name="Note 3 3 31 2" xfId="39766" xr:uid="{00000000-0005-0000-0000-0000549B0000}"/>
    <cellStyle name="Note 3 3 31 2 2" xfId="39767" xr:uid="{00000000-0005-0000-0000-0000559B0000}"/>
    <cellStyle name="Note 3 3 31 2 3" xfId="39768" xr:uid="{00000000-0005-0000-0000-0000569B0000}"/>
    <cellStyle name="Note 3 3 31 2 4" xfId="39769" xr:uid="{00000000-0005-0000-0000-0000579B0000}"/>
    <cellStyle name="Note 3 3 31 2 5" xfId="39770" xr:uid="{00000000-0005-0000-0000-0000589B0000}"/>
    <cellStyle name="Note 3 3 31 2 6" xfId="39771" xr:uid="{00000000-0005-0000-0000-0000599B0000}"/>
    <cellStyle name="Note 3 3 31 3" xfId="39772" xr:uid="{00000000-0005-0000-0000-00005A9B0000}"/>
    <cellStyle name="Note 3 3 31 4" xfId="39773" xr:uid="{00000000-0005-0000-0000-00005B9B0000}"/>
    <cellStyle name="Note 3 3 31 5" xfId="39774" xr:uid="{00000000-0005-0000-0000-00005C9B0000}"/>
    <cellStyle name="Note 3 3 31 6" xfId="39775" xr:uid="{00000000-0005-0000-0000-00005D9B0000}"/>
    <cellStyle name="Note 3 3 31 7" xfId="39776" xr:uid="{00000000-0005-0000-0000-00005E9B0000}"/>
    <cellStyle name="Note 3 3 32" xfId="39777" xr:uid="{00000000-0005-0000-0000-00005F9B0000}"/>
    <cellStyle name="Note 3 3 32 2" xfId="39778" xr:uid="{00000000-0005-0000-0000-0000609B0000}"/>
    <cellStyle name="Note 3 3 32 2 2" xfId="39779" xr:uid="{00000000-0005-0000-0000-0000619B0000}"/>
    <cellStyle name="Note 3 3 32 2 3" xfId="39780" xr:uid="{00000000-0005-0000-0000-0000629B0000}"/>
    <cellStyle name="Note 3 3 32 2 4" xfId="39781" xr:uid="{00000000-0005-0000-0000-0000639B0000}"/>
    <cellStyle name="Note 3 3 32 2 5" xfId="39782" xr:uid="{00000000-0005-0000-0000-0000649B0000}"/>
    <cellStyle name="Note 3 3 32 2 6" xfId="39783" xr:uid="{00000000-0005-0000-0000-0000659B0000}"/>
    <cellStyle name="Note 3 3 32 3" xfId="39784" xr:uid="{00000000-0005-0000-0000-0000669B0000}"/>
    <cellStyle name="Note 3 3 32 4" xfId="39785" xr:uid="{00000000-0005-0000-0000-0000679B0000}"/>
    <cellStyle name="Note 3 3 32 5" xfId="39786" xr:uid="{00000000-0005-0000-0000-0000689B0000}"/>
    <cellStyle name="Note 3 3 32 6" xfId="39787" xr:uid="{00000000-0005-0000-0000-0000699B0000}"/>
    <cellStyle name="Note 3 3 32 7" xfId="39788" xr:uid="{00000000-0005-0000-0000-00006A9B0000}"/>
    <cellStyle name="Note 3 3 33" xfId="39789" xr:uid="{00000000-0005-0000-0000-00006B9B0000}"/>
    <cellStyle name="Note 3 3 33 2" xfId="39790" xr:uid="{00000000-0005-0000-0000-00006C9B0000}"/>
    <cellStyle name="Note 3 3 33 2 2" xfId="39791" xr:uid="{00000000-0005-0000-0000-00006D9B0000}"/>
    <cellStyle name="Note 3 3 33 2 3" xfId="39792" xr:uid="{00000000-0005-0000-0000-00006E9B0000}"/>
    <cellStyle name="Note 3 3 33 2 4" xfId="39793" xr:uid="{00000000-0005-0000-0000-00006F9B0000}"/>
    <cellStyle name="Note 3 3 33 2 5" xfId="39794" xr:uid="{00000000-0005-0000-0000-0000709B0000}"/>
    <cellStyle name="Note 3 3 33 2 6" xfId="39795" xr:uid="{00000000-0005-0000-0000-0000719B0000}"/>
    <cellStyle name="Note 3 3 33 3" xfId="39796" xr:uid="{00000000-0005-0000-0000-0000729B0000}"/>
    <cellStyle name="Note 3 3 33 4" xfId="39797" xr:uid="{00000000-0005-0000-0000-0000739B0000}"/>
    <cellStyle name="Note 3 3 33 5" xfId="39798" xr:uid="{00000000-0005-0000-0000-0000749B0000}"/>
    <cellStyle name="Note 3 3 33 6" xfId="39799" xr:uid="{00000000-0005-0000-0000-0000759B0000}"/>
    <cellStyle name="Note 3 3 33 7" xfId="39800" xr:uid="{00000000-0005-0000-0000-0000769B0000}"/>
    <cellStyle name="Note 3 3 34" xfId="39801" xr:uid="{00000000-0005-0000-0000-0000779B0000}"/>
    <cellStyle name="Note 3 3 34 2" xfId="39802" xr:uid="{00000000-0005-0000-0000-0000789B0000}"/>
    <cellStyle name="Note 3 3 34 2 2" xfId="39803" xr:uid="{00000000-0005-0000-0000-0000799B0000}"/>
    <cellStyle name="Note 3 3 34 2 3" xfId="39804" xr:uid="{00000000-0005-0000-0000-00007A9B0000}"/>
    <cellStyle name="Note 3 3 34 2 4" xfId="39805" xr:uid="{00000000-0005-0000-0000-00007B9B0000}"/>
    <cellStyle name="Note 3 3 34 2 5" xfId="39806" xr:uid="{00000000-0005-0000-0000-00007C9B0000}"/>
    <cellStyle name="Note 3 3 34 2 6" xfId="39807" xr:uid="{00000000-0005-0000-0000-00007D9B0000}"/>
    <cellStyle name="Note 3 3 34 3" xfId="39808" xr:uid="{00000000-0005-0000-0000-00007E9B0000}"/>
    <cellStyle name="Note 3 3 34 4" xfId="39809" xr:uid="{00000000-0005-0000-0000-00007F9B0000}"/>
    <cellStyle name="Note 3 3 34 5" xfId="39810" xr:uid="{00000000-0005-0000-0000-0000809B0000}"/>
    <cellStyle name="Note 3 3 34 6" xfId="39811" xr:uid="{00000000-0005-0000-0000-0000819B0000}"/>
    <cellStyle name="Note 3 3 34 7" xfId="39812" xr:uid="{00000000-0005-0000-0000-0000829B0000}"/>
    <cellStyle name="Note 3 3 35" xfId="39813" xr:uid="{00000000-0005-0000-0000-0000839B0000}"/>
    <cellStyle name="Note 3 3 35 2" xfId="39814" xr:uid="{00000000-0005-0000-0000-0000849B0000}"/>
    <cellStyle name="Note 3 3 35 2 2" xfId="39815" xr:uid="{00000000-0005-0000-0000-0000859B0000}"/>
    <cellStyle name="Note 3 3 35 2 3" xfId="39816" xr:uid="{00000000-0005-0000-0000-0000869B0000}"/>
    <cellStyle name="Note 3 3 35 2 4" xfId="39817" xr:uid="{00000000-0005-0000-0000-0000879B0000}"/>
    <cellStyle name="Note 3 3 35 2 5" xfId="39818" xr:uid="{00000000-0005-0000-0000-0000889B0000}"/>
    <cellStyle name="Note 3 3 35 2 6" xfId="39819" xr:uid="{00000000-0005-0000-0000-0000899B0000}"/>
    <cellStyle name="Note 3 3 35 3" xfId="39820" xr:uid="{00000000-0005-0000-0000-00008A9B0000}"/>
    <cellStyle name="Note 3 3 35 4" xfId="39821" xr:uid="{00000000-0005-0000-0000-00008B9B0000}"/>
    <cellStyle name="Note 3 3 35 5" xfId="39822" xr:uid="{00000000-0005-0000-0000-00008C9B0000}"/>
    <cellStyle name="Note 3 3 35 6" xfId="39823" xr:uid="{00000000-0005-0000-0000-00008D9B0000}"/>
    <cellStyle name="Note 3 3 35 7" xfId="39824" xr:uid="{00000000-0005-0000-0000-00008E9B0000}"/>
    <cellStyle name="Note 3 3 36" xfId="39825" xr:uid="{00000000-0005-0000-0000-00008F9B0000}"/>
    <cellStyle name="Note 3 3 36 2" xfId="39826" xr:uid="{00000000-0005-0000-0000-0000909B0000}"/>
    <cellStyle name="Note 3 3 36 2 2" xfId="39827" xr:uid="{00000000-0005-0000-0000-0000919B0000}"/>
    <cellStyle name="Note 3 3 36 2 3" xfId="39828" xr:uid="{00000000-0005-0000-0000-0000929B0000}"/>
    <cellStyle name="Note 3 3 36 2 4" xfId="39829" xr:uid="{00000000-0005-0000-0000-0000939B0000}"/>
    <cellStyle name="Note 3 3 36 2 5" xfId="39830" xr:uid="{00000000-0005-0000-0000-0000949B0000}"/>
    <cellStyle name="Note 3 3 36 2 6" xfId="39831" xr:uid="{00000000-0005-0000-0000-0000959B0000}"/>
    <cellStyle name="Note 3 3 36 3" xfId="39832" xr:uid="{00000000-0005-0000-0000-0000969B0000}"/>
    <cellStyle name="Note 3 3 36 4" xfId="39833" xr:uid="{00000000-0005-0000-0000-0000979B0000}"/>
    <cellStyle name="Note 3 3 36 5" xfId="39834" xr:uid="{00000000-0005-0000-0000-0000989B0000}"/>
    <cellStyle name="Note 3 3 36 6" xfId="39835" xr:uid="{00000000-0005-0000-0000-0000999B0000}"/>
    <cellStyle name="Note 3 3 36 7" xfId="39836" xr:uid="{00000000-0005-0000-0000-00009A9B0000}"/>
    <cellStyle name="Note 3 3 37" xfId="39837" xr:uid="{00000000-0005-0000-0000-00009B9B0000}"/>
    <cellStyle name="Note 3 3 37 2" xfId="39838" xr:uid="{00000000-0005-0000-0000-00009C9B0000}"/>
    <cellStyle name="Note 3 3 37 2 2" xfId="39839" xr:uid="{00000000-0005-0000-0000-00009D9B0000}"/>
    <cellStyle name="Note 3 3 37 2 3" xfId="39840" xr:uid="{00000000-0005-0000-0000-00009E9B0000}"/>
    <cellStyle name="Note 3 3 37 2 4" xfId="39841" xr:uid="{00000000-0005-0000-0000-00009F9B0000}"/>
    <cellStyle name="Note 3 3 37 2 5" xfId="39842" xr:uid="{00000000-0005-0000-0000-0000A09B0000}"/>
    <cellStyle name="Note 3 3 37 2 6" xfId="39843" xr:uid="{00000000-0005-0000-0000-0000A19B0000}"/>
    <cellStyle name="Note 3 3 37 3" xfId="39844" xr:uid="{00000000-0005-0000-0000-0000A29B0000}"/>
    <cellStyle name="Note 3 3 37 4" xfId="39845" xr:uid="{00000000-0005-0000-0000-0000A39B0000}"/>
    <cellStyle name="Note 3 3 37 5" xfId="39846" xr:uid="{00000000-0005-0000-0000-0000A49B0000}"/>
    <cellStyle name="Note 3 3 37 6" xfId="39847" xr:uid="{00000000-0005-0000-0000-0000A59B0000}"/>
    <cellStyle name="Note 3 3 37 7" xfId="39848" xr:uid="{00000000-0005-0000-0000-0000A69B0000}"/>
    <cellStyle name="Note 3 3 38" xfId="39849" xr:uid="{00000000-0005-0000-0000-0000A79B0000}"/>
    <cellStyle name="Note 3 3 38 2" xfId="39850" xr:uid="{00000000-0005-0000-0000-0000A89B0000}"/>
    <cellStyle name="Note 3 3 38 2 2" xfId="39851" xr:uid="{00000000-0005-0000-0000-0000A99B0000}"/>
    <cellStyle name="Note 3 3 38 2 3" xfId="39852" xr:uid="{00000000-0005-0000-0000-0000AA9B0000}"/>
    <cellStyle name="Note 3 3 38 2 4" xfId="39853" xr:uid="{00000000-0005-0000-0000-0000AB9B0000}"/>
    <cellStyle name="Note 3 3 38 2 5" xfId="39854" xr:uid="{00000000-0005-0000-0000-0000AC9B0000}"/>
    <cellStyle name="Note 3 3 38 2 6" xfId="39855" xr:uid="{00000000-0005-0000-0000-0000AD9B0000}"/>
    <cellStyle name="Note 3 3 38 3" xfId="39856" xr:uid="{00000000-0005-0000-0000-0000AE9B0000}"/>
    <cellStyle name="Note 3 3 38 4" xfId="39857" xr:uid="{00000000-0005-0000-0000-0000AF9B0000}"/>
    <cellStyle name="Note 3 3 38 5" xfId="39858" xr:uid="{00000000-0005-0000-0000-0000B09B0000}"/>
    <cellStyle name="Note 3 3 38 6" xfId="39859" xr:uid="{00000000-0005-0000-0000-0000B19B0000}"/>
    <cellStyle name="Note 3 3 38 7" xfId="39860" xr:uid="{00000000-0005-0000-0000-0000B29B0000}"/>
    <cellStyle name="Note 3 3 39" xfId="39861" xr:uid="{00000000-0005-0000-0000-0000B39B0000}"/>
    <cellStyle name="Note 3 3 39 2" xfId="39862" xr:uid="{00000000-0005-0000-0000-0000B49B0000}"/>
    <cellStyle name="Note 3 3 39 2 2" xfId="39863" xr:uid="{00000000-0005-0000-0000-0000B59B0000}"/>
    <cellStyle name="Note 3 3 39 2 3" xfId="39864" xr:uid="{00000000-0005-0000-0000-0000B69B0000}"/>
    <cellStyle name="Note 3 3 39 2 4" xfId="39865" xr:uid="{00000000-0005-0000-0000-0000B79B0000}"/>
    <cellStyle name="Note 3 3 39 2 5" xfId="39866" xr:uid="{00000000-0005-0000-0000-0000B89B0000}"/>
    <cellStyle name="Note 3 3 39 2 6" xfId="39867" xr:uid="{00000000-0005-0000-0000-0000B99B0000}"/>
    <cellStyle name="Note 3 3 39 3" xfId="39868" xr:uid="{00000000-0005-0000-0000-0000BA9B0000}"/>
    <cellStyle name="Note 3 3 39 4" xfId="39869" xr:uid="{00000000-0005-0000-0000-0000BB9B0000}"/>
    <cellStyle name="Note 3 3 39 5" xfId="39870" xr:uid="{00000000-0005-0000-0000-0000BC9B0000}"/>
    <cellStyle name="Note 3 3 39 6" xfId="39871" xr:uid="{00000000-0005-0000-0000-0000BD9B0000}"/>
    <cellStyle name="Note 3 3 39 7" xfId="39872" xr:uid="{00000000-0005-0000-0000-0000BE9B0000}"/>
    <cellStyle name="Note 3 3 4" xfId="39873" xr:uid="{00000000-0005-0000-0000-0000BF9B0000}"/>
    <cellStyle name="Note 3 3 4 2" xfId="39874" xr:uid="{00000000-0005-0000-0000-0000C09B0000}"/>
    <cellStyle name="Note 3 3 4 2 2" xfId="39875" xr:uid="{00000000-0005-0000-0000-0000C19B0000}"/>
    <cellStyle name="Note 3 3 4 2 3" xfId="39876" xr:uid="{00000000-0005-0000-0000-0000C29B0000}"/>
    <cellStyle name="Note 3 3 4 2 4" xfId="39877" xr:uid="{00000000-0005-0000-0000-0000C39B0000}"/>
    <cellStyle name="Note 3 3 4 2 5" xfId="39878" xr:uid="{00000000-0005-0000-0000-0000C49B0000}"/>
    <cellStyle name="Note 3 3 4 2 6" xfId="39879" xr:uid="{00000000-0005-0000-0000-0000C59B0000}"/>
    <cellStyle name="Note 3 3 4 3" xfId="39880" xr:uid="{00000000-0005-0000-0000-0000C69B0000}"/>
    <cellStyle name="Note 3 3 4 3 2" xfId="39881" xr:uid="{00000000-0005-0000-0000-0000C79B0000}"/>
    <cellStyle name="Note 3 3 4 3 3" xfId="39882" xr:uid="{00000000-0005-0000-0000-0000C89B0000}"/>
    <cellStyle name="Note 3 3 4 3 4" xfId="39883" xr:uid="{00000000-0005-0000-0000-0000C99B0000}"/>
    <cellStyle name="Note 3 3 4 3 5" xfId="39884" xr:uid="{00000000-0005-0000-0000-0000CA9B0000}"/>
    <cellStyle name="Note 3 3 4 3 6" xfId="39885" xr:uid="{00000000-0005-0000-0000-0000CB9B0000}"/>
    <cellStyle name="Note 3 3 4 4" xfId="39886" xr:uid="{00000000-0005-0000-0000-0000CC9B0000}"/>
    <cellStyle name="Note 3 3 4 5" xfId="39887" xr:uid="{00000000-0005-0000-0000-0000CD9B0000}"/>
    <cellStyle name="Note 3 3 4 6" xfId="39888" xr:uid="{00000000-0005-0000-0000-0000CE9B0000}"/>
    <cellStyle name="Note 3 3 4 7" xfId="39889" xr:uid="{00000000-0005-0000-0000-0000CF9B0000}"/>
    <cellStyle name="Note 3 3 4 8" xfId="39890" xr:uid="{00000000-0005-0000-0000-0000D09B0000}"/>
    <cellStyle name="Note 3 3 40" xfId="39891" xr:uid="{00000000-0005-0000-0000-0000D19B0000}"/>
    <cellStyle name="Note 3 3 40 2" xfId="39892" xr:uid="{00000000-0005-0000-0000-0000D29B0000}"/>
    <cellStyle name="Note 3 3 40 2 2" xfId="39893" xr:uid="{00000000-0005-0000-0000-0000D39B0000}"/>
    <cellStyle name="Note 3 3 40 2 3" xfId="39894" xr:uid="{00000000-0005-0000-0000-0000D49B0000}"/>
    <cellStyle name="Note 3 3 40 2 4" xfId="39895" xr:uid="{00000000-0005-0000-0000-0000D59B0000}"/>
    <cellStyle name="Note 3 3 40 2 5" xfId="39896" xr:uid="{00000000-0005-0000-0000-0000D69B0000}"/>
    <cellStyle name="Note 3 3 40 2 6" xfId="39897" xr:uid="{00000000-0005-0000-0000-0000D79B0000}"/>
    <cellStyle name="Note 3 3 40 3" xfId="39898" xr:uid="{00000000-0005-0000-0000-0000D89B0000}"/>
    <cellStyle name="Note 3 3 40 4" xfId="39899" xr:uid="{00000000-0005-0000-0000-0000D99B0000}"/>
    <cellStyle name="Note 3 3 40 5" xfId="39900" xr:uid="{00000000-0005-0000-0000-0000DA9B0000}"/>
    <cellStyle name="Note 3 3 40 6" xfId="39901" xr:uid="{00000000-0005-0000-0000-0000DB9B0000}"/>
    <cellStyle name="Note 3 3 40 7" xfId="39902" xr:uid="{00000000-0005-0000-0000-0000DC9B0000}"/>
    <cellStyle name="Note 3 3 41" xfId="39903" xr:uid="{00000000-0005-0000-0000-0000DD9B0000}"/>
    <cellStyle name="Note 3 3 41 2" xfId="39904" xr:uid="{00000000-0005-0000-0000-0000DE9B0000}"/>
    <cellStyle name="Note 3 3 41 2 2" xfId="39905" xr:uid="{00000000-0005-0000-0000-0000DF9B0000}"/>
    <cellStyle name="Note 3 3 41 2 3" xfId="39906" xr:uid="{00000000-0005-0000-0000-0000E09B0000}"/>
    <cellStyle name="Note 3 3 41 2 4" xfId="39907" xr:uid="{00000000-0005-0000-0000-0000E19B0000}"/>
    <cellStyle name="Note 3 3 41 2 5" xfId="39908" xr:uid="{00000000-0005-0000-0000-0000E29B0000}"/>
    <cellStyle name="Note 3 3 41 2 6" xfId="39909" xr:uid="{00000000-0005-0000-0000-0000E39B0000}"/>
    <cellStyle name="Note 3 3 41 3" xfId="39910" xr:uid="{00000000-0005-0000-0000-0000E49B0000}"/>
    <cellStyle name="Note 3 3 41 4" xfId="39911" xr:uid="{00000000-0005-0000-0000-0000E59B0000}"/>
    <cellStyle name="Note 3 3 41 5" xfId="39912" xr:uid="{00000000-0005-0000-0000-0000E69B0000}"/>
    <cellStyle name="Note 3 3 41 6" xfId="39913" xr:uid="{00000000-0005-0000-0000-0000E79B0000}"/>
    <cellStyle name="Note 3 3 41 7" xfId="39914" xr:uid="{00000000-0005-0000-0000-0000E89B0000}"/>
    <cellStyle name="Note 3 3 42" xfId="39915" xr:uid="{00000000-0005-0000-0000-0000E99B0000}"/>
    <cellStyle name="Note 3 3 42 2" xfId="39916" xr:uid="{00000000-0005-0000-0000-0000EA9B0000}"/>
    <cellStyle name="Note 3 3 42 3" xfId="39917" xr:uid="{00000000-0005-0000-0000-0000EB9B0000}"/>
    <cellStyle name="Note 3 3 42 4" xfId="39918" xr:uid="{00000000-0005-0000-0000-0000EC9B0000}"/>
    <cellStyle name="Note 3 3 42 5" xfId="39919" xr:uid="{00000000-0005-0000-0000-0000ED9B0000}"/>
    <cellStyle name="Note 3 3 42 6" xfId="39920" xr:uid="{00000000-0005-0000-0000-0000EE9B0000}"/>
    <cellStyle name="Note 3 3 43" xfId="39921" xr:uid="{00000000-0005-0000-0000-0000EF9B0000}"/>
    <cellStyle name="Note 3 3 43 2" xfId="39922" xr:uid="{00000000-0005-0000-0000-0000F09B0000}"/>
    <cellStyle name="Note 3 3 43 3" xfId="39923" xr:uid="{00000000-0005-0000-0000-0000F19B0000}"/>
    <cellStyle name="Note 3 3 43 4" xfId="39924" xr:uid="{00000000-0005-0000-0000-0000F29B0000}"/>
    <cellStyle name="Note 3 3 43 5" xfId="39925" xr:uid="{00000000-0005-0000-0000-0000F39B0000}"/>
    <cellStyle name="Note 3 3 43 6" xfId="39926" xr:uid="{00000000-0005-0000-0000-0000F49B0000}"/>
    <cellStyle name="Note 3 3 44" xfId="39927" xr:uid="{00000000-0005-0000-0000-0000F59B0000}"/>
    <cellStyle name="Note 3 3 45" xfId="39928" xr:uid="{00000000-0005-0000-0000-0000F69B0000}"/>
    <cellStyle name="Note 3 3 46" xfId="39929" xr:uid="{00000000-0005-0000-0000-0000F79B0000}"/>
    <cellStyle name="Note 3 3 47" xfId="39930" xr:uid="{00000000-0005-0000-0000-0000F89B0000}"/>
    <cellStyle name="Note 3 3 5" xfId="39931" xr:uid="{00000000-0005-0000-0000-0000F99B0000}"/>
    <cellStyle name="Note 3 3 5 2" xfId="39932" xr:uid="{00000000-0005-0000-0000-0000FA9B0000}"/>
    <cellStyle name="Note 3 3 5 2 2" xfId="39933" xr:uid="{00000000-0005-0000-0000-0000FB9B0000}"/>
    <cellStyle name="Note 3 3 5 2 3" xfId="39934" xr:uid="{00000000-0005-0000-0000-0000FC9B0000}"/>
    <cellStyle name="Note 3 3 5 2 4" xfId="39935" xr:uid="{00000000-0005-0000-0000-0000FD9B0000}"/>
    <cellStyle name="Note 3 3 5 2 5" xfId="39936" xr:uid="{00000000-0005-0000-0000-0000FE9B0000}"/>
    <cellStyle name="Note 3 3 5 2 6" xfId="39937" xr:uid="{00000000-0005-0000-0000-0000FF9B0000}"/>
    <cellStyle name="Note 3 3 5 3" xfId="39938" xr:uid="{00000000-0005-0000-0000-0000009C0000}"/>
    <cellStyle name="Note 3 3 5 4" xfId="39939" xr:uid="{00000000-0005-0000-0000-0000019C0000}"/>
    <cellStyle name="Note 3 3 5 5" xfId="39940" xr:uid="{00000000-0005-0000-0000-0000029C0000}"/>
    <cellStyle name="Note 3 3 5 6" xfId="39941" xr:uid="{00000000-0005-0000-0000-0000039C0000}"/>
    <cellStyle name="Note 3 3 5 7" xfId="39942" xr:uid="{00000000-0005-0000-0000-0000049C0000}"/>
    <cellStyle name="Note 3 3 6" xfId="39943" xr:uid="{00000000-0005-0000-0000-0000059C0000}"/>
    <cellStyle name="Note 3 3 6 2" xfId="39944" xr:uid="{00000000-0005-0000-0000-0000069C0000}"/>
    <cellStyle name="Note 3 3 6 2 2" xfId="39945" xr:uid="{00000000-0005-0000-0000-0000079C0000}"/>
    <cellStyle name="Note 3 3 6 2 3" xfId="39946" xr:uid="{00000000-0005-0000-0000-0000089C0000}"/>
    <cellStyle name="Note 3 3 6 2 4" xfId="39947" xr:uid="{00000000-0005-0000-0000-0000099C0000}"/>
    <cellStyle name="Note 3 3 6 2 5" xfId="39948" xr:uid="{00000000-0005-0000-0000-00000A9C0000}"/>
    <cellStyle name="Note 3 3 6 2 6" xfId="39949" xr:uid="{00000000-0005-0000-0000-00000B9C0000}"/>
    <cellStyle name="Note 3 3 6 3" xfId="39950" xr:uid="{00000000-0005-0000-0000-00000C9C0000}"/>
    <cellStyle name="Note 3 3 6 4" xfId="39951" xr:uid="{00000000-0005-0000-0000-00000D9C0000}"/>
    <cellStyle name="Note 3 3 6 5" xfId="39952" xr:uid="{00000000-0005-0000-0000-00000E9C0000}"/>
    <cellStyle name="Note 3 3 6 6" xfId="39953" xr:uid="{00000000-0005-0000-0000-00000F9C0000}"/>
    <cellStyle name="Note 3 3 6 7" xfId="39954" xr:uid="{00000000-0005-0000-0000-0000109C0000}"/>
    <cellStyle name="Note 3 3 7" xfId="39955" xr:uid="{00000000-0005-0000-0000-0000119C0000}"/>
    <cellStyle name="Note 3 3 7 2" xfId="39956" xr:uid="{00000000-0005-0000-0000-0000129C0000}"/>
    <cellStyle name="Note 3 3 7 2 2" xfId="39957" xr:uid="{00000000-0005-0000-0000-0000139C0000}"/>
    <cellStyle name="Note 3 3 7 2 3" xfId="39958" xr:uid="{00000000-0005-0000-0000-0000149C0000}"/>
    <cellStyle name="Note 3 3 7 2 4" xfId="39959" xr:uid="{00000000-0005-0000-0000-0000159C0000}"/>
    <cellStyle name="Note 3 3 7 2 5" xfId="39960" xr:uid="{00000000-0005-0000-0000-0000169C0000}"/>
    <cellStyle name="Note 3 3 7 2 6" xfId="39961" xr:uid="{00000000-0005-0000-0000-0000179C0000}"/>
    <cellStyle name="Note 3 3 7 3" xfId="39962" xr:uid="{00000000-0005-0000-0000-0000189C0000}"/>
    <cellStyle name="Note 3 3 7 4" xfId="39963" xr:uid="{00000000-0005-0000-0000-0000199C0000}"/>
    <cellStyle name="Note 3 3 7 5" xfId="39964" xr:uid="{00000000-0005-0000-0000-00001A9C0000}"/>
    <cellStyle name="Note 3 3 7 6" xfId="39965" xr:uid="{00000000-0005-0000-0000-00001B9C0000}"/>
    <cellStyle name="Note 3 3 7 7" xfId="39966" xr:uid="{00000000-0005-0000-0000-00001C9C0000}"/>
    <cellStyle name="Note 3 3 8" xfId="39967" xr:uid="{00000000-0005-0000-0000-00001D9C0000}"/>
    <cellStyle name="Note 3 3 8 2" xfId="39968" xr:uid="{00000000-0005-0000-0000-00001E9C0000}"/>
    <cellStyle name="Note 3 3 8 2 2" xfId="39969" xr:uid="{00000000-0005-0000-0000-00001F9C0000}"/>
    <cellStyle name="Note 3 3 8 2 3" xfId="39970" xr:uid="{00000000-0005-0000-0000-0000209C0000}"/>
    <cellStyle name="Note 3 3 8 2 4" xfId="39971" xr:uid="{00000000-0005-0000-0000-0000219C0000}"/>
    <cellStyle name="Note 3 3 8 2 5" xfId="39972" xr:uid="{00000000-0005-0000-0000-0000229C0000}"/>
    <cellStyle name="Note 3 3 8 2 6" xfId="39973" xr:uid="{00000000-0005-0000-0000-0000239C0000}"/>
    <cellStyle name="Note 3 3 8 3" xfId="39974" xr:uid="{00000000-0005-0000-0000-0000249C0000}"/>
    <cellStyle name="Note 3 3 8 4" xfId="39975" xr:uid="{00000000-0005-0000-0000-0000259C0000}"/>
    <cellStyle name="Note 3 3 8 5" xfId="39976" xr:uid="{00000000-0005-0000-0000-0000269C0000}"/>
    <cellStyle name="Note 3 3 8 6" xfId="39977" xr:uid="{00000000-0005-0000-0000-0000279C0000}"/>
    <cellStyle name="Note 3 3 8 7" xfId="39978" xr:uid="{00000000-0005-0000-0000-0000289C0000}"/>
    <cellStyle name="Note 3 3 9" xfId="39979" xr:uid="{00000000-0005-0000-0000-0000299C0000}"/>
    <cellStyle name="Note 3 3 9 2" xfId="39980" xr:uid="{00000000-0005-0000-0000-00002A9C0000}"/>
    <cellStyle name="Note 3 3 9 2 2" xfId="39981" xr:uid="{00000000-0005-0000-0000-00002B9C0000}"/>
    <cellStyle name="Note 3 3 9 2 3" xfId="39982" xr:uid="{00000000-0005-0000-0000-00002C9C0000}"/>
    <cellStyle name="Note 3 3 9 2 4" xfId="39983" xr:uid="{00000000-0005-0000-0000-00002D9C0000}"/>
    <cellStyle name="Note 3 3 9 2 5" xfId="39984" xr:uid="{00000000-0005-0000-0000-00002E9C0000}"/>
    <cellStyle name="Note 3 3 9 2 6" xfId="39985" xr:uid="{00000000-0005-0000-0000-00002F9C0000}"/>
    <cellStyle name="Note 3 3 9 3" xfId="39986" xr:uid="{00000000-0005-0000-0000-0000309C0000}"/>
    <cellStyle name="Note 3 3 9 4" xfId="39987" xr:uid="{00000000-0005-0000-0000-0000319C0000}"/>
    <cellStyle name="Note 3 3 9 5" xfId="39988" xr:uid="{00000000-0005-0000-0000-0000329C0000}"/>
    <cellStyle name="Note 3 3 9 6" xfId="39989" xr:uid="{00000000-0005-0000-0000-0000339C0000}"/>
    <cellStyle name="Note 3 3 9 7" xfId="39990" xr:uid="{00000000-0005-0000-0000-0000349C0000}"/>
    <cellStyle name="Note 3 30" xfId="39991" xr:uid="{00000000-0005-0000-0000-0000359C0000}"/>
    <cellStyle name="Note 3 30 2" xfId="39992" xr:uid="{00000000-0005-0000-0000-0000369C0000}"/>
    <cellStyle name="Note 3 30 2 2" xfId="39993" xr:uid="{00000000-0005-0000-0000-0000379C0000}"/>
    <cellStyle name="Note 3 30 2 3" xfId="39994" xr:uid="{00000000-0005-0000-0000-0000389C0000}"/>
    <cellStyle name="Note 3 30 2 4" xfId="39995" xr:uid="{00000000-0005-0000-0000-0000399C0000}"/>
    <cellStyle name="Note 3 30 2 5" xfId="39996" xr:uid="{00000000-0005-0000-0000-00003A9C0000}"/>
    <cellStyle name="Note 3 30 2 6" xfId="39997" xr:uid="{00000000-0005-0000-0000-00003B9C0000}"/>
    <cellStyle name="Note 3 30 3" xfId="39998" xr:uid="{00000000-0005-0000-0000-00003C9C0000}"/>
    <cellStyle name="Note 3 30 4" xfId="39999" xr:uid="{00000000-0005-0000-0000-00003D9C0000}"/>
    <cellStyle name="Note 3 30 5" xfId="40000" xr:uid="{00000000-0005-0000-0000-00003E9C0000}"/>
    <cellStyle name="Note 3 30 6" xfId="40001" xr:uid="{00000000-0005-0000-0000-00003F9C0000}"/>
    <cellStyle name="Note 3 30 7" xfId="40002" xr:uid="{00000000-0005-0000-0000-0000409C0000}"/>
    <cellStyle name="Note 3 31" xfId="40003" xr:uid="{00000000-0005-0000-0000-0000419C0000}"/>
    <cellStyle name="Note 3 31 2" xfId="40004" xr:uid="{00000000-0005-0000-0000-0000429C0000}"/>
    <cellStyle name="Note 3 31 2 2" xfId="40005" xr:uid="{00000000-0005-0000-0000-0000439C0000}"/>
    <cellStyle name="Note 3 31 2 3" xfId="40006" xr:uid="{00000000-0005-0000-0000-0000449C0000}"/>
    <cellStyle name="Note 3 31 2 4" xfId="40007" xr:uid="{00000000-0005-0000-0000-0000459C0000}"/>
    <cellStyle name="Note 3 31 2 5" xfId="40008" xr:uid="{00000000-0005-0000-0000-0000469C0000}"/>
    <cellStyle name="Note 3 31 2 6" xfId="40009" xr:uid="{00000000-0005-0000-0000-0000479C0000}"/>
    <cellStyle name="Note 3 31 3" xfId="40010" xr:uid="{00000000-0005-0000-0000-0000489C0000}"/>
    <cellStyle name="Note 3 31 4" xfId="40011" xr:uid="{00000000-0005-0000-0000-0000499C0000}"/>
    <cellStyle name="Note 3 31 5" xfId="40012" xr:uid="{00000000-0005-0000-0000-00004A9C0000}"/>
    <cellStyle name="Note 3 31 6" xfId="40013" xr:uid="{00000000-0005-0000-0000-00004B9C0000}"/>
    <cellStyle name="Note 3 31 7" xfId="40014" xr:uid="{00000000-0005-0000-0000-00004C9C0000}"/>
    <cellStyle name="Note 3 32" xfId="40015" xr:uid="{00000000-0005-0000-0000-00004D9C0000}"/>
    <cellStyle name="Note 3 32 2" xfId="40016" xr:uid="{00000000-0005-0000-0000-00004E9C0000}"/>
    <cellStyle name="Note 3 32 2 2" xfId="40017" xr:uid="{00000000-0005-0000-0000-00004F9C0000}"/>
    <cellStyle name="Note 3 32 2 3" xfId="40018" xr:uid="{00000000-0005-0000-0000-0000509C0000}"/>
    <cellStyle name="Note 3 32 2 4" xfId="40019" xr:uid="{00000000-0005-0000-0000-0000519C0000}"/>
    <cellStyle name="Note 3 32 2 5" xfId="40020" xr:uid="{00000000-0005-0000-0000-0000529C0000}"/>
    <cellStyle name="Note 3 32 2 6" xfId="40021" xr:uid="{00000000-0005-0000-0000-0000539C0000}"/>
    <cellStyle name="Note 3 32 3" xfId="40022" xr:uid="{00000000-0005-0000-0000-0000549C0000}"/>
    <cellStyle name="Note 3 32 4" xfId="40023" xr:uid="{00000000-0005-0000-0000-0000559C0000}"/>
    <cellStyle name="Note 3 32 5" xfId="40024" xr:uid="{00000000-0005-0000-0000-0000569C0000}"/>
    <cellStyle name="Note 3 32 6" xfId="40025" xr:uid="{00000000-0005-0000-0000-0000579C0000}"/>
    <cellStyle name="Note 3 32 7" xfId="40026" xr:uid="{00000000-0005-0000-0000-0000589C0000}"/>
    <cellStyle name="Note 3 33" xfId="40027" xr:uid="{00000000-0005-0000-0000-0000599C0000}"/>
    <cellStyle name="Note 3 33 2" xfId="40028" xr:uid="{00000000-0005-0000-0000-00005A9C0000}"/>
    <cellStyle name="Note 3 33 2 2" xfId="40029" xr:uid="{00000000-0005-0000-0000-00005B9C0000}"/>
    <cellStyle name="Note 3 33 2 3" xfId="40030" xr:uid="{00000000-0005-0000-0000-00005C9C0000}"/>
    <cellStyle name="Note 3 33 2 4" xfId="40031" xr:uid="{00000000-0005-0000-0000-00005D9C0000}"/>
    <cellStyle name="Note 3 33 2 5" xfId="40032" xr:uid="{00000000-0005-0000-0000-00005E9C0000}"/>
    <cellStyle name="Note 3 33 2 6" xfId="40033" xr:uid="{00000000-0005-0000-0000-00005F9C0000}"/>
    <cellStyle name="Note 3 33 3" xfId="40034" xr:uid="{00000000-0005-0000-0000-0000609C0000}"/>
    <cellStyle name="Note 3 33 4" xfId="40035" xr:uid="{00000000-0005-0000-0000-0000619C0000}"/>
    <cellStyle name="Note 3 33 5" xfId="40036" xr:uid="{00000000-0005-0000-0000-0000629C0000}"/>
    <cellStyle name="Note 3 33 6" xfId="40037" xr:uid="{00000000-0005-0000-0000-0000639C0000}"/>
    <cellStyle name="Note 3 33 7" xfId="40038" xr:uid="{00000000-0005-0000-0000-0000649C0000}"/>
    <cellStyle name="Note 3 34" xfId="40039" xr:uid="{00000000-0005-0000-0000-0000659C0000}"/>
    <cellStyle name="Note 3 34 2" xfId="40040" xr:uid="{00000000-0005-0000-0000-0000669C0000}"/>
    <cellStyle name="Note 3 34 2 2" xfId="40041" xr:uid="{00000000-0005-0000-0000-0000679C0000}"/>
    <cellStyle name="Note 3 34 2 3" xfId="40042" xr:uid="{00000000-0005-0000-0000-0000689C0000}"/>
    <cellStyle name="Note 3 34 2 4" xfId="40043" xr:uid="{00000000-0005-0000-0000-0000699C0000}"/>
    <cellStyle name="Note 3 34 2 5" xfId="40044" xr:uid="{00000000-0005-0000-0000-00006A9C0000}"/>
    <cellStyle name="Note 3 34 2 6" xfId="40045" xr:uid="{00000000-0005-0000-0000-00006B9C0000}"/>
    <cellStyle name="Note 3 34 3" xfId="40046" xr:uid="{00000000-0005-0000-0000-00006C9C0000}"/>
    <cellStyle name="Note 3 34 4" xfId="40047" xr:uid="{00000000-0005-0000-0000-00006D9C0000}"/>
    <cellStyle name="Note 3 34 5" xfId="40048" xr:uid="{00000000-0005-0000-0000-00006E9C0000}"/>
    <cellStyle name="Note 3 34 6" xfId="40049" xr:uid="{00000000-0005-0000-0000-00006F9C0000}"/>
    <cellStyle name="Note 3 34 7" xfId="40050" xr:uid="{00000000-0005-0000-0000-0000709C0000}"/>
    <cellStyle name="Note 3 35" xfId="40051" xr:uid="{00000000-0005-0000-0000-0000719C0000}"/>
    <cellStyle name="Note 3 35 2" xfId="40052" xr:uid="{00000000-0005-0000-0000-0000729C0000}"/>
    <cellStyle name="Note 3 35 2 2" xfId="40053" xr:uid="{00000000-0005-0000-0000-0000739C0000}"/>
    <cellStyle name="Note 3 35 2 3" xfId="40054" xr:uid="{00000000-0005-0000-0000-0000749C0000}"/>
    <cellStyle name="Note 3 35 2 4" xfId="40055" xr:uid="{00000000-0005-0000-0000-0000759C0000}"/>
    <cellStyle name="Note 3 35 2 5" xfId="40056" xr:uid="{00000000-0005-0000-0000-0000769C0000}"/>
    <cellStyle name="Note 3 35 2 6" xfId="40057" xr:uid="{00000000-0005-0000-0000-0000779C0000}"/>
    <cellStyle name="Note 3 35 3" xfId="40058" xr:uid="{00000000-0005-0000-0000-0000789C0000}"/>
    <cellStyle name="Note 3 35 4" xfId="40059" xr:uid="{00000000-0005-0000-0000-0000799C0000}"/>
    <cellStyle name="Note 3 35 5" xfId="40060" xr:uid="{00000000-0005-0000-0000-00007A9C0000}"/>
    <cellStyle name="Note 3 35 6" xfId="40061" xr:uid="{00000000-0005-0000-0000-00007B9C0000}"/>
    <cellStyle name="Note 3 35 7" xfId="40062" xr:uid="{00000000-0005-0000-0000-00007C9C0000}"/>
    <cellStyle name="Note 3 36" xfId="40063" xr:uid="{00000000-0005-0000-0000-00007D9C0000}"/>
    <cellStyle name="Note 3 36 2" xfId="40064" xr:uid="{00000000-0005-0000-0000-00007E9C0000}"/>
    <cellStyle name="Note 3 36 2 2" xfId="40065" xr:uid="{00000000-0005-0000-0000-00007F9C0000}"/>
    <cellStyle name="Note 3 36 2 3" xfId="40066" xr:uid="{00000000-0005-0000-0000-0000809C0000}"/>
    <cellStyle name="Note 3 36 2 4" xfId="40067" xr:uid="{00000000-0005-0000-0000-0000819C0000}"/>
    <cellStyle name="Note 3 36 2 5" xfId="40068" xr:uid="{00000000-0005-0000-0000-0000829C0000}"/>
    <cellStyle name="Note 3 36 2 6" xfId="40069" xr:uid="{00000000-0005-0000-0000-0000839C0000}"/>
    <cellStyle name="Note 3 36 3" xfId="40070" xr:uid="{00000000-0005-0000-0000-0000849C0000}"/>
    <cellStyle name="Note 3 36 4" xfId="40071" xr:uid="{00000000-0005-0000-0000-0000859C0000}"/>
    <cellStyle name="Note 3 36 5" xfId="40072" xr:uid="{00000000-0005-0000-0000-0000869C0000}"/>
    <cellStyle name="Note 3 36 6" xfId="40073" xr:uid="{00000000-0005-0000-0000-0000879C0000}"/>
    <cellStyle name="Note 3 36 7" xfId="40074" xr:uid="{00000000-0005-0000-0000-0000889C0000}"/>
    <cellStyle name="Note 3 37" xfId="40075" xr:uid="{00000000-0005-0000-0000-0000899C0000}"/>
    <cellStyle name="Note 3 37 2" xfId="40076" xr:uid="{00000000-0005-0000-0000-00008A9C0000}"/>
    <cellStyle name="Note 3 37 2 2" xfId="40077" xr:uid="{00000000-0005-0000-0000-00008B9C0000}"/>
    <cellStyle name="Note 3 37 2 3" xfId="40078" xr:uid="{00000000-0005-0000-0000-00008C9C0000}"/>
    <cellStyle name="Note 3 37 2 4" xfId="40079" xr:uid="{00000000-0005-0000-0000-00008D9C0000}"/>
    <cellStyle name="Note 3 37 2 5" xfId="40080" xr:uid="{00000000-0005-0000-0000-00008E9C0000}"/>
    <cellStyle name="Note 3 37 2 6" xfId="40081" xr:uid="{00000000-0005-0000-0000-00008F9C0000}"/>
    <cellStyle name="Note 3 37 3" xfId="40082" xr:uid="{00000000-0005-0000-0000-0000909C0000}"/>
    <cellStyle name="Note 3 37 4" xfId="40083" xr:uid="{00000000-0005-0000-0000-0000919C0000}"/>
    <cellStyle name="Note 3 37 5" xfId="40084" xr:uid="{00000000-0005-0000-0000-0000929C0000}"/>
    <cellStyle name="Note 3 37 6" xfId="40085" xr:uid="{00000000-0005-0000-0000-0000939C0000}"/>
    <cellStyle name="Note 3 37 7" xfId="40086" xr:uid="{00000000-0005-0000-0000-0000949C0000}"/>
    <cellStyle name="Note 3 38" xfId="40087" xr:uid="{00000000-0005-0000-0000-0000959C0000}"/>
    <cellStyle name="Note 3 38 2" xfId="40088" xr:uid="{00000000-0005-0000-0000-0000969C0000}"/>
    <cellStyle name="Note 3 38 2 2" xfId="40089" xr:uid="{00000000-0005-0000-0000-0000979C0000}"/>
    <cellStyle name="Note 3 38 2 3" xfId="40090" xr:uid="{00000000-0005-0000-0000-0000989C0000}"/>
    <cellStyle name="Note 3 38 2 4" xfId="40091" xr:uid="{00000000-0005-0000-0000-0000999C0000}"/>
    <cellStyle name="Note 3 38 2 5" xfId="40092" xr:uid="{00000000-0005-0000-0000-00009A9C0000}"/>
    <cellStyle name="Note 3 38 2 6" xfId="40093" xr:uid="{00000000-0005-0000-0000-00009B9C0000}"/>
    <cellStyle name="Note 3 38 3" xfId="40094" xr:uid="{00000000-0005-0000-0000-00009C9C0000}"/>
    <cellStyle name="Note 3 38 4" xfId="40095" xr:uid="{00000000-0005-0000-0000-00009D9C0000}"/>
    <cellStyle name="Note 3 38 5" xfId="40096" xr:uid="{00000000-0005-0000-0000-00009E9C0000}"/>
    <cellStyle name="Note 3 38 6" xfId="40097" xr:uid="{00000000-0005-0000-0000-00009F9C0000}"/>
    <cellStyle name="Note 3 38 7" xfId="40098" xr:uid="{00000000-0005-0000-0000-0000A09C0000}"/>
    <cellStyle name="Note 3 39" xfId="40099" xr:uid="{00000000-0005-0000-0000-0000A19C0000}"/>
    <cellStyle name="Note 3 39 2" xfId="40100" xr:uid="{00000000-0005-0000-0000-0000A29C0000}"/>
    <cellStyle name="Note 3 39 2 2" xfId="40101" xr:uid="{00000000-0005-0000-0000-0000A39C0000}"/>
    <cellStyle name="Note 3 39 2 3" xfId="40102" xr:uid="{00000000-0005-0000-0000-0000A49C0000}"/>
    <cellStyle name="Note 3 39 2 4" xfId="40103" xr:uid="{00000000-0005-0000-0000-0000A59C0000}"/>
    <cellStyle name="Note 3 39 2 5" xfId="40104" xr:uid="{00000000-0005-0000-0000-0000A69C0000}"/>
    <cellStyle name="Note 3 39 2 6" xfId="40105" xr:uid="{00000000-0005-0000-0000-0000A79C0000}"/>
    <cellStyle name="Note 3 39 3" xfId="40106" xr:uid="{00000000-0005-0000-0000-0000A89C0000}"/>
    <cellStyle name="Note 3 39 4" xfId="40107" xr:uid="{00000000-0005-0000-0000-0000A99C0000}"/>
    <cellStyle name="Note 3 39 5" xfId="40108" xr:uid="{00000000-0005-0000-0000-0000AA9C0000}"/>
    <cellStyle name="Note 3 39 6" xfId="40109" xr:uid="{00000000-0005-0000-0000-0000AB9C0000}"/>
    <cellStyle name="Note 3 39 7" xfId="40110" xr:uid="{00000000-0005-0000-0000-0000AC9C0000}"/>
    <cellStyle name="Note 3 4" xfId="40111" xr:uid="{00000000-0005-0000-0000-0000AD9C0000}"/>
    <cellStyle name="Note 3 4 2" xfId="40112" xr:uid="{00000000-0005-0000-0000-0000AE9C0000}"/>
    <cellStyle name="Note 3 4 2 2" xfId="40113" xr:uid="{00000000-0005-0000-0000-0000AF9C0000}"/>
    <cellStyle name="Note 3 4 2 2 2" xfId="40114" xr:uid="{00000000-0005-0000-0000-0000B09C0000}"/>
    <cellStyle name="Note 3 4 2 2 3" xfId="40115" xr:uid="{00000000-0005-0000-0000-0000B19C0000}"/>
    <cellStyle name="Note 3 4 2 2 4" xfId="40116" xr:uid="{00000000-0005-0000-0000-0000B29C0000}"/>
    <cellStyle name="Note 3 4 2 2 5" xfId="40117" xr:uid="{00000000-0005-0000-0000-0000B39C0000}"/>
    <cellStyle name="Note 3 4 2 2 6" xfId="40118" xr:uid="{00000000-0005-0000-0000-0000B49C0000}"/>
    <cellStyle name="Note 3 4 2 3" xfId="40119" xr:uid="{00000000-0005-0000-0000-0000B59C0000}"/>
    <cellStyle name="Note 3 4 2 3 2" xfId="40120" xr:uid="{00000000-0005-0000-0000-0000B69C0000}"/>
    <cellStyle name="Note 3 4 2 3 3" xfId="40121" xr:uid="{00000000-0005-0000-0000-0000B79C0000}"/>
    <cellStyle name="Note 3 4 2 3 4" xfId="40122" xr:uid="{00000000-0005-0000-0000-0000B89C0000}"/>
    <cellStyle name="Note 3 4 2 3 5" xfId="40123" xr:uid="{00000000-0005-0000-0000-0000B99C0000}"/>
    <cellStyle name="Note 3 4 2 3 6" xfId="40124" xr:uid="{00000000-0005-0000-0000-0000BA9C0000}"/>
    <cellStyle name="Note 3 4 2 4" xfId="40125" xr:uid="{00000000-0005-0000-0000-0000BB9C0000}"/>
    <cellStyle name="Note 3 4 2 5" xfId="40126" xr:uid="{00000000-0005-0000-0000-0000BC9C0000}"/>
    <cellStyle name="Note 3 4 2 6" xfId="40127" xr:uid="{00000000-0005-0000-0000-0000BD9C0000}"/>
    <cellStyle name="Note 3 4 2 7" xfId="40128" xr:uid="{00000000-0005-0000-0000-0000BE9C0000}"/>
    <cellStyle name="Note 3 4 3" xfId="40129" xr:uid="{00000000-0005-0000-0000-0000BF9C0000}"/>
    <cellStyle name="Note 3 4 3 2" xfId="40130" xr:uid="{00000000-0005-0000-0000-0000C09C0000}"/>
    <cellStyle name="Note 3 4 3 2 2" xfId="40131" xr:uid="{00000000-0005-0000-0000-0000C19C0000}"/>
    <cellStyle name="Note 3 4 3 2 3" xfId="40132" xr:uid="{00000000-0005-0000-0000-0000C29C0000}"/>
    <cellStyle name="Note 3 4 3 2 4" xfId="40133" xr:uid="{00000000-0005-0000-0000-0000C39C0000}"/>
    <cellStyle name="Note 3 4 3 2 5" xfId="40134" xr:uid="{00000000-0005-0000-0000-0000C49C0000}"/>
    <cellStyle name="Note 3 4 3 2 6" xfId="40135" xr:uid="{00000000-0005-0000-0000-0000C59C0000}"/>
    <cellStyle name="Note 3 4 3 3" xfId="40136" xr:uid="{00000000-0005-0000-0000-0000C69C0000}"/>
    <cellStyle name="Note 3 4 3 4" xfId="40137" xr:uid="{00000000-0005-0000-0000-0000C79C0000}"/>
    <cellStyle name="Note 3 4 3 5" xfId="40138" xr:uid="{00000000-0005-0000-0000-0000C89C0000}"/>
    <cellStyle name="Note 3 4 3 6" xfId="40139" xr:uid="{00000000-0005-0000-0000-0000C99C0000}"/>
    <cellStyle name="Note 3 4 4" xfId="40140" xr:uid="{00000000-0005-0000-0000-0000CA9C0000}"/>
    <cellStyle name="Note 3 4 4 2" xfId="40141" xr:uid="{00000000-0005-0000-0000-0000CB9C0000}"/>
    <cellStyle name="Note 3 4 4 3" xfId="40142" xr:uid="{00000000-0005-0000-0000-0000CC9C0000}"/>
    <cellStyle name="Note 3 4 4 4" xfId="40143" xr:uid="{00000000-0005-0000-0000-0000CD9C0000}"/>
    <cellStyle name="Note 3 4 4 5" xfId="40144" xr:uid="{00000000-0005-0000-0000-0000CE9C0000}"/>
    <cellStyle name="Note 3 4 4 6" xfId="40145" xr:uid="{00000000-0005-0000-0000-0000CF9C0000}"/>
    <cellStyle name="Note 3 4 5" xfId="40146" xr:uid="{00000000-0005-0000-0000-0000D09C0000}"/>
    <cellStyle name="Note 3 4 5 2" xfId="40147" xr:uid="{00000000-0005-0000-0000-0000D19C0000}"/>
    <cellStyle name="Note 3 4 5 3" xfId="40148" xr:uid="{00000000-0005-0000-0000-0000D29C0000}"/>
    <cellStyle name="Note 3 4 5 4" xfId="40149" xr:uid="{00000000-0005-0000-0000-0000D39C0000}"/>
    <cellStyle name="Note 3 4 5 5" xfId="40150" xr:uid="{00000000-0005-0000-0000-0000D49C0000}"/>
    <cellStyle name="Note 3 4 5 6" xfId="40151" xr:uid="{00000000-0005-0000-0000-0000D59C0000}"/>
    <cellStyle name="Note 3 4 6" xfId="40152" xr:uid="{00000000-0005-0000-0000-0000D69C0000}"/>
    <cellStyle name="Note 3 4 7" xfId="40153" xr:uid="{00000000-0005-0000-0000-0000D79C0000}"/>
    <cellStyle name="Note 3 4 8" xfId="40154" xr:uid="{00000000-0005-0000-0000-0000D89C0000}"/>
    <cellStyle name="Note 3 4 9" xfId="40155" xr:uid="{00000000-0005-0000-0000-0000D99C0000}"/>
    <cellStyle name="Note 3 40" xfId="40156" xr:uid="{00000000-0005-0000-0000-0000DA9C0000}"/>
    <cellStyle name="Note 3 40 2" xfId="40157" xr:uid="{00000000-0005-0000-0000-0000DB9C0000}"/>
    <cellStyle name="Note 3 40 2 2" xfId="40158" xr:uid="{00000000-0005-0000-0000-0000DC9C0000}"/>
    <cellStyle name="Note 3 40 2 3" xfId="40159" xr:uid="{00000000-0005-0000-0000-0000DD9C0000}"/>
    <cellStyle name="Note 3 40 2 4" xfId="40160" xr:uid="{00000000-0005-0000-0000-0000DE9C0000}"/>
    <cellStyle name="Note 3 40 2 5" xfId="40161" xr:uid="{00000000-0005-0000-0000-0000DF9C0000}"/>
    <cellStyle name="Note 3 40 2 6" xfId="40162" xr:uid="{00000000-0005-0000-0000-0000E09C0000}"/>
    <cellStyle name="Note 3 40 3" xfId="40163" xr:uid="{00000000-0005-0000-0000-0000E19C0000}"/>
    <cellStyle name="Note 3 40 4" xfId="40164" xr:uid="{00000000-0005-0000-0000-0000E29C0000}"/>
    <cellStyle name="Note 3 40 5" xfId="40165" xr:uid="{00000000-0005-0000-0000-0000E39C0000}"/>
    <cellStyle name="Note 3 40 6" xfId="40166" xr:uid="{00000000-0005-0000-0000-0000E49C0000}"/>
    <cellStyle name="Note 3 40 7" xfId="40167" xr:uid="{00000000-0005-0000-0000-0000E59C0000}"/>
    <cellStyle name="Note 3 41" xfId="40168" xr:uid="{00000000-0005-0000-0000-0000E69C0000}"/>
    <cellStyle name="Note 3 41 2" xfId="40169" xr:uid="{00000000-0005-0000-0000-0000E79C0000}"/>
    <cellStyle name="Note 3 41 2 2" xfId="40170" xr:uid="{00000000-0005-0000-0000-0000E89C0000}"/>
    <cellStyle name="Note 3 41 2 3" xfId="40171" xr:uid="{00000000-0005-0000-0000-0000E99C0000}"/>
    <cellStyle name="Note 3 41 2 4" xfId="40172" xr:uid="{00000000-0005-0000-0000-0000EA9C0000}"/>
    <cellStyle name="Note 3 41 2 5" xfId="40173" xr:uid="{00000000-0005-0000-0000-0000EB9C0000}"/>
    <cellStyle name="Note 3 41 2 6" xfId="40174" xr:uid="{00000000-0005-0000-0000-0000EC9C0000}"/>
    <cellStyle name="Note 3 41 3" xfId="40175" xr:uid="{00000000-0005-0000-0000-0000ED9C0000}"/>
    <cellStyle name="Note 3 41 4" xfId="40176" xr:uid="{00000000-0005-0000-0000-0000EE9C0000}"/>
    <cellStyle name="Note 3 41 5" xfId="40177" xr:uid="{00000000-0005-0000-0000-0000EF9C0000}"/>
    <cellStyle name="Note 3 41 6" xfId="40178" xr:uid="{00000000-0005-0000-0000-0000F09C0000}"/>
    <cellStyle name="Note 3 41 7" xfId="40179" xr:uid="{00000000-0005-0000-0000-0000F19C0000}"/>
    <cellStyle name="Note 3 42" xfId="40180" xr:uid="{00000000-0005-0000-0000-0000F29C0000}"/>
    <cellStyle name="Note 3 42 2" xfId="40181" xr:uid="{00000000-0005-0000-0000-0000F39C0000}"/>
    <cellStyle name="Note 3 42 2 2" xfId="40182" xr:uid="{00000000-0005-0000-0000-0000F49C0000}"/>
    <cellStyle name="Note 3 42 2 3" xfId="40183" xr:uid="{00000000-0005-0000-0000-0000F59C0000}"/>
    <cellStyle name="Note 3 42 2 4" xfId="40184" xr:uid="{00000000-0005-0000-0000-0000F69C0000}"/>
    <cellStyle name="Note 3 42 2 5" xfId="40185" xr:uid="{00000000-0005-0000-0000-0000F79C0000}"/>
    <cellStyle name="Note 3 42 2 6" xfId="40186" xr:uid="{00000000-0005-0000-0000-0000F89C0000}"/>
    <cellStyle name="Note 3 42 3" xfId="40187" xr:uid="{00000000-0005-0000-0000-0000F99C0000}"/>
    <cellStyle name="Note 3 42 4" xfId="40188" xr:uid="{00000000-0005-0000-0000-0000FA9C0000}"/>
    <cellStyle name="Note 3 42 5" xfId="40189" xr:uid="{00000000-0005-0000-0000-0000FB9C0000}"/>
    <cellStyle name="Note 3 42 6" xfId="40190" xr:uid="{00000000-0005-0000-0000-0000FC9C0000}"/>
    <cellStyle name="Note 3 42 7" xfId="40191" xr:uid="{00000000-0005-0000-0000-0000FD9C0000}"/>
    <cellStyle name="Note 3 43" xfId="40192" xr:uid="{00000000-0005-0000-0000-0000FE9C0000}"/>
    <cellStyle name="Note 3 43 2" xfId="40193" xr:uid="{00000000-0005-0000-0000-0000FF9C0000}"/>
    <cellStyle name="Note 3 43 2 2" xfId="40194" xr:uid="{00000000-0005-0000-0000-0000009D0000}"/>
    <cellStyle name="Note 3 43 2 3" xfId="40195" xr:uid="{00000000-0005-0000-0000-0000019D0000}"/>
    <cellStyle name="Note 3 43 2 4" xfId="40196" xr:uid="{00000000-0005-0000-0000-0000029D0000}"/>
    <cellStyle name="Note 3 43 2 5" xfId="40197" xr:uid="{00000000-0005-0000-0000-0000039D0000}"/>
    <cellStyle name="Note 3 43 2 6" xfId="40198" xr:uid="{00000000-0005-0000-0000-0000049D0000}"/>
    <cellStyle name="Note 3 43 3" xfId="40199" xr:uid="{00000000-0005-0000-0000-0000059D0000}"/>
    <cellStyle name="Note 3 43 4" xfId="40200" xr:uid="{00000000-0005-0000-0000-0000069D0000}"/>
    <cellStyle name="Note 3 43 5" xfId="40201" xr:uid="{00000000-0005-0000-0000-0000079D0000}"/>
    <cellStyle name="Note 3 43 6" xfId="40202" xr:uid="{00000000-0005-0000-0000-0000089D0000}"/>
    <cellStyle name="Note 3 43 7" xfId="40203" xr:uid="{00000000-0005-0000-0000-0000099D0000}"/>
    <cellStyle name="Note 3 44" xfId="40204" xr:uid="{00000000-0005-0000-0000-00000A9D0000}"/>
    <cellStyle name="Note 3 44 2" xfId="40205" xr:uid="{00000000-0005-0000-0000-00000B9D0000}"/>
    <cellStyle name="Note 3 44 3" xfId="40206" xr:uid="{00000000-0005-0000-0000-00000C9D0000}"/>
    <cellStyle name="Note 3 44 4" xfId="40207" xr:uid="{00000000-0005-0000-0000-00000D9D0000}"/>
    <cellStyle name="Note 3 44 5" xfId="40208" xr:uid="{00000000-0005-0000-0000-00000E9D0000}"/>
    <cellStyle name="Note 3 44 6" xfId="40209" xr:uid="{00000000-0005-0000-0000-00000F9D0000}"/>
    <cellStyle name="Note 3 45" xfId="40210" xr:uid="{00000000-0005-0000-0000-0000109D0000}"/>
    <cellStyle name="Note 3 45 2" xfId="40211" xr:uid="{00000000-0005-0000-0000-0000119D0000}"/>
    <cellStyle name="Note 3 45 3" xfId="40212" xr:uid="{00000000-0005-0000-0000-0000129D0000}"/>
    <cellStyle name="Note 3 45 4" xfId="40213" xr:uid="{00000000-0005-0000-0000-0000139D0000}"/>
    <cellStyle name="Note 3 45 5" xfId="40214" xr:uid="{00000000-0005-0000-0000-0000149D0000}"/>
    <cellStyle name="Note 3 45 6" xfId="40215" xr:uid="{00000000-0005-0000-0000-0000159D0000}"/>
    <cellStyle name="Note 3 46" xfId="40216" xr:uid="{00000000-0005-0000-0000-0000169D0000}"/>
    <cellStyle name="Note 3 47" xfId="40217" xr:uid="{00000000-0005-0000-0000-0000179D0000}"/>
    <cellStyle name="Note 3 48" xfId="40218" xr:uid="{00000000-0005-0000-0000-0000189D0000}"/>
    <cellStyle name="Note 3 49" xfId="40219" xr:uid="{00000000-0005-0000-0000-0000199D0000}"/>
    <cellStyle name="Note 3 5" xfId="40220" xr:uid="{00000000-0005-0000-0000-00001A9D0000}"/>
    <cellStyle name="Note 3 5 2" xfId="40221" xr:uid="{00000000-0005-0000-0000-00001B9D0000}"/>
    <cellStyle name="Note 3 5 2 2" xfId="40222" xr:uid="{00000000-0005-0000-0000-00001C9D0000}"/>
    <cellStyle name="Note 3 5 2 3" xfId="40223" xr:uid="{00000000-0005-0000-0000-00001D9D0000}"/>
    <cellStyle name="Note 3 5 2 4" xfId="40224" xr:uid="{00000000-0005-0000-0000-00001E9D0000}"/>
    <cellStyle name="Note 3 5 2 5" xfId="40225" xr:uid="{00000000-0005-0000-0000-00001F9D0000}"/>
    <cellStyle name="Note 3 5 2 6" xfId="40226" xr:uid="{00000000-0005-0000-0000-0000209D0000}"/>
    <cellStyle name="Note 3 5 3" xfId="40227" xr:uid="{00000000-0005-0000-0000-0000219D0000}"/>
    <cellStyle name="Note 3 5 3 2" xfId="40228" xr:uid="{00000000-0005-0000-0000-0000229D0000}"/>
    <cellStyle name="Note 3 5 3 3" xfId="40229" xr:uid="{00000000-0005-0000-0000-0000239D0000}"/>
    <cellStyle name="Note 3 5 3 4" xfId="40230" xr:uid="{00000000-0005-0000-0000-0000249D0000}"/>
    <cellStyle name="Note 3 5 3 5" xfId="40231" xr:uid="{00000000-0005-0000-0000-0000259D0000}"/>
    <cellStyle name="Note 3 5 3 6" xfId="40232" xr:uid="{00000000-0005-0000-0000-0000269D0000}"/>
    <cellStyle name="Note 3 5 4" xfId="40233" xr:uid="{00000000-0005-0000-0000-0000279D0000}"/>
    <cellStyle name="Note 3 5 5" xfId="40234" xr:uid="{00000000-0005-0000-0000-0000289D0000}"/>
    <cellStyle name="Note 3 5 6" xfId="40235" xr:uid="{00000000-0005-0000-0000-0000299D0000}"/>
    <cellStyle name="Note 3 5 7" xfId="40236" xr:uid="{00000000-0005-0000-0000-00002A9D0000}"/>
    <cellStyle name="Note 3 5 8" xfId="40237" xr:uid="{00000000-0005-0000-0000-00002B9D0000}"/>
    <cellStyle name="Note 3 6" xfId="40238" xr:uid="{00000000-0005-0000-0000-00002C9D0000}"/>
    <cellStyle name="Note 3 6 2" xfId="40239" xr:uid="{00000000-0005-0000-0000-00002D9D0000}"/>
    <cellStyle name="Note 3 6 2 2" xfId="40240" xr:uid="{00000000-0005-0000-0000-00002E9D0000}"/>
    <cellStyle name="Note 3 6 2 3" xfId="40241" xr:uid="{00000000-0005-0000-0000-00002F9D0000}"/>
    <cellStyle name="Note 3 6 2 4" xfId="40242" xr:uid="{00000000-0005-0000-0000-0000309D0000}"/>
    <cellStyle name="Note 3 6 2 5" xfId="40243" xr:uid="{00000000-0005-0000-0000-0000319D0000}"/>
    <cellStyle name="Note 3 6 2 6" xfId="40244" xr:uid="{00000000-0005-0000-0000-0000329D0000}"/>
    <cellStyle name="Note 3 6 3" xfId="40245" xr:uid="{00000000-0005-0000-0000-0000339D0000}"/>
    <cellStyle name="Note 3 6 4" xfId="40246" xr:uid="{00000000-0005-0000-0000-0000349D0000}"/>
    <cellStyle name="Note 3 6 5" xfId="40247" xr:uid="{00000000-0005-0000-0000-0000359D0000}"/>
    <cellStyle name="Note 3 6 6" xfId="40248" xr:uid="{00000000-0005-0000-0000-0000369D0000}"/>
    <cellStyle name="Note 3 6 7" xfId="40249" xr:uid="{00000000-0005-0000-0000-0000379D0000}"/>
    <cellStyle name="Note 3 7" xfId="40250" xr:uid="{00000000-0005-0000-0000-0000389D0000}"/>
    <cellStyle name="Note 3 7 2" xfId="40251" xr:uid="{00000000-0005-0000-0000-0000399D0000}"/>
    <cellStyle name="Note 3 7 2 2" xfId="40252" xr:uid="{00000000-0005-0000-0000-00003A9D0000}"/>
    <cellStyle name="Note 3 7 2 3" xfId="40253" xr:uid="{00000000-0005-0000-0000-00003B9D0000}"/>
    <cellStyle name="Note 3 7 2 4" xfId="40254" xr:uid="{00000000-0005-0000-0000-00003C9D0000}"/>
    <cellStyle name="Note 3 7 2 5" xfId="40255" xr:uid="{00000000-0005-0000-0000-00003D9D0000}"/>
    <cellStyle name="Note 3 7 2 6" xfId="40256" xr:uid="{00000000-0005-0000-0000-00003E9D0000}"/>
    <cellStyle name="Note 3 7 3" xfId="40257" xr:uid="{00000000-0005-0000-0000-00003F9D0000}"/>
    <cellStyle name="Note 3 7 4" xfId="40258" xr:uid="{00000000-0005-0000-0000-0000409D0000}"/>
    <cellStyle name="Note 3 7 5" xfId="40259" xr:uid="{00000000-0005-0000-0000-0000419D0000}"/>
    <cellStyle name="Note 3 7 6" xfId="40260" xr:uid="{00000000-0005-0000-0000-0000429D0000}"/>
    <cellStyle name="Note 3 7 7" xfId="40261" xr:uid="{00000000-0005-0000-0000-0000439D0000}"/>
    <cellStyle name="Note 3 8" xfId="40262" xr:uid="{00000000-0005-0000-0000-0000449D0000}"/>
    <cellStyle name="Note 3 8 2" xfId="40263" xr:uid="{00000000-0005-0000-0000-0000459D0000}"/>
    <cellStyle name="Note 3 8 2 2" xfId="40264" xr:uid="{00000000-0005-0000-0000-0000469D0000}"/>
    <cellStyle name="Note 3 8 2 3" xfId="40265" xr:uid="{00000000-0005-0000-0000-0000479D0000}"/>
    <cellStyle name="Note 3 8 2 4" xfId="40266" xr:uid="{00000000-0005-0000-0000-0000489D0000}"/>
    <cellStyle name="Note 3 8 2 5" xfId="40267" xr:uid="{00000000-0005-0000-0000-0000499D0000}"/>
    <cellStyle name="Note 3 8 2 6" xfId="40268" xr:uid="{00000000-0005-0000-0000-00004A9D0000}"/>
    <cellStyle name="Note 3 8 3" xfId="40269" xr:uid="{00000000-0005-0000-0000-00004B9D0000}"/>
    <cellStyle name="Note 3 8 4" xfId="40270" xr:uid="{00000000-0005-0000-0000-00004C9D0000}"/>
    <cellStyle name="Note 3 8 5" xfId="40271" xr:uid="{00000000-0005-0000-0000-00004D9D0000}"/>
    <cellStyle name="Note 3 8 6" xfId="40272" xr:uid="{00000000-0005-0000-0000-00004E9D0000}"/>
    <cellStyle name="Note 3 8 7" xfId="40273" xr:uid="{00000000-0005-0000-0000-00004F9D0000}"/>
    <cellStyle name="Note 3 9" xfId="40274" xr:uid="{00000000-0005-0000-0000-0000509D0000}"/>
    <cellStyle name="Note 3 9 2" xfId="40275" xr:uid="{00000000-0005-0000-0000-0000519D0000}"/>
    <cellStyle name="Note 3 9 2 2" xfId="40276" xr:uid="{00000000-0005-0000-0000-0000529D0000}"/>
    <cellStyle name="Note 3 9 2 3" xfId="40277" xr:uid="{00000000-0005-0000-0000-0000539D0000}"/>
    <cellStyle name="Note 3 9 2 4" xfId="40278" xr:uid="{00000000-0005-0000-0000-0000549D0000}"/>
    <cellStyle name="Note 3 9 2 5" xfId="40279" xr:uid="{00000000-0005-0000-0000-0000559D0000}"/>
    <cellStyle name="Note 3 9 2 6" xfId="40280" xr:uid="{00000000-0005-0000-0000-0000569D0000}"/>
    <cellStyle name="Note 3 9 3" xfId="40281" xr:uid="{00000000-0005-0000-0000-0000579D0000}"/>
    <cellStyle name="Note 3 9 4" xfId="40282" xr:uid="{00000000-0005-0000-0000-0000589D0000}"/>
    <cellStyle name="Note 3 9 5" xfId="40283" xr:uid="{00000000-0005-0000-0000-0000599D0000}"/>
    <cellStyle name="Note 3 9 6" xfId="40284" xr:uid="{00000000-0005-0000-0000-00005A9D0000}"/>
    <cellStyle name="Note 3 9 7" xfId="40285" xr:uid="{00000000-0005-0000-0000-00005B9D0000}"/>
    <cellStyle name="Note 4" xfId="40286" xr:uid="{00000000-0005-0000-0000-00005C9D0000}"/>
    <cellStyle name="Note 4 2" xfId="40287" xr:uid="{00000000-0005-0000-0000-00005D9D0000}"/>
    <cellStyle name="Note 4 2 10" xfId="40288" xr:uid="{00000000-0005-0000-0000-00005E9D0000}"/>
    <cellStyle name="Note 4 2 10 2" xfId="40289" xr:uid="{00000000-0005-0000-0000-00005F9D0000}"/>
    <cellStyle name="Note 4 2 10 3" xfId="40290" xr:uid="{00000000-0005-0000-0000-0000609D0000}"/>
    <cellStyle name="Note 4 2 10 4" xfId="40291" xr:uid="{00000000-0005-0000-0000-0000619D0000}"/>
    <cellStyle name="Note 4 2 10 5" xfId="40292" xr:uid="{00000000-0005-0000-0000-0000629D0000}"/>
    <cellStyle name="Note 4 2 10 6" xfId="40293" xr:uid="{00000000-0005-0000-0000-0000639D0000}"/>
    <cellStyle name="Note 4 2 11" xfId="40294" xr:uid="{00000000-0005-0000-0000-0000649D0000}"/>
    <cellStyle name="Note 4 2 12" xfId="40295" xr:uid="{00000000-0005-0000-0000-0000659D0000}"/>
    <cellStyle name="Note 4 2 13" xfId="40296" xr:uid="{00000000-0005-0000-0000-0000669D0000}"/>
    <cellStyle name="Note 4 2 14" xfId="40297" xr:uid="{00000000-0005-0000-0000-0000679D0000}"/>
    <cellStyle name="Note 4 2 2" xfId="40298" xr:uid="{00000000-0005-0000-0000-0000689D0000}"/>
    <cellStyle name="Note 4 2 2 10" xfId="40299" xr:uid="{00000000-0005-0000-0000-0000699D0000}"/>
    <cellStyle name="Note 4 2 2 11" xfId="40300" xr:uid="{00000000-0005-0000-0000-00006A9D0000}"/>
    <cellStyle name="Note 4 2 2 12" xfId="40301" xr:uid="{00000000-0005-0000-0000-00006B9D0000}"/>
    <cellStyle name="Note 4 2 2 2" xfId="40302" xr:uid="{00000000-0005-0000-0000-00006C9D0000}"/>
    <cellStyle name="Note 4 2 2 2 2" xfId="40303" xr:uid="{00000000-0005-0000-0000-00006D9D0000}"/>
    <cellStyle name="Note 4 2 2 2 2 2" xfId="40304" xr:uid="{00000000-0005-0000-0000-00006E9D0000}"/>
    <cellStyle name="Note 4 2 2 2 2 2 2" xfId="40305" xr:uid="{00000000-0005-0000-0000-00006F9D0000}"/>
    <cellStyle name="Note 4 2 2 2 2 2 3" xfId="40306" xr:uid="{00000000-0005-0000-0000-0000709D0000}"/>
    <cellStyle name="Note 4 2 2 2 2 2 4" xfId="40307" xr:uid="{00000000-0005-0000-0000-0000719D0000}"/>
    <cellStyle name="Note 4 2 2 2 2 2 5" xfId="40308" xr:uid="{00000000-0005-0000-0000-0000729D0000}"/>
    <cellStyle name="Note 4 2 2 2 2 2 6" xfId="40309" xr:uid="{00000000-0005-0000-0000-0000739D0000}"/>
    <cellStyle name="Note 4 2 2 2 2 3" xfId="40310" xr:uid="{00000000-0005-0000-0000-0000749D0000}"/>
    <cellStyle name="Note 4 2 2 2 2 4" xfId="40311" xr:uid="{00000000-0005-0000-0000-0000759D0000}"/>
    <cellStyle name="Note 4 2 2 2 2 5" xfId="40312" xr:uid="{00000000-0005-0000-0000-0000769D0000}"/>
    <cellStyle name="Note 4 2 2 2 2 6" xfId="40313" xr:uid="{00000000-0005-0000-0000-0000779D0000}"/>
    <cellStyle name="Note 4 2 2 2 3" xfId="40314" xr:uid="{00000000-0005-0000-0000-0000789D0000}"/>
    <cellStyle name="Note 4 2 2 2 3 2" xfId="40315" xr:uid="{00000000-0005-0000-0000-0000799D0000}"/>
    <cellStyle name="Note 4 2 2 2 3 2 2" xfId="40316" xr:uid="{00000000-0005-0000-0000-00007A9D0000}"/>
    <cellStyle name="Note 4 2 2 2 3 2 3" xfId="40317" xr:uid="{00000000-0005-0000-0000-00007B9D0000}"/>
    <cellStyle name="Note 4 2 2 2 3 2 4" xfId="40318" xr:uid="{00000000-0005-0000-0000-00007C9D0000}"/>
    <cellStyle name="Note 4 2 2 2 3 2 5" xfId="40319" xr:uid="{00000000-0005-0000-0000-00007D9D0000}"/>
    <cellStyle name="Note 4 2 2 2 3 2 6" xfId="40320" xr:uid="{00000000-0005-0000-0000-00007E9D0000}"/>
    <cellStyle name="Note 4 2 2 2 3 3" xfId="40321" xr:uid="{00000000-0005-0000-0000-00007F9D0000}"/>
    <cellStyle name="Note 4 2 2 2 3 4" xfId="40322" xr:uid="{00000000-0005-0000-0000-0000809D0000}"/>
    <cellStyle name="Note 4 2 2 2 3 5" xfId="40323" xr:uid="{00000000-0005-0000-0000-0000819D0000}"/>
    <cellStyle name="Note 4 2 2 2 3 6" xfId="40324" xr:uid="{00000000-0005-0000-0000-0000829D0000}"/>
    <cellStyle name="Note 4 2 2 2 4" xfId="40325" xr:uid="{00000000-0005-0000-0000-0000839D0000}"/>
    <cellStyle name="Note 4 2 2 2 4 2" xfId="40326" xr:uid="{00000000-0005-0000-0000-0000849D0000}"/>
    <cellStyle name="Note 4 2 2 2 4 3" xfId="40327" xr:uid="{00000000-0005-0000-0000-0000859D0000}"/>
    <cellStyle name="Note 4 2 2 2 4 4" xfId="40328" xr:uid="{00000000-0005-0000-0000-0000869D0000}"/>
    <cellStyle name="Note 4 2 2 2 4 5" xfId="40329" xr:uid="{00000000-0005-0000-0000-0000879D0000}"/>
    <cellStyle name="Note 4 2 2 2 4 6" xfId="40330" xr:uid="{00000000-0005-0000-0000-0000889D0000}"/>
    <cellStyle name="Note 4 2 2 2 5" xfId="40331" xr:uid="{00000000-0005-0000-0000-0000899D0000}"/>
    <cellStyle name="Note 4 2 2 2 6" xfId="40332" xr:uid="{00000000-0005-0000-0000-00008A9D0000}"/>
    <cellStyle name="Note 4 2 2 2 7" xfId="40333" xr:uid="{00000000-0005-0000-0000-00008B9D0000}"/>
    <cellStyle name="Note 4 2 2 2 8" xfId="40334" xr:uid="{00000000-0005-0000-0000-00008C9D0000}"/>
    <cellStyle name="Note 4 2 2 3" xfId="40335" xr:uid="{00000000-0005-0000-0000-00008D9D0000}"/>
    <cellStyle name="Note 4 2 2 3 2" xfId="40336" xr:uid="{00000000-0005-0000-0000-00008E9D0000}"/>
    <cellStyle name="Note 4 2 2 3 2 2" xfId="40337" xr:uid="{00000000-0005-0000-0000-00008F9D0000}"/>
    <cellStyle name="Note 4 2 2 3 2 2 2" xfId="40338" xr:uid="{00000000-0005-0000-0000-0000909D0000}"/>
    <cellStyle name="Note 4 2 2 3 2 2 3" xfId="40339" xr:uid="{00000000-0005-0000-0000-0000919D0000}"/>
    <cellStyle name="Note 4 2 2 3 2 2 4" xfId="40340" xr:uid="{00000000-0005-0000-0000-0000929D0000}"/>
    <cellStyle name="Note 4 2 2 3 2 2 5" xfId="40341" xr:uid="{00000000-0005-0000-0000-0000939D0000}"/>
    <cellStyle name="Note 4 2 2 3 2 2 6" xfId="40342" xr:uid="{00000000-0005-0000-0000-0000949D0000}"/>
    <cellStyle name="Note 4 2 2 3 2 3" xfId="40343" xr:uid="{00000000-0005-0000-0000-0000959D0000}"/>
    <cellStyle name="Note 4 2 2 3 2 4" xfId="40344" xr:uid="{00000000-0005-0000-0000-0000969D0000}"/>
    <cellStyle name="Note 4 2 2 3 2 5" xfId="40345" xr:uid="{00000000-0005-0000-0000-0000979D0000}"/>
    <cellStyle name="Note 4 2 2 3 2 6" xfId="40346" xr:uid="{00000000-0005-0000-0000-0000989D0000}"/>
    <cellStyle name="Note 4 2 2 3 3" xfId="40347" xr:uid="{00000000-0005-0000-0000-0000999D0000}"/>
    <cellStyle name="Note 4 2 2 3 3 2" xfId="40348" xr:uid="{00000000-0005-0000-0000-00009A9D0000}"/>
    <cellStyle name="Note 4 2 2 3 3 2 2" xfId="40349" xr:uid="{00000000-0005-0000-0000-00009B9D0000}"/>
    <cellStyle name="Note 4 2 2 3 3 2 3" xfId="40350" xr:uid="{00000000-0005-0000-0000-00009C9D0000}"/>
    <cellStyle name="Note 4 2 2 3 3 2 4" xfId="40351" xr:uid="{00000000-0005-0000-0000-00009D9D0000}"/>
    <cellStyle name="Note 4 2 2 3 3 2 5" xfId="40352" xr:uid="{00000000-0005-0000-0000-00009E9D0000}"/>
    <cellStyle name="Note 4 2 2 3 3 2 6" xfId="40353" xr:uid="{00000000-0005-0000-0000-00009F9D0000}"/>
    <cellStyle name="Note 4 2 2 3 3 3" xfId="40354" xr:uid="{00000000-0005-0000-0000-0000A09D0000}"/>
    <cellStyle name="Note 4 2 2 3 3 4" xfId="40355" xr:uid="{00000000-0005-0000-0000-0000A19D0000}"/>
    <cellStyle name="Note 4 2 2 3 3 5" xfId="40356" xr:uid="{00000000-0005-0000-0000-0000A29D0000}"/>
    <cellStyle name="Note 4 2 2 3 3 6" xfId="40357" xr:uid="{00000000-0005-0000-0000-0000A39D0000}"/>
    <cellStyle name="Note 4 2 2 3 4" xfId="40358" xr:uid="{00000000-0005-0000-0000-0000A49D0000}"/>
    <cellStyle name="Note 4 2 2 3 4 2" xfId="40359" xr:uid="{00000000-0005-0000-0000-0000A59D0000}"/>
    <cellStyle name="Note 4 2 2 3 4 3" xfId="40360" xr:uid="{00000000-0005-0000-0000-0000A69D0000}"/>
    <cellStyle name="Note 4 2 2 3 4 4" xfId="40361" xr:uid="{00000000-0005-0000-0000-0000A79D0000}"/>
    <cellStyle name="Note 4 2 2 3 4 5" xfId="40362" xr:uid="{00000000-0005-0000-0000-0000A89D0000}"/>
    <cellStyle name="Note 4 2 2 3 4 6" xfId="40363" xr:uid="{00000000-0005-0000-0000-0000A99D0000}"/>
    <cellStyle name="Note 4 2 2 3 5" xfId="40364" xr:uid="{00000000-0005-0000-0000-0000AA9D0000}"/>
    <cellStyle name="Note 4 2 2 3 6" xfId="40365" xr:uid="{00000000-0005-0000-0000-0000AB9D0000}"/>
    <cellStyle name="Note 4 2 2 3 7" xfId="40366" xr:uid="{00000000-0005-0000-0000-0000AC9D0000}"/>
    <cellStyle name="Note 4 2 2 3 8" xfId="40367" xr:uid="{00000000-0005-0000-0000-0000AD9D0000}"/>
    <cellStyle name="Note 4 2 2 4" xfId="40368" xr:uid="{00000000-0005-0000-0000-0000AE9D0000}"/>
    <cellStyle name="Note 4 2 2 4 2" xfId="40369" xr:uid="{00000000-0005-0000-0000-0000AF9D0000}"/>
    <cellStyle name="Note 4 2 2 4 2 2" xfId="40370" xr:uid="{00000000-0005-0000-0000-0000B09D0000}"/>
    <cellStyle name="Note 4 2 2 4 2 2 2" xfId="40371" xr:uid="{00000000-0005-0000-0000-0000B19D0000}"/>
    <cellStyle name="Note 4 2 2 4 2 2 3" xfId="40372" xr:uid="{00000000-0005-0000-0000-0000B29D0000}"/>
    <cellStyle name="Note 4 2 2 4 2 2 4" xfId="40373" xr:uid="{00000000-0005-0000-0000-0000B39D0000}"/>
    <cellStyle name="Note 4 2 2 4 2 2 5" xfId="40374" xr:uid="{00000000-0005-0000-0000-0000B49D0000}"/>
    <cellStyle name="Note 4 2 2 4 2 2 6" xfId="40375" xr:uid="{00000000-0005-0000-0000-0000B59D0000}"/>
    <cellStyle name="Note 4 2 2 4 2 3" xfId="40376" xr:uid="{00000000-0005-0000-0000-0000B69D0000}"/>
    <cellStyle name="Note 4 2 2 4 2 4" xfId="40377" xr:uid="{00000000-0005-0000-0000-0000B79D0000}"/>
    <cellStyle name="Note 4 2 2 4 2 5" xfId="40378" xr:uid="{00000000-0005-0000-0000-0000B89D0000}"/>
    <cellStyle name="Note 4 2 2 4 2 6" xfId="40379" xr:uid="{00000000-0005-0000-0000-0000B99D0000}"/>
    <cellStyle name="Note 4 2 2 4 3" xfId="40380" xr:uid="{00000000-0005-0000-0000-0000BA9D0000}"/>
    <cellStyle name="Note 4 2 2 4 3 2" xfId="40381" xr:uid="{00000000-0005-0000-0000-0000BB9D0000}"/>
    <cellStyle name="Note 4 2 2 4 3 2 2" xfId="40382" xr:uid="{00000000-0005-0000-0000-0000BC9D0000}"/>
    <cellStyle name="Note 4 2 2 4 3 2 3" xfId="40383" xr:uid="{00000000-0005-0000-0000-0000BD9D0000}"/>
    <cellStyle name="Note 4 2 2 4 3 2 4" xfId="40384" xr:uid="{00000000-0005-0000-0000-0000BE9D0000}"/>
    <cellStyle name="Note 4 2 2 4 3 2 5" xfId="40385" xr:uid="{00000000-0005-0000-0000-0000BF9D0000}"/>
    <cellStyle name="Note 4 2 2 4 3 2 6" xfId="40386" xr:uid="{00000000-0005-0000-0000-0000C09D0000}"/>
    <cellStyle name="Note 4 2 2 4 3 3" xfId="40387" xr:uid="{00000000-0005-0000-0000-0000C19D0000}"/>
    <cellStyle name="Note 4 2 2 4 3 4" xfId="40388" xr:uid="{00000000-0005-0000-0000-0000C29D0000}"/>
    <cellStyle name="Note 4 2 2 4 3 5" xfId="40389" xr:uid="{00000000-0005-0000-0000-0000C39D0000}"/>
    <cellStyle name="Note 4 2 2 4 3 6" xfId="40390" xr:uid="{00000000-0005-0000-0000-0000C49D0000}"/>
    <cellStyle name="Note 4 2 2 4 4" xfId="40391" xr:uid="{00000000-0005-0000-0000-0000C59D0000}"/>
    <cellStyle name="Note 4 2 2 4 4 2" xfId="40392" xr:uid="{00000000-0005-0000-0000-0000C69D0000}"/>
    <cellStyle name="Note 4 2 2 4 4 3" xfId="40393" xr:uid="{00000000-0005-0000-0000-0000C79D0000}"/>
    <cellStyle name="Note 4 2 2 4 4 4" xfId="40394" xr:uid="{00000000-0005-0000-0000-0000C89D0000}"/>
    <cellStyle name="Note 4 2 2 4 4 5" xfId="40395" xr:uid="{00000000-0005-0000-0000-0000C99D0000}"/>
    <cellStyle name="Note 4 2 2 4 4 6" xfId="40396" xr:uid="{00000000-0005-0000-0000-0000CA9D0000}"/>
    <cellStyle name="Note 4 2 2 4 5" xfId="40397" xr:uid="{00000000-0005-0000-0000-0000CB9D0000}"/>
    <cellStyle name="Note 4 2 2 4 6" xfId="40398" xr:uid="{00000000-0005-0000-0000-0000CC9D0000}"/>
    <cellStyle name="Note 4 2 2 4 7" xfId="40399" xr:uid="{00000000-0005-0000-0000-0000CD9D0000}"/>
    <cellStyle name="Note 4 2 2 4 8" xfId="40400" xr:uid="{00000000-0005-0000-0000-0000CE9D0000}"/>
    <cellStyle name="Note 4 2 2 5" xfId="40401" xr:uid="{00000000-0005-0000-0000-0000CF9D0000}"/>
    <cellStyle name="Note 4 2 2 5 2" xfId="40402" xr:uid="{00000000-0005-0000-0000-0000D09D0000}"/>
    <cellStyle name="Note 4 2 2 5 2 2" xfId="40403" xr:uid="{00000000-0005-0000-0000-0000D19D0000}"/>
    <cellStyle name="Note 4 2 2 5 2 2 2" xfId="40404" xr:uid="{00000000-0005-0000-0000-0000D29D0000}"/>
    <cellStyle name="Note 4 2 2 5 2 2 3" xfId="40405" xr:uid="{00000000-0005-0000-0000-0000D39D0000}"/>
    <cellStyle name="Note 4 2 2 5 2 2 4" xfId="40406" xr:uid="{00000000-0005-0000-0000-0000D49D0000}"/>
    <cellStyle name="Note 4 2 2 5 2 2 5" xfId="40407" xr:uid="{00000000-0005-0000-0000-0000D59D0000}"/>
    <cellStyle name="Note 4 2 2 5 2 2 6" xfId="40408" xr:uid="{00000000-0005-0000-0000-0000D69D0000}"/>
    <cellStyle name="Note 4 2 2 5 2 3" xfId="40409" xr:uid="{00000000-0005-0000-0000-0000D79D0000}"/>
    <cellStyle name="Note 4 2 2 5 2 4" xfId="40410" xr:uid="{00000000-0005-0000-0000-0000D89D0000}"/>
    <cellStyle name="Note 4 2 2 5 2 5" xfId="40411" xr:uid="{00000000-0005-0000-0000-0000D99D0000}"/>
    <cellStyle name="Note 4 2 2 5 2 6" xfId="40412" xr:uid="{00000000-0005-0000-0000-0000DA9D0000}"/>
    <cellStyle name="Note 4 2 2 5 3" xfId="40413" xr:uid="{00000000-0005-0000-0000-0000DB9D0000}"/>
    <cellStyle name="Note 4 2 2 5 3 2" xfId="40414" xr:uid="{00000000-0005-0000-0000-0000DC9D0000}"/>
    <cellStyle name="Note 4 2 2 5 3 2 2" xfId="40415" xr:uid="{00000000-0005-0000-0000-0000DD9D0000}"/>
    <cellStyle name="Note 4 2 2 5 3 2 3" xfId="40416" xr:uid="{00000000-0005-0000-0000-0000DE9D0000}"/>
    <cellStyle name="Note 4 2 2 5 3 2 4" xfId="40417" xr:uid="{00000000-0005-0000-0000-0000DF9D0000}"/>
    <cellStyle name="Note 4 2 2 5 3 2 5" xfId="40418" xr:uid="{00000000-0005-0000-0000-0000E09D0000}"/>
    <cellStyle name="Note 4 2 2 5 3 2 6" xfId="40419" xr:uid="{00000000-0005-0000-0000-0000E19D0000}"/>
    <cellStyle name="Note 4 2 2 5 3 3" xfId="40420" xr:uid="{00000000-0005-0000-0000-0000E29D0000}"/>
    <cellStyle name="Note 4 2 2 5 3 4" xfId="40421" xr:uid="{00000000-0005-0000-0000-0000E39D0000}"/>
    <cellStyle name="Note 4 2 2 5 3 5" xfId="40422" xr:uid="{00000000-0005-0000-0000-0000E49D0000}"/>
    <cellStyle name="Note 4 2 2 5 3 6" xfId="40423" xr:uid="{00000000-0005-0000-0000-0000E59D0000}"/>
    <cellStyle name="Note 4 2 2 5 4" xfId="40424" xr:uid="{00000000-0005-0000-0000-0000E69D0000}"/>
    <cellStyle name="Note 4 2 2 5 4 2" xfId="40425" xr:uid="{00000000-0005-0000-0000-0000E79D0000}"/>
    <cellStyle name="Note 4 2 2 5 4 3" xfId="40426" xr:uid="{00000000-0005-0000-0000-0000E89D0000}"/>
    <cellStyle name="Note 4 2 2 5 4 4" xfId="40427" xr:uid="{00000000-0005-0000-0000-0000E99D0000}"/>
    <cellStyle name="Note 4 2 2 5 4 5" xfId="40428" xr:uid="{00000000-0005-0000-0000-0000EA9D0000}"/>
    <cellStyle name="Note 4 2 2 5 4 6" xfId="40429" xr:uid="{00000000-0005-0000-0000-0000EB9D0000}"/>
    <cellStyle name="Note 4 2 2 5 5" xfId="40430" xr:uid="{00000000-0005-0000-0000-0000EC9D0000}"/>
    <cellStyle name="Note 4 2 2 5 6" xfId="40431" xr:uid="{00000000-0005-0000-0000-0000ED9D0000}"/>
    <cellStyle name="Note 4 2 2 5 7" xfId="40432" xr:uid="{00000000-0005-0000-0000-0000EE9D0000}"/>
    <cellStyle name="Note 4 2 2 5 8" xfId="40433" xr:uid="{00000000-0005-0000-0000-0000EF9D0000}"/>
    <cellStyle name="Note 4 2 2 6" xfId="40434" xr:uid="{00000000-0005-0000-0000-0000F09D0000}"/>
    <cellStyle name="Note 4 2 2 6 2" xfId="40435" xr:uid="{00000000-0005-0000-0000-0000F19D0000}"/>
    <cellStyle name="Note 4 2 2 6 2 2" xfId="40436" xr:uid="{00000000-0005-0000-0000-0000F29D0000}"/>
    <cellStyle name="Note 4 2 2 6 2 3" xfId="40437" xr:uid="{00000000-0005-0000-0000-0000F39D0000}"/>
    <cellStyle name="Note 4 2 2 6 2 4" xfId="40438" xr:uid="{00000000-0005-0000-0000-0000F49D0000}"/>
    <cellStyle name="Note 4 2 2 6 2 5" xfId="40439" xr:uid="{00000000-0005-0000-0000-0000F59D0000}"/>
    <cellStyle name="Note 4 2 2 6 2 6" xfId="40440" xr:uid="{00000000-0005-0000-0000-0000F69D0000}"/>
    <cellStyle name="Note 4 2 2 6 3" xfId="40441" xr:uid="{00000000-0005-0000-0000-0000F79D0000}"/>
    <cellStyle name="Note 4 2 2 6 4" xfId="40442" xr:uid="{00000000-0005-0000-0000-0000F89D0000}"/>
    <cellStyle name="Note 4 2 2 6 5" xfId="40443" xr:uid="{00000000-0005-0000-0000-0000F99D0000}"/>
    <cellStyle name="Note 4 2 2 6 6" xfId="40444" xr:uid="{00000000-0005-0000-0000-0000FA9D0000}"/>
    <cellStyle name="Note 4 2 2 7" xfId="40445" xr:uid="{00000000-0005-0000-0000-0000FB9D0000}"/>
    <cellStyle name="Note 4 2 2 7 2" xfId="40446" xr:uid="{00000000-0005-0000-0000-0000FC9D0000}"/>
    <cellStyle name="Note 4 2 2 7 2 2" xfId="40447" xr:uid="{00000000-0005-0000-0000-0000FD9D0000}"/>
    <cellStyle name="Note 4 2 2 7 2 3" xfId="40448" xr:uid="{00000000-0005-0000-0000-0000FE9D0000}"/>
    <cellStyle name="Note 4 2 2 7 2 4" xfId="40449" xr:uid="{00000000-0005-0000-0000-0000FF9D0000}"/>
    <cellStyle name="Note 4 2 2 7 2 5" xfId="40450" xr:uid="{00000000-0005-0000-0000-0000009E0000}"/>
    <cellStyle name="Note 4 2 2 7 2 6" xfId="40451" xr:uid="{00000000-0005-0000-0000-0000019E0000}"/>
    <cellStyle name="Note 4 2 2 7 3" xfId="40452" xr:uid="{00000000-0005-0000-0000-0000029E0000}"/>
    <cellStyle name="Note 4 2 2 7 4" xfId="40453" xr:uid="{00000000-0005-0000-0000-0000039E0000}"/>
    <cellStyle name="Note 4 2 2 7 5" xfId="40454" xr:uid="{00000000-0005-0000-0000-0000049E0000}"/>
    <cellStyle name="Note 4 2 2 7 6" xfId="40455" xr:uid="{00000000-0005-0000-0000-0000059E0000}"/>
    <cellStyle name="Note 4 2 2 8" xfId="40456" xr:uid="{00000000-0005-0000-0000-0000069E0000}"/>
    <cellStyle name="Note 4 2 2 8 2" xfId="40457" xr:uid="{00000000-0005-0000-0000-0000079E0000}"/>
    <cellStyle name="Note 4 2 2 8 3" xfId="40458" xr:uid="{00000000-0005-0000-0000-0000089E0000}"/>
    <cellStyle name="Note 4 2 2 8 4" xfId="40459" xr:uid="{00000000-0005-0000-0000-0000099E0000}"/>
    <cellStyle name="Note 4 2 2 8 5" xfId="40460" xr:uid="{00000000-0005-0000-0000-00000A9E0000}"/>
    <cellStyle name="Note 4 2 2 8 6" xfId="40461" xr:uid="{00000000-0005-0000-0000-00000B9E0000}"/>
    <cellStyle name="Note 4 2 2 9" xfId="40462" xr:uid="{00000000-0005-0000-0000-00000C9E0000}"/>
    <cellStyle name="Note 4 2 3" xfId="40463" xr:uid="{00000000-0005-0000-0000-00000D9E0000}"/>
    <cellStyle name="Note 4 2 3 2" xfId="40464" xr:uid="{00000000-0005-0000-0000-00000E9E0000}"/>
    <cellStyle name="Note 4 2 3 2 2" xfId="40465" xr:uid="{00000000-0005-0000-0000-00000F9E0000}"/>
    <cellStyle name="Note 4 2 3 2 2 2" xfId="40466" xr:uid="{00000000-0005-0000-0000-0000109E0000}"/>
    <cellStyle name="Note 4 2 3 2 2 3" xfId="40467" xr:uid="{00000000-0005-0000-0000-0000119E0000}"/>
    <cellStyle name="Note 4 2 3 2 2 4" xfId="40468" xr:uid="{00000000-0005-0000-0000-0000129E0000}"/>
    <cellStyle name="Note 4 2 3 2 2 5" xfId="40469" xr:uid="{00000000-0005-0000-0000-0000139E0000}"/>
    <cellStyle name="Note 4 2 3 2 2 6" xfId="40470" xr:uid="{00000000-0005-0000-0000-0000149E0000}"/>
    <cellStyle name="Note 4 2 3 2 3" xfId="40471" xr:uid="{00000000-0005-0000-0000-0000159E0000}"/>
    <cellStyle name="Note 4 2 3 2 4" xfId="40472" xr:uid="{00000000-0005-0000-0000-0000169E0000}"/>
    <cellStyle name="Note 4 2 3 2 5" xfId="40473" xr:uid="{00000000-0005-0000-0000-0000179E0000}"/>
    <cellStyle name="Note 4 2 3 2 6" xfId="40474" xr:uid="{00000000-0005-0000-0000-0000189E0000}"/>
    <cellStyle name="Note 4 2 3 3" xfId="40475" xr:uid="{00000000-0005-0000-0000-0000199E0000}"/>
    <cellStyle name="Note 4 2 3 3 2" xfId="40476" xr:uid="{00000000-0005-0000-0000-00001A9E0000}"/>
    <cellStyle name="Note 4 2 3 3 2 2" xfId="40477" xr:uid="{00000000-0005-0000-0000-00001B9E0000}"/>
    <cellStyle name="Note 4 2 3 3 2 3" xfId="40478" xr:uid="{00000000-0005-0000-0000-00001C9E0000}"/>
    <cellStyle name="Note 4 2 3 3 2 4" xfId="40479" xr:uid="{00000000-0005-0000-0000-00001D9E0000}"/>
    <cellStyle name="Note 4 2 3 3 2 5" xfId="40480" xr:uid="{00000000-0005-0000-0000-00001E9E0000}"/>
    <cellStyle name="Note 4 2 3 3 2 6" xfId="40481" xr:uid="{00000000-0005-0000-0000-00001F9E0000}"/>
    <cellStyle name="Note 4 2 3 3 3" xfId="40482" xr:uid="{00000000-0005-0000-0000-0000209E0000}"/>
    <cellStyle name="Note 4 2 3 3 4" xfId="40483" xr:uid="{00000000-0005-0000-0000-0000219E0000}"/>
    <cellStyle name="Note 4 2 3 3 5" xfId="40484" xr:uid="{00000000-0005-0000-0000-0000229E0000}"/>
    <cellStyle name="Note 4 2 3 3 6" xfId="40485" xr:uid="{00000000-0005-0000-0000-0000239E0000}"/>
    <cellStyle name="Note 4 2 3 4" xfId="40486" xr:uid="{00000000-0005-0000-0000-0000249E0000}"/>
    <cellStyle name="Note 4 2 3 4 2" xfId="40487" xr:uid="{00000000-0005-0000-0000-0000259E0000}"/>
    <cellStyle name="Note 4 2 3 4 3" xfId="40488" xr:uid="{00000000-0005-0000-0000-0000269E0000}"/>
    <cellStyle name="Note 4 2 3 4 4" xfId="40489" xr:uid="{00000000-0005-0000-0000-0000279E0000}"/>
    <cellStyle name="Note 4 2 3 4 5" xfId="40490" xr:uid="{00000000-0005-0000-0000-0000289E0000}"/>
    <cellStyle name="Note 4 2 3 4 6" xfId="40491" xr:uid="{00000000-0005-0000-0000-0000299E0000}"/>
    <cellStyle name="Note 4 2 3 5" xfId="40492" xr:uid="{00000000-0005-0000-0000-00002A9E0000}"/>
    <cellStyle name="Note 4 2 3 6" xfId="40493" xr:uid="{00000000-0005-0000-0000-00002B9E0000}"/>
    <cellStyle name="Note 4 2 3 7" xfId="40494" xr:uid="{00000000-0005-0000-0000-00002C9E0000}"/>
    <cellStyle name="Note 4 2 3 8" xfId="40495" xr:uid="{00000000-0005-0000-0000-00002D9E0000}"/>
    <cellStyle name="Note 4 2 4" xfId="40496" xr:uid="{00000000-0005-0000-0000-00002E9E0000}"/>
    <cellStyle name="Note 4 2 4 2" xfId="40497" xr:uid="{00000000-0005-0000-0000-00002F9E0000}"/>
    <cellStyle name="Note 4 2 4 2 2" xfId="40498" xr:uid="{00000000-0005-0000-0000-0000309E0000}"/>
    <cellStyle name="Note 4 2 4 2 2 2" xfId="40499" xr:uid="{00000000-0005-0000-0000-0000319E0000}"/>
    <cellStyle name="Note 4 2 4 2 2 3" xfId="40500" xr:uid="{00000000-0005-0000-0000-0000329E0000}"/>
    <cellStyle name="Note 4 2 4 2 2 4" xfId="40501" xr:uid="{00000000-0005-0000-0000-0000339E0000}"/>
    <cellStyle name="Note 4 2 4 2 2 5" xfId="40502" xr:uid="{00000000-0005-0000-0000-0000349E0000}"/>
    <cellStyle name="Note 4 2 4 2 2 6" xfId="40503" xr:uid="{00000000-0005-0000-0000-0000359E0000}"/>
    <cellStyle name="Note 4 2 4 2 3" xfId="40504" xr:uid="{00000000-0005-0000-0000-0000369E0000}"/>
    <cellStyle name="Note 4 2 4 2 4" xfId="40505" xr:uid="{00000000-0005-0000-0000-0000379E0000}"/>
    <cellStyle name="Note 4 2 4 2 5" xfId="40506" xr:uid="{00000000-0005-0000-0000-0000389E0000}"/>
    <cellStyle name="Note 4 2 4 2 6" xfId="40507" xr:uid="{00000000-0005-0000-0000-0000399E0000}"/>
    <cellStyle name="Note 4 2 4 3" xfId="40508" xr:uid="{00000000-0005-0000-0000-00003A9E0000}"/>
    <cellStyle name="Note 4 2 4 3 2" xfId="40509" xr:uid="{00000000-0005-0000-0000-00003B9E0000}"/>
    <cellStyle name="Note 4 2 4 3 2 2" xfId="40510" xr:uid="{00000000-0005-0000-0000-00003C9E0000}"/>
    <cellStyle name="Note 4 2 4 3 2 3" xfId="40511" xr:uid="{00000000-0005-0000-0000-00003D9E0000}"/>
    <cellStyle name="Note 4 2 4 3 2 4" xfId="40512" xr:uid="{00000000-0005-0000-0000-00003E9E0000}"/>
    <cellStyle name="Note 4 2 4 3 2 5" xfId="40513" xr:uid="{00000000-0005-0000-0000-00003F9E0000}"/>
    <cellStyle name="Note 4 2 4 3 2 6" xfId="40514" xr:uid="{00000000-0005-0000-0000-0000409E0000}"/>
    <cellStyle name="Note 4 2 4 3 3" xfId="40515" xr:uid="{00000000-0005-0000-0000-0000419E0000}"/>
    <cellStyle name="Note 4 2 4 3 4" xfId="40516" xr:uid="{00000000-0005-0000-0000-0000429E0000}"/>
    <cellStyle name="Note 4 2 4 3 5" xfId="40517" xr:uid="{00000000-0005-0000-0000-0000439E0000}"/>
    <cellStyle name="Note 4 2 4 3 6" xfId="40518" xr:uid="{00000000-0005-0000-0000-0000449E0000}"/>
    <cellStyle name="Note 4 2 4 4" xfId="40519" xr:uid="{00000000-0005-0000-0000-0000459E0000}"/>
    <cellStyle name="Note 4 2 4 4 2" xfId="40520" xr:uid="{00000000-0005-0000-0000-0000469E0000}"/>
    <cellStyle name="Note 4 2 4 4 3" xfId="40521" xr:uid="{00000000-0005-0000-0000-0000479E0000}"/>
    <cellStyle name="Note 4 2 4 4 4" xfId="40522" xr:uid="{00000000-0005-0000-0000-0000489E0000}"/>
    <cellStyle name="Note 4 2 4 4 5" xfId="40523" xr:uid="{00000000-0005-0000-0000-0000499E0000}"/>
    <cellStyle name="Note 4 2 4 4 6" xfId="40524" xr:uid="{00000000-0005-0000-0000-00004A9E0000}"/>
    <cellStyle name="Note 4 2 4 5" xfId="40525" xr:uid="{00000000-0005-0000-0000-00004B9E0000}"/>
    <cellStyle name="Note 4 2 4 6" xfId="40526" xr:uid="{00000000-0005-0000-0000-00004C9E0000}"/>
    <cellStyle name="Note 4 2 4 7" xfId="40527" xr:uid="{00000000-0005-0000-0000-00004D9E0000}"/>
    <cellStyle name="Note 4 2 4 8" xfId="40528" xr:uid="{00000000-0005-0000-0000-00004E9E0000}"/>
    <cellStyle name="Note 4 2 5" xfId="40529" xr:uid="{00000000-0005-0000-0000-00004F9E0000}"/>
    <cellStyle name="Note 4 2 5 2" xfId="40530" xr:uid="{00000000-0005-0000-0000-0000509E0000}"/>
    <cellStyle name="Note 4 2 5 2 2" xfId="40531" xr:uid="{00000000-0005-0000-0000-0000519E0000}"/>
    <cellStyle name="Note 4 2 5 2 2 2" xfId="40532" xr:uid="{00000000-0005-0000-0000-0000529E0000}"/>
    <cellStyle name="Note 4 2 5 2 2 3" xfId="40533" xr:uid="{00000000-0005-0000-0000-0000539E0000}"/>
    <cellStyle name="Note 4 2 5 2 2 4" xfId="40534" xr:uid="{00000000-0005-0000-0000-0000549E0000}"/>
    <cellStyle name="Note 4 2 5 2 2 5" xfId="40535" xr:uid="{00000000-0005-0000-0000-0000559E0000}"/>
    <cellStyle name="Note 4 2 5 2 2 6" xfId="40536" xr:uid="{00000000-0005-0000-0000-0000569E0000}"/>
    <cellStyle name="Note 4 2 5 2 3" xfId="40537" xr:uid="{00000000-0005-0000-0000-0000579E0000}"/>
    <cellStyle name="Note 4 2 5 2 4" xfId="40538" xr:uid="{00000000-0005-0000-0000-0000589E0000}"/>
    <cellStyle name="Note 4 2 5 2 5" xfId="40539" xr:uid="{00000000-0005-0000-0000-0000599E0000}"/>
    <cellStyle name="Note 4 2 5 2 6" xfId="40540" xr:uid="{00000000-0005-0000-0000-00005A9E0000}"/>
    <cellStyle name="Note 4 2 5 3" xfId="40541" xr:uid="{00000000-0005-0000-0000-00005B9E0000}"/>
    <cellStyle name="Note 4 2 5 3 2" xfId="40542" xr:uid="{00000000-0005-0000-0000-00005C9E0000}"/>
    <cellStyle name="Note 4 2 5 3 2 2" xfId="40543" xr:uid="{00000000-0005-0000-0000-00005D9E0000}"/>
    <cellStyle name="Note 4 2 5 3 2 3" xfId="40544" xr:uid="{00000000-0005-0000-0000-00005E9E0000}"/>
    <cellStyle name="Note 4 2 5 3 2 4" xfId="40545" xr:uid="{00000000-0005-0000-0000-00005F9E0000}"/>
    <cellStyle name="Note 4 2 5 3 2 5" xfId="40546" xr:uid="{00000000-0005-0000-0000-0000609E0000}"/>
    <cellStyle name="Note 4 2 5 3 2 6" xfId="40547" xr:uid="{00000000-0005-0000-0000-0000619E0000}"/>
    <cellStyle name="Note 4 2 5 3 3" xfId="40548" xr:uid="{00000000-0005-0000-0000-0000629E0000}"/>
    <cellStyle name="Note 4 2 5 3 4" xfId="40549" xr:uid="{00000000-0005-0000-0000-0000639E0000}"/>
    <cellStyle name="Note 4 2 5 3 5" xfId="40550" xr:uid="{00000000-0005-0000-0000-0000649E0000}"/>
    <cellStyle name="Note 4 2 5 3 6" xfId="40551" xr:uid="{00000000-0005-0000-0000-0000659E0000}"/>
    <cellStyle name="Note 4 2 5 4" xfId="40552" xr:uid="{00000000-0005-0000-0000-0000669E0000}"/>
    <cellStyle name="Note 4 2 5 4 2" xfId="40553" xr:uid="{00000000-0005-0000-0000-0000679E0000}"/>
    <cellStyle name="Note 4 2 5 4 3" xfId="40554" xr:uid="{00000000-0005-0000-0000-0000689E0000}"/>
    <cellStyle name="Note 4 2 5 4 4" xfId="40555" xr:uid="{00000000-0005-0000-0000-0000699E0000}"/>
    <cellStyle name="Note 4 2 5 4 5" xfId="40556" xr:uid="{00000000-0005-0000-0000-00006A9E0000}"/>
    <cellStyle name="Note 4 2 5 4 6" xfId="40557" xr:uid="{00000000-0005-0000-0000-00006B9E0000}"/>
    <cellStyle name="Note 4 2 5 5" xfId="40558" xr:uid="{00000000-0005-0000-0000-00006C9E0000}"/>
    <cellStyle name="Note 4 2 5 6" xfId="40559" xr:uid="{00000000-0005-0000-0000-00006D9E0000}"/>
    <cellStyle name="Note 4 2 5 7" xfId="40560" xr:uid="{00000000-0005-0000-0000-00006E9E0000}"/>
    <cellStyle name="Note 4 2 5 8" xfId="40561" xr:uid="{00000000-0005-0000-0000-00006F9E0000}"/>
    <cellStyle name="Note 4 2 6" xfId="40562" xr:uid="{00000000-0005-0000-0000-0000709E0000}"/>
    <cellStyle name="Note 4 2 6 2" xfId="40563" xr:uid="{00000000-0005-0000-0000-0000719E0000}"/>
    <cellStyle name="Note 4 2 6 2 2" xfId="40564" xr:uid="{00000000-0005-0000-0000-0000729E0000}"/>
    <cellStyle name="Note 4 2 6 2 2 2" xfId="40565" xr:uid="{00000000-0005-0000-0000-0000739E0000}"/>
    <cellStyle name="Note 4 2 6 2 2 3" xfId="40566" xr:uid="{00000000-0005-0000-0000-0000749E0000}"/>
    <cellStyle name="Note 4 2 6 2 2 4" xfId="40567" xr:uid="{00000000-0005-0000-0000-0000759E0000}"/>
    <cellStyle name="Note 4 2 6 2 2 5" xfId="40568" xr:uid="{00000000-0005-0000-0000-0000769E0000}"/>
    <cellStyle name="Note 4 2 6 2 2 6" xfId="40569" xr:uid="{00000000-0005-0000-0000-0000779E0000}"/>
    <cellStyle name="Note 4 2 6 2 3" xfId="40570" xr:uid="{00000000-0005-0000-0000-0000789E0000}"/>
    <cellStyle name="Note 4 2 6 2 4" xfId="40571" xr:uid="{00000000-0005-0000-0000-0000799E0000}"/>
    <cellStyle name="Note 4 2 6 2 5" xfId="40572" xr:uid="{00000000-0005-0000-0000-00007A9E0000}"/>
    <cellStyle name="Note 4 2 6 2 6" xfId="40573" xr:uid="{00000000-0005-0000-0000-00007B9E0000}"/>
    <cellStyle name="Note 4 2 6 3" xfId="40574" xr:uid="{00000000-0005-0000-0000-00007C9E0000}"/>
    <cellStyle name="Note 4 2 6 3 2" xfId="40575" xr:uid="{00000000-0005-0000-0000-00007D9E0000}"/>
    <cellStyle name="Note 4 2 6 3 2 2" xfId="40576" xr:uid="{00000000-0005-0000-0000-00007E9E0000}"/>
    <cellStyle name="Note 4 2 6 3 2 3" xfId="40577" xr:uid="{00000000-0005-0000-0000-00007F9E0000}"/>
    <cellStyle name="Note 4 2 6 3 2 4" xfId="40578" xr:uid="{00000000-0005-0000-0000-0000809E0000}"/>
    <cellStyle name="Note 4 2 6 3 2 5" xfId="40579" xr:uid="{00000000-0005-0000-0000-0000819E0000}"/>
    <cellStyle name="Note 4 2 6 3 2 6" xfId="40580" xr:uid="{00000000-0005-0000-0000-0000829E0000}"/>
    <cellStyle name="Note 4 2 6 3 3" xfId="40581" xr:uid="{00000000-0005-0000-0000-0000839E0000}"/>
    <cellStyle name="Note 4 2 6 3 4" xfId="40582" xr:uid="{00000000-0005-0000-0000-0000849E0000}"/>
    <cellStyle name="Note 4 2 6 3 5" xfId="40583" xr:uid="{00000000-0005-0000-0000-0000859E0000}"/>
    <cellStyle name="Note 4 2 6 3 6" xfId="40584" xr:uid="{00000000-0005-0000-0000-0000869E0000}"/>
    <cellStyle name="Note 4 2 6 4" xfId="40585" xr:uid="{00000000-0005-0000-0000-0000879E0000}"/>
    <cellStyle name="Note 4 2 6 4 2" xfId="40586" xr:uid="{00000000-0005-0000-0000-0000889E0000}"/>
    <cellStyle name="Note 4 2 6 4 3" xfId="40587" xr:uid="{00000000-0005-0000-0000-0000899E0000}"/>
    <cellStyle name="Note 4 2 6 4 4" xfId="40588" xr:uid="{00000000-0005-0000-0000-00008A9E0000}"/>
    <cellStyle name="Note 4 2 6 4 5" xfId="40589" xr:uid="{00000000-0005-0000-0000-00008B9E0000}"/>
    <cellStyle name="Note 4 2 6 4 6" xfId="40590" xr:uid="{00000000-0005-0000-0000-00008C9E0000}"/>
    <cellStyle name="Note 4 2 6 5" xfId="40591" xr:uid="{00000000-0005-0000-0000-00008D9E0000}"/>
    <cellStyle name="Note 4 2 6 6" xfId="40592" xr:uid="{00000000-0005-0000-0000-00008E9E0000}"/>
    <cellStyle name="Note 4 2 6 7" xfId="40593" xr:uid="{00000000-0005-0000-0000-00008F9E0000}"/>
    <cellStyle name="Note 4 2 6 8" xfId="40594" xr:uid="{00000000-0005-0000-0000-0000909E0000}"/>
    <cellStyle name="Note 4 2 7" xfId="40595" xr:uid="{00000000-0005-0000-0000-0000919E0000}"/>
    <cellStyle name="Note 4 2 7 2" xfId="40596" xr:uid="{00000000-0005-0000-0000-0000929E0000}"/>
    <cellStyle name="Note 4 2 7 2 2" xfId="40597" xr:uid="{00000000-0005-0000-0000-0000939E0000}"/>
    <cellStyle name="Note 4 2 7 2 2 2" xfId="40598" xr:uid="{00000000-0005-0000-0000-0000949E0000}"/>
    <cellStyle name="Note 4 2 7 2 2 3" xfId="40599" xr:uid="{00000000-0005-0000-0000-0000959E0000}"/>
    <cellStyle name="Note 4 2 7 2 2 4" xfId="40600" xr:uid="{00000000-0005-0000-0000-0000969E0000}"/>
    <cellStyle name="Note 4 2 7 2 2 5" xfId="40601" xr:uid="{00000000-0005-0000-0000-0000979E0000}"/>
    <cellStyle name="Note 4 2 7 2 2 6" xfId="40602" xr:uid="{00000000-0005-0000-0000-0000989E0000}"/>
    <cellStyle name="Note 4 2 7 2 3" xfId="40603" xr:uid="{00000000-0005-0000-0000-0000999E0000}"/>
    <cellStyle name="Note 4 2 7 2 4" xfId="40604" xr:uid="{00000000-0005-0000-0000-00009A9E0000}"/>
    <cellStyle name="Note 4 2 7 2 5" xfId="40605" xr:uid="{00000000-0005-0000-0000-00009B9E0000}"/>
    <cellStyle name="Note 4 2 7 2 6" xfId="40606" xr:uid="{00000000-0005-0000-0000-00009C9E0000}"/>
    <cellStyle name="Note 4 2 7 3" xfId="40607" xr:uid="{00000000-0005-0000-0000-00009D9E0000}"/>
    <cellStyle name="Note 4 2 7 3 2" xfId="40608" xr:uid="{00000000-0005-0000-0000-00009E9E0000}"/>
    <cellStyle name="Note 4 2 7 3 2 2" xfId="40609" xr:uid="{00000000-0005-0000-0000-00009F9E0000}"/>
    <cellStyle name="Note 4 2 7 3 2 3" xfId="40610" xr:uid="{00000000-0005-0000-0000-0000A09E0000}"/>
    <cellStyle name="Note 4 2 7 3 2 4" xfId="40611" xr:uid="{00000000-0005-0000-0000-0000A19E0000}"/>
    <cellStyle name="Note 4 2 7 3 2 5" xfId="40612" xr:uid="{00000000-0005-0000-0000-0000A29E0000}"/>
    <cellStyle name="Note 4 2 7 3 2 6" xfId="40613" xr:uid="{00000000-0005-0000-0000-0000A39E0000}"/>
    <cellStyle name="Note 4 2 7 3 3" xfId="40614" xr:uid="{00000000-0005-0000-0000-0000A49E0000}"/>
    <cellStyle name="Note 4 2 7 3 4" xfId="40615" xr:uid="{00000000-0005-0000-0000-0000A59E0000}"/>
    <cellStyle name="Note 4 2 7 3 5" xfId="40616" xr:uid="{00000000-0005-0000-0000-0000A69E0000}"/>
    <cellStyle name="Note 4 2 7 3 6" xfId="40617" xr:uid="{00000000-0005-0000-0000-0000A79E0000}"/>
    <cellStyle name="Note 4 2 7 4" xfId="40618" xr:uid="{00000000-0005-0000-0000-0000A89E0000}"/>
    <cellStyle name="Note 4 2 7 4 2" xfId="40619" xr:uid="{00000000-0005-0000-0000-0000A99E0000}"/>
    <cellStyle name="Note 4 2 7 4 3" xfId="40620" xr:uid="{00000000-0005-0000-0000-0000AA9E0000}"/>
    <cellStyle name="Note 4 2 7 4 4" xfId="40621" xr:uid="{00000000-0005-0000-0000-0000AB9E0000}"/>
    <cellStyle name="Note 4 2 7 4 5" xfId="40622" xr:uid="{00000000-0005-0000-0000-0000AC9E0000}"/>
    <cellStyle name="Note 4 2 7 4 6" xfId="40623" xr:uid="{00000000-0005-0000-0000-0000AD9E0000}"/>
    <cellStyle name="Note 4 2 7 5" xfId="40624" xr:uid="{00000000-0005-0000-0000-0000AE9E0000}"/>
    <cellStyle name="Note 4 2 7 6" xfId="40625" xr:uid="{00000000-0005-0000-0000-0000AF9E0000}"/>
    <cellStyle name="Note 4 2 7 7" xfId="40626" xr:uid="{00000000-0005-0000-0000-0000B09E0000}"/>
    <cellStyle name="Note 4 2 7 8" xfId="40627" xr:uid="{00000000-0005-0000-0000-0000B19E0000}"/>
    <cellStyle name="Note 4 2 8" xfId="40628" xr:uid="{00000000-0005-0000-0000-0000B29E0000}"/>
    <cellStyle name="Note 4 2 8 2" xfId="40629" xr:uid="{00000000-0005-0000-0000-0000B39E0000}"/>
    <cellStyle name="Note 4 2 8 2 2" xfId="40630" xr:uid="{00000000-0005-0000-0000-0000B49E0000}"/>
    <cellStyle name="Note 4 2 8 2 3" xfId="40631" xr:uid="{00000000-0005-0000-0000-0000B59E0000}"/>
    <cellStyle name="Note 4 2 8 2 4" xfId="40632" xr:uid="{00000000-0005-0000-0000-0000B69E0000}"/>
    <cellStyle name="Note 4 2 8 2 5" xfId="40633" xr:uid="{00000000-0005-0000-0000-0000B79E0000}"/>
    <cellStyle name="Note 4 2 8 2 6" xfId="40634" xr:uid="{00000000-0005-0000-0000-0000B89E0000}"/>
    <cellStyle name="Note 4 2 8 3" xfId="40635" xr:uid="{00000000-0005-0000-0000-0000B99E0000}"/>
    <cellStyle name="Note 4 2 8 4" xfId="40636" xr:uid="{00000000-0005-0000-0000-0000BA9E0000}"/>
    <cellStyle name="Note 4 2 8 5" xfId="40637" xr:uid="{00000000-0005-0000-0000-0000BB9E0000}"/>
    <cellStyle name="Note 4 2 8 6" xfId="40638" xr:uid="{00000000-0005-0000-0000-0000BC9E0000}"/>
    <cellStyle name="Note 4 2 9" xfId="40639" xr:uid="{00000000-0005-0000-0000-0000BD9E0000}"/>
    <cellStyle name="Note 4 2 9 2" xfId="40640" xr:uid="{00000000-0005-0000-0000-0000BE9E0000}"/>
    <cellStyle name="Note 4 2 9 2 2" xfId="40641" xr:uid="{00000000-0005-0000-0000-0000BF9E0000}"/>
    <cellStyle name="Note 4 2 9 2 3" xfId="40642" xr:uid="{00000000-0005-0000-0000-0000C09E0000}"/>
    <cellStyle name="Note 4 2 9 2 4" xfId="40643" xr:uid="{00000000-0005-0000-0000-0000C19E0000}"/>
    <cellStyle name="Note 4 2 9 2 5" xfId="40644" xr:uid="{00000000-0005-0000-0000-0000C29E0000}"/>
    <cellStyle name="Note 4 2 9 2 6" xfId="40645" xr:uid="{00000000-0005-0000-0000-0000C39E0000}"/>
    <cellStyle name="Note 4 2 9 3" xfId="40646" xr:uid="{00000000-0005-0000-0000-0000C49E0000}"/>
    <cellStyle name="Note 4 2 9 4" xfId="40647" xr:uid="{00000000-0005-0000-0000-0000C59E0000}"/>
    <cellStyle name="Note 4 2 9 5" xfId="40648" xr:uid="{00000000-0005-0000-0000-0000C69E0000}"/>
    <cellStyle name="Note 4 2 9 6" xfId="40649" xr:uid="{00000000-0005-0000-0000-0000C79E0000}"/>
    <cellStyle name="Note 4 3" xfId="40650" xr:uid="{00000000-0005-0000-0000-0000C89E0000}"/>
    <cellStyle name="Note 4 3 2" xfId="40651" xr:uid="{00000000-0005-0000-0000-0000C99E0000}"/>
    <cellStyle name="Note 4 3 2 2" xfId="40652" xr:uid="{00000000-0005-0000-0000-0000CA9E0000}"/>
    <cellStyle name="Note 4 3 2 2 2" xfId="40653" xr:uid="{00000000-0005-0000-0000-0000CB9E0000}"/>
    <cellStyle name="Note 4 3 2 2 3" xfId="40654" xr:uid="{00000000-0005-0000-0000-0000CC9E0000}"/>
    <cellStyle name="Note 4 3 2 2 4" xfId="40655" xr:uid="{00000000-0005-0000-0000-0000CD9E0000}"/>
    <cellStyle name="Note 4 3 2 2 5" xfId="40656" xr:uid="{00000000-0005-0000-0000-0000CE9E0000}"/>
    <cellStyle name="Note 4 3 2 2 6" xfId="40657" xr:uid="{00000000-0005-0000-0000-0000CF9E0000}"/>
    <cellStyle name="Note 4 3 2 3" xfId="40658" xr:uid="{00000000-0005-0000-0000-0000D09E0000}"/>
    <cellStyle name="Note 4 3 2 4" xfId="40659" xr:uid="{00000000-0005-0000-0000-0000D19E0000}"/>
    <cellStyle name="Note 4 3 2 5" xfId="40660" xr:uid="{00000000-0005-0000-0000-0000D29E0000}"/>
    <cellStyle name="Note 4 3 2 6" xfId="40661" xr:uid="{00000000-0005-0000-0000-0000D39E0000}"/>
    <cellStyle name="Note 4 3 3" xfId="40662" xr:uid="{00000000-0005-0000-0000-0000D49E0000}"/>
    <cellStyle name="Note 4 3 3 2" xfId="40663" xr:uid="{00000000-0005-0000-0000-0000D59E0000}"/>
    <cellStyle name="Note 4 3 3 2 2" xfId="40664" xr:uid="{00000000-0005-0000-0000-0000D69E0000}"/>
    <cellStyle name="Note 4 3 3 2 3" xfId="40665" xr:uid="{00000000-0005-0000-0000-0000D79E0000}"/>
    <cellStyle name="Note 4 3 3 2 4" xfId="40666" xr:uid="{00000000-0005-0000-0000-0000D89E0000}"/>
    <cellStyle name="Note 4 3 3 2 5" xfId="40667" xr:uid="{00000000-0005-0000-0000-0000D99E0000}"/>
    <cellStyle name="Note 4 3 3 2 6" xfId="40668" xr:uid="{00000000-0005-0000-0000-0000DA9E0000}"/>
    <cellStyle name="Note 4 3 3 3" xfId="40669" xr:uid="{00000000-0005-0000-0000-0000DB9E0000}"/>
    <cellStyle name="Note 4 3 3 4" xfId="40670" xr:uid="{00000000-0005-0000-0000-0000DC9E0000}"/>
    <cellStyle name="Note 4 3 3 5" xfId="40671" xr:uid="{00000000-0005-0000-0000-0000DD9E0000}"/>
    <cellStyle name="Note 4 3 3 6" xfId="40672" xr:uid="{00000000-0005-0000-0000-0000DE9E0000}"/>
    <cellStyle name="Note 4 3 4" xfId="40673" xr:uid="{00000000-0005-0000-0000-0000DF9E0000}"/>
    <cellStyle name="Note 4 3 4 2" xfId="40674" xr:uid="{00000000-0005-0000-0000-0000E09E0000}"/>
    <cellStyle name="Note 4 3 4 3" xfId="40675" xr:uid="{00000000-0005-0000-0000-0000E19E0000}"/>
    <cellStyle name="Note 4 3 4 4" xfId="40676" xr:uid="{00000000-0005-0000-0000-0000E29E0000}"/>
    <cellStyle name="Note 4 3 4 5" xfId="40677" xr:uid="{00000000-0005-0000-0000-0000E39E0000}"/>
    <cellStyle name="Note 4 3 4 6" xfId="40678" xr:uid="{00000000-0005-0000-0000-0000E49E0000}"/>
    <cellStyle name="Note 4 3 5" xfId="40679" xr:uid="{00000000-0005-0000-0000-0000E59E0000}"/>
    <cellStyle name="Note 4 3 6" xfId="40680" xr:uid="{00000000-0005-0000-0000-0000E69E0000}"/>
    <cellStyle name="Note 4 3 7" xfId="40681" xr:uid="{00000000-0005-0000-0000-0000E79E0000}"/>
    <cellStyle name="Note 4 3 8" xfId="40682" xr:uid="{00000000-0005-0000-0000-0000E89E0000}"/>
    <cellStyle name="Note 4 4" xfId="40683" xr:uid="{00000000-0005-0000-0000-0000E99E0000}"/>
    <cellStyle name="Note 4 4 2" xfId="40684" xr:uid="{00000000-0005-0000-0000-0000EA9E0000}"/>
    <cellStyle name="Note 4 4 2 2" xfId="40685" xr:uid="{00000000-0005-0000-0000-0000EB9E0000}"/>
    <cellStyle name="Note 4 4 2 2 2" xfId="40686" xr:uid="{00000000-0005-0000-0000-0000EC9E0000}"/>
    <cellStyle name="Note 4 4 2 2 3" xfId="40687" xr:uid="{00000000-0005-0000-0000-0000ED9E0000}"/>
    <cellStyle name="Note 4 4 2 2 4" xfId="40688" xr:uid="{00000000-0005-0000-0000-0000EE9E0000}"/>
    <cellStyle name="Note 4 4 2 2 5" xfId="40689" xr:uid="{00000000-0005-0000-0000-0000EF9E0000}"/>
    <cellStyle name="Note 4 4 2 2 6" xfId="40690" xr:uid="{00000000-0005-0000-0000-0000F09E0000}"/>
    <cellStyle name="Note 4 4 2 3" xfId="40691" xr:uid="{00000000-0005-0000-0000-0000F19E0000}"/>
    <cellStyle name="Note 4 4 2 4" xfId="40692" xr:uid="{00000000-0005-0000-0000-0000F29E0000}"/>
    <cellStyle name="Note 4 4 2 5" xfId="40693" xr:uid="{00000000-0005-0000-0000-0000F39E0000}"/>
    <cellStyle name="Note 4 4 2 6" xfId="40694" xr:uid="{00000000-0005-0000-0000-0000F49E0000}"/>
    <cellStyle name="Note 4 4 3" xfId="40695" xr:uid="{00000000-0005-0000-0000-0000F59E0000}"/>
    <cellStyle name="Note 4 4 3 2" xfId="40696" xr:uid="{00000000-0005-0000-0000-0000F69E0000}"/>
    <cellStyle name="Note 4 4 3 2 2" xfId="40697" xr:uid="{00000000-0005-0000-0000-0000F79E0000}"/>
    <cellStyle name="Note 4 4 3 2 3" xfId="40698" xr:uid="{00000000-0005-0000-0000-0000F89E0000}"/>
    <cellStyle name="Note 4 4 3 2 4" xfId="40699" xr:uid="{00000000-0005-0000-0000-0000F99E0000}"/>
    <cellStyle name="Note 4 4 3 2 5" xfId="40700" xr:uid="{00000000-0005-0000-0000-0000FA9E0000}"/>
    <cellStyle name="Note 4 4 3 2 6" xfId="40701" xr:uid="{00000000-0005-0000-0000-0000FB9E0000}"/>
    <cellStyle name="Note 4 4 3 3" xfId="40702" xr:uid="{00000000-0005-0000-0000-0000FC9E0000}"/>
    <cellStyle name="Note 4 4 3 4" xfId="40703" xr:uid="{00000000-0005-0000-0000-0000FD9E0000}"/>
    <cellStyle name="Note 4 4 3 5" xfId="40704" xr:uid="{00000000-0005-0000-0000-0000FE9E0000}"/>
    <cellStyle name="Note 4 4 3 6" xfId="40705" xr:uid="{00000000-0005-0000-0000-0000FF9E0000}"/>
    <cellStyle name="Note 4 4 4" xfId="40706" xr:uid="{00000000-0005-0000-0000-0000009F0000}"/>
    <cellStyle name="Note 4 4 4 2" xfId="40707" xr:uid="{00000000-0005-0000-0000-0000019F0000}"/>
    <cellStyle name="Note 4 4 4 3" xfId="40708" xr:uid="{00000000-0005-0000-0000-0000029F0000}"/>
    <cellStyle name="Note 4 4 4 4" xfId="40709" xr:uid="{00000000-0005-0000-0000-0000039F0000}"/>
    <cellStyle name="Note 4 4 4 5" xfId="40710" xr:uid="{00000000-0005-0000-0000-0000049F0000}"/>
    <cellStyle name="Note 4 4 4 6" xfId="40711" xr:uid="{00000000-0005-0000-0000-0000059F0000}"/>
    <cellStyle name="Note 4 4 5" xfId="40712" xr:uid="{00000000-0005-0000-0000-0000069F0000}"/>
    <cellStyle name="Note 4 4 6" xfId="40713" xr:uid="{00000000-0005-0000-0000-0000079F0000}"/>
    <cellStyle name="Note 4 4 7" xfId="40714" xr:uid="{00000000-0005-0000-0000-0000089F0000}"/>
    <cellStyle name="Note 4 4 8" xfId="40715" xr:uid="{00000000-0005-0000-0000-0000099F0000}"/>
    <cellStyle name="Note 4 5" xfId="40716" xr:uid="{00000000-0005-0000-0000-00000A9F0000}"/>
    <cellStyle name="Note 4 5 2" xfId="40717" xr:uid="{00000000-0005-0000-0000-00000B9F0000}"/>
    <cellStyle name="Note 4 5 3" xfId="40718" xr:uid="{00000000-0005-0000-0000-00000C9F0000}"/>
    <cellStyle name="Note 4 5 4" xfId="40719" xr:uid="{00000000-0005-0000-0000-00000D9F0000}"/>
    <cellStyle name="Note 4 5 5" xfId="40720" xr:uid="{00000000-0005-0000-0000-00000E9F0000}"/>
    <cellStyle name="Note 4 5 6" xfId="40721" xr:uid="{00000000-0005-0000-0000-00000F9F0000}"/>
    <cellStyle name="Note 4 6" xfId="40722" xr:uid="{00000000-0005-0000-0000-0000109F0000}"/>
    <cellStyle name="Note 4 7" xfId="40723" xr:uid="{00000000-0005-0000-0000-0000119F0000}"/>
    <cellStyle name="Note 4 8" xfId="40724" xr:uid="{00000000-0005-0000-0000-0000129F0000}"/>
    <cellStyle name="Note 4 9" xfId="40725" xr:uid="{00000000-0005-0000-0000-0000139F0000}"/>
    <cellStyle name="Note 5" xfId="40726" xr:uid="{00000000-0005-0000-0000-0000149F0000}"/>
    <cellStyle name="Note 5 2" xfId="40727" xr:uid="{00000000-0005-0000-0000-0000159F0000}"/>
    <cellStyle name="Note 5 3" xfId="40728" xr:uid="{00000000-0005-0000-0000-0000169F0000}"/>
    <cellStyle name="Number_A" xfId="40729" xr:uid="{00000000-0005-0000-0000-0000179F0000}"/>
    <cellStyle name="numbtext" xfId="40730" xr:uid="{00000000-0005-0000-0000-0000189F0000}"/>
    <cellStyle name="NumColmHd" xfId="40731" xr:uid="{00000000-0005-0000-0000-0000199F0000}"/>
    <cellStyle name="Output 2" xfId="40732" xr:uid="{00000000-0005-0000-0000-00001A9F0000}"/>
    <cellStyle name="Output 2 10" xfId="40733" xr:uid="{00000000-0005-0000-0000-00001B9F0000}"/>
    <cellStyle name="Output 2 10 2" xfId="40734" xr:uid="{00000000-0005-0000-0000-00001C9F0000}"/>
    <cellStyle name="Output 2 10 2 2" xfId="40735" xr:uid="{00000000-0005-0000-0000-00001D9F0000}"/>
    <cellStyle name="Output 2 10 2 3" xfId="40736" xr:uid="{00000000-0005-0000-0000-00001E9F0000}"/>
    <cellStyle name="Output 2 10 2 4" xfId="40737" xr:uid="{00000000-0005-0000-0000-00001F9F0000}"/>
    <cellStyle name="Output 2 10 2 5" xfId="40738" xr:uid="{00000000-0005-0000-0000-0000209F0000}"/>
    <cellStyle name="Output 2 10 3" xfId="40739" xr:uid="{00000000-0005-0000-0000-0000219F0000}"/>
    <cellStyle name="Output 2 10 4" xfId="40740" xr:uid="{00000000-0005-0000-0000-0000229F0000}"/>
    <cellStyle name="Output 2 10 5" xfId="40741" xr:uid="{00000000-0005-0000-0000-0000239F0000}"/>
    <cellStyle name="Output 2 10 6" xfId="40742" xr:uid="{00000000-0005-0000-0000-0000249F0000}"/>
    <cellStyle name="Output 2 11" xfId="40743" xr:uid="{00000000-0005-0000-0000-0000259F0000}"/>
    <cellStyle name="Output 2 11 2" xfId="40744" xr:uid="{00000000-0005-0000-0000-0000269F0000}"/>
    <cellStyle name="Output 2 11 2 2" xfId="40745" xr:uid="{00000000-0005-0000-0000-0000279F0000}"/>
    <cellStyle name="Output 2 11 2 3" xfId="40746" xr:uid="{00000000-0005-0000-0000-0000289F0000}"/>
    <cellStyle name="Output 2 11 2 4" xfId="40747" xr:uid="{00000000-0005-0000-0000-0000299F0000}"/>
    <cellStyle name="Output 2 11 2 5" xfId="40748" xr:uid="{00000000-0005-0000-0000-00002A9F0000}"/>
    <cellStyle name="Output 2 11 3" xfId="40749" xr:uid="{00000000-0005-0000-0000-00002B9F0000}"/>
    <cellStyle name="Output 2 11 4" xfId="40750" xr:uid="{00000000-0005-0000-0000-00002C9F0000}"/>
    <cellStyle name="Output 2 11 5" xfId="40751" xr:uid="{00000000-0005-0000-0000-00002D9F0000}"/>
    <cellStyle name="Output 2 11 6" xfId="40752" xr:uid="{00000000-0005-0000-0000-00002E9F0000}"/>
    <cellStyle name="Output 2 12" xfId="40753" xr:uid="{00000000-0005-0000-0000-00002F9F0000}"/>
    <cellStyle name="Output 2 12 2" xfId="40754" xr:uid="{00000000-0005-0000-0000-0000309F0000}"/>
    <cellStyle name="Output 2 12 2 2" xfId="40755" xr:uid="{00000000-0005-0000-0000-0000319F0000}"/>
    <cellStyle name="Output 2 12 2 3" xfId="40756" xr:uid="{00000000-0005-0000-0000-0000329F0000}"/>
    <cellStyle name="Output 2 12 2 4" xfId="40757" xr:uid="{00000000-0005-0000-0000-0000339F0000}"/>
    <cellStyle name="Output 2 12 2 5" xfId="40758" xr:uid="{00000000-0005-0000-0000-0000349F0000}"/>
    <cellStyle name="Output 2 12 3" xfId="40759" xr:uid="{00000000-0005-0000-0000-0000359F0000}"/>
    <cellStyle name="Output 2 12 4" xfId="40760" xr:uid="{00000000-0005-0000-0000-0000369F0000}"/>
    <cellStyle name="Output 2 12 5" xfId="40761" xr:uid="{00000000-0005-0000-0000-0000379F0000}"/>
    <cellStyle name="Output 2 12 6" xfId="40762" xr:uid="{00000000-0005-0000-0000-0000389F0000}"/>
    <cellStyle name="Output 2 13" xfId="40763" xr:uid="{00000000-0005-0000-0000-0000399F0000}"/>
    <cellStyle name="Output 2 13 2" xfId="40764" xr:uid="{00000000-0005-0000-0000-00003A9F0000}"/>
    <cellStyle name="Output 2 13 2 2" xfId="40765" xr:uid="{00000000-0005-0000-0000-00003B9F0000}"/>
    <cellStyle name="Output 2 13 2 3" xfId="40766" xr:uid="{00000000-0005-0000-0000-00003C9F0000}"/>
    <cellStyle name="Output 2 13 2 4" xfId="40767" xr:uid="{00000000-0005-0000-0000-00003D9F0000}"/>
    <cellStyle name="Output 2 13 2 5" xfId="40768" xr:uid="{00000000-0005-0000-0000-00003E9F0000}"/>
    <cellStyle name="Output 2 13 3" xfId="40769" xr:uid="{00000000-0005-0000-0000-00003F9F0000}"/>
    <cellStyle name="Output 2 13 4" xfId="40770" xr:uid="{00000000-0005-0000-0000-0000409F0000}"/>
    <cellStyle name="Output 2 13 5" xfId="40771" xr:uid="{00000000-0005-0000-0000-0000419F0000}"/>
    <cellStyle name="Output 2 13 6" xfId="40772" xr:uid="{00000000-0005-0000-0000-0000429F0000}"/>
    <cellStyle name="Output 2 14" xfId="40773" xr:uid="{00000000-0005-0000-0000-0000439F0000}"/>
    <cellStyle name="Output 2 14 2" xfId="40774" xr:uid="{00000000-0005-0000-0000-0000449F0000}"/>
    <cellStyle name="Output 2 14 2 2" xfId="40775" xr:uid="{00000000-0005-0000-0000-0000459F0000}"/>
    <cellStyle name="Output 2 14 2 3" xfId="40776" xr:uid="{00000000-0005-0000-0000-0000469F0000}"/>
    <cellStyle name="Output 2 14 2 4" xfId="40777" xr:uid="{00000000-0005-0000-0000-0000479F0000}"/>
    <cellStyle name="Output 2 14 2 5" xfId="40778" xr:uid="{00000000-0005-0000-0000-0000489F0000}"/>
    <cellStyle name="Output 2 14 3" xfId="40779" xr:uid="{00000000-0005-0000-0000-0000499F0000}"/>
    <cellStyle name="Output 2 14 4" xfId="40780" xr:uid="{00000000-0005-0000-0000-00004A9F0000}"/>
    <cellStyle name="Output 2 14 5" xfId="40781" xr:uid="{00000000-0005-0000-0000-00004B9F0000}"/>
    <cellStyle name="Output 2 14 6" xfId="40782" xr:uid="{00000000-0005-0000-0000-00004C9F0000}"/>
    <cellStyle name="Output 2 15" xfId="40783" xr:uid="{00000000-0005-0000-0000-00004D9F0000}"/>
    <cellStyle name="Output 2 15 2" xfId="40784" xr:uid="{00000000-0005-0000-0000-00004E9F0000}"/>
    <cellStyle name="Output 2 15 2 2" xfId="40785" xr:uid="{00000000-0005-0000-0000-00004F9F0000}"/>
    <cellStyle name="Output 2 15 2 3" xfId="40786" xr:uid="{00000000-0005-0000-0000-0000509F0000}"/>
    <cellStyle name="Output 2 15 2 4" xfId="40787" xr:uid="{00000000-0005-0000-0000-0000519F0000}"/>
    <cellStyle name="Output 2 15 2 5" xfId="40788" xr:uid="{00000000-0005-0000-0000-0000529F0000}"/>
    <cellStyle name="Output 2 15 3" xfId="40789" xr:uid="{00000000-0005-0000-0000-0000539F0000}"/>
    <cellStyle name="Output 2 15 4" xfId="40790" xr:uid="{00000000-0005-0000-0000-0000549F0000}"/>
    <cellStyle name="Output 2 15 5" xfId="40791" xr:uid="{00000000-0005-0000-0000-0000559F0000}"/>
    <cellStyle name="Output 2 15 6" xfId="40792" xr:uid="{00000000-0005-0000-0000-0000569F0000}"/>
    <cellStyle name="Output 2 16" xfId="40793" xr:uid="{00000000-0005-0000-0000-0000579F0000}"/>
    <cellStyle name="Output 2 16 2" xfId="40794" xr:uid="{00000000-0005-0000-0000-0000589F0000}"/>
    <cellStyle name="Output 2 16 2 2" xfId="40795" xr:uid="{00000000-0005-0000-0000-0000599F0000}"/>
    <cellStyle name="Output 2 16 2 3" xfId="40796" xr:uid="{00000000-0005-0000-0000-00005A9F0000}"/>
    <cellStyle name="Output 2 16 2 4" xfId="40797" xr:uid="{00000000-0005-0000-0000-00005B9F0000}"/>
    <cellStyle name="Output 2 16 2 5" xfId="40798" xr:uid="{00000000-0005-0000-0000-00005C9F0000}"/>
    <cellStyle name="Output 2 16 3" xfId="40799" xr:uid="{00000000-0005-0000-0000-00005D9F0000}"/>
    <cellStyle name="Output 2 16 4" xfId="40800" xr:uid="{00000000-0005-0000-0000-00005E9F0000}"/>
    <cellStyle name="Output 2 16 5" xfId="40801" xr:uid="{00000000-0005-0000-0000-00005F9F0000}"/>
    <cellStyle name="Output 2 16 6" xfId="40802" xr:uid="{00000000-0005-0000-0000-0000609F0000}"/>
    <cellStyle name="Output 2 17" xfId="40803" xr:uid="{00000000-0005-0000-0000-0000619F0000}"/>
    <cellStyle name="Output 2 17 2" xfId="40804" xr:uid="{00000000-0005-0000-0000-0000629F0000}"/>
    <cellStyle name="Output 2 17 2 2" xfId="40805" xr:uid="{00000000-0005-0000-0000-0000639F0000}"/>
    <cellStyle name="Output 2 17 2 3" xfId="40806" xr:uid="{00000000-0005-0000-0000-0000649F0000}"/>
    <cellStyle name="Output 2 17 2 4" xfId="40807" xr:uid="{00000000-0005-0000-0000-0000659F0000}"/>
    <cellStyle name="Output 2 17 2 5" xfId="40808" xr:uid="{00000000-0005-0000-0000-0000669F0000}"/>
    <cellStyle name="Output 2 17 3" xfId="40809" xr:uid="{00000000-0005-0000-0000-0000679F0000}"/>
    <cellStyle name="Output 2 17 4" xfId="40810" xr:uid="{00000000-0005-0000-0000-0000689F0000}"/>
    <cellStyle name="Output 2 17 5" xfId="40811" xr:uid="{00000000-0005-0000-0000-0000699F0000}"/>
    <cellStyle name="Output 2 17 6" xfId="40812" xr:uid="{00000000-0005-0000-0000-00006A9F0000}"/>
    <cellStyle name="Output 2 18" xfId="40813" xr:uid="{00000000-0005-0000-0000-00006B9F0000}"/>
    <cellStyle name="Output 2 18 2" xfId="40814" xr:uid="{00000000-0005-0000-0000-00006C9F0000}"/>
    <cellStyle name="Output 2 18 2 2" xfId="40815" xr:uid="{00000000-0005-0000-0000-00006D9F0000}"/>
    <cellStyle name="Output 2 18 2 3" xfId="40816" xr:uid="{00000000-0005-0000-0000-00006E9F0000}"/>
    <cellStyle name="Output 2 18 2 4" xfId="40817" xr:uid="{00000000-0005-0000-0000-00006F9F0000}"/>
    <cellStyle name="Output 2 18 2 5" xfId="40818" xr:uid="{00000000-0005-0000-0000-0000709F0000}"/>
    <cellStyle name="Output 2 18 3" xfId="40819" xr:uid="{00000000-0005-0000-0000-0000719F0000}"/>
    <cellStyle name="Output 2 18 4" xfId="40820" xr:uid="{00000000-0005-0000-0000-0000729F0000}"/>
    <cellStyle name="Output 2 18 5" xfId="40821" xr:uid="{00000000-0005-0000-0000-0000739F0000}"/>
    <cellStyle name="Output 2 18 6" xfId="40822" xr:uid="{00000000-0005-0000-0000-0000749F0000}"/>
    <cellStyle name="Output 2 19" xfId="40823" xr:uid="{00000000-0005-0000-0000-0000759F0000}"/>
    <cellStyle name="Output 2 19 2" xfId="40824" xr:uid="{00000000-0005-0000-0000-0000769F0000}"/>
    <cellStyle name="Output 2 19 2 2" xfId="40825" xr:uid="{00000000-0005-0000-0000-0000779F0000}"/>
    <cellStyle name="Output 2 19 2 3" xfId="40826" xr:uid="{00000000-0005-0000-0000-0000789F0000}"/>
    <cellStyle name="Output 2 19 2 4" xfId="40827" xr:uid="{00000000-0005-0000-0000-0000799F0000}"/>
    <cellStyle name="Output 2 19 2 5" xfId="40828" xr:uid="{00000000-0005-0000-0000-00007A9F0000}"/>
    <cellStyle name="Output 2 19 3" xfId="40829" xr:uid="{00000000-0005-0000-0000-00007B9F0000}"/>
    <cellStyle name="Output 2 19 4" xfId="40830" xr:uid="{00000000-0005-0000-0000-00007C9F0000}"/>
    <cellStyle name="Output 2 19 5" xfId="40831" xr:uid="{00000000-0005-0000-0000-00007D9F0000}"/>
    <cellStyle name="Output 2 19 6" xfId="40832" xr:uid="{00000000-0005-0000-0000-00007E9F0000}"/>
    <cellStyle name="Output 2 2" xfId="40833" xr:uid="{00000000-0005-0000-0000-00007F9F0000}"/>
    <cellStyle name="Output 2 2 10" xfId="40834" xr:uid="{00000000-0005-0000-0000-0000809F0000}"/>
    <cellStyle name="Output 2 2 10 2" xfId="40835" xr:uid="{00000000-0005-0000-0000-0000819F0000}"/>
    <cellStyle name="Output 2 2 10 2 2" xfId="40836" xr:uid="{00000000-0005-0000-0000-0000829F0000}"/>
    <cellStyle name="Output 2 2 10 2 3" xfId="40837" xr:uid="{00000000-0005-0000-0000-0000839F0000}"/>
    <cellStyle name="Output 2 2 10 2 4" xfId="40838" xr:uid="{00000000-0005-0000-0000-0000849F0000}"/>
    <cellStyle name="Output 2 2 10 2 5" xfId="40839" xr:uid="{00000000-0005-0000-0000-0000859F0000}"/>
    <cellStyle name="Output 2 2 10 3" xfId="40840" xr:uid="{00000000-0005-0000-0000-0000869F0000}"/>
    <cellStyle name="Output 2 2 10 4" xfId="40841" xr:uid="{00000000-0005-0000-0000-0000879F0000}"/>
    <cellStyle name="Output 2 2 10 5" xfId="40842" xr:uid="{00000000-0005-0000-0000-0000889F0000}"/>
    <cellStyle name="Output 2 2 10 6" xfId="40843" xr:uid="{00000000-0005-0000-0000-0000899F0000}"/>
    <cellStyle name="Output 2 2 11" xfId="40844" xr:uid="{00000000-0005-0000-0000-00008A9F0000}"/>
    <cellStyle name="Output 2 2 11 2" xfId="40845" xr:uid="{00000000-0005-0000-0000-00008B9F0000}"/>
    <cellStyle name="Output 2 2 11 2 2" xfId="40846" xr:uid="{00000000-0005-0000-0000-00008C9F0000}"/>
    <cellStyle name="Output 2 2 11 2 3" xfId="40847" xr:uid="{00000000-0005-0000-0000-00008D9F0000}"/>
    <cellStyle name="Output 2 2 11 2 4" xfId="40848" xr:uid="{00000000-0005-0000-0000-00008E9F0000}"/>
    <cellStyle name="Output 2 2 11 2 5" xfId="40849" xr:uid="{00000000-0005-0000-0000-00008F9F0000}"/>
    <cellStyle name="Output 2 2 11 3" xfId="40850" xr:uid="{00000000-0005-0000-0000-0000909F0000}"/>
    <cellStyle name="Output 2 2 11 4" xfId="40851" xr:uid="{00000000-0005-0000-0000-0000919F0000}"/>
    <cellStyle name="Output 2 2 11 5" xfId="40852" xr:uid="{00000000-0005-0000-0000-0000929F0000}"/>
    <cellStyle name="Output 2 2 11 6" xfId="40853" xr:uid="{00000000-0005-0000-0000-0000939F0000}"/>
    <cellStyle name="Output 2 2 12" xfId="40854" xr:uid="{00000000-0005-0000-0000-0000949F0000}"/>
    <cellStyle name="Output 2 2 12 2" xfId="40855" xr:uid="{00000000-0005-0000-0000-0000959F0000}"/>
    <cellStyle name="Output 2 2 12 2 2" xfId="40856" xr:uid="{00000000-0005-0000-0000-0000969F0000}"/>
    <cellStyle name="Output 2 2 12 2 3" xfId="40857" xr:uid="{00000000-0005-0000-0000-0000979F0000}"/>
    <cellStyle name="Output 2 2 12 2 4" xfId="40858" xr:uid="{00000000-0005-0000-0000-0000989F0000}"/>
    <cellStyle name="Output 2 2 12 2 5" xfId="40859" xr:uid="{00000000-0005-0000-0000-0000999F0000}"/>
    <cellStyle name="Output 2 2 12 3" xfId="40860" xr:uid="{00000000-0005-0000-0000-00009A9F0000}"/>
    <cellStyle name="Output 2 2 12 4" xfId="40861" xr:uid="{00000000-0005-0000-0000-00009B9F0000}"/>
    <cellStyle name="Output 2 2 12 5" xfId="40862" xr:uid="{00000000-0005-0000-0000-00009C9F0000}"/>
    <cellStyle name="Output 2 2 12 6" xfId="40863" xr:uid="{00000000-0005-0000-0000-00009D9F0000}"/>
    <cellStyle name="Output 2 2 13" xfId="40864" xr:uid="{00000000-0005-0000-0000-00009E9F0000}"/>
    <cellStyle name="Output 2 2 13 2" xfId="40865" xr:uid="{00000000-0005-0000-0000-00009F9F0000}"/>
    <cellStyle name="Output 2 2 13 2 2" xfId="40866" xr:uid="{00000000-0005-0000-0000-0000A09F0000}"/>
    <cellStyle name="Output 2 2 13 2 3" xfId="40867" xr:uid="{00000000-0005-0000-0000-0000A19F0000}"/>
    <cellStyle name="Output 2 2 13 2 4" xfId="40868" xr:uid="{00000000-0005-0000-0000-0000A29F0000}"/>
    <cellStyle name="Output 2 2 13 2 5" xfId="40869" xr:uid="{00000000-0005-0000-0000-0000A39F0000}"/>
    <cellStyle name="Output 2 2 13 3" xfId="40870" xr:uid="{00000000-0005-0000-0000-0000A49F0000}"/>
    <cellStyle name="Output 2 2 13 4" xfId="40871" xr:uid="{00000000-0005-0000-0000-0000A59F0000}"/>
    <cellStyle name="Output 2 2 13 5" xfId="40872" xr:uid="{00000000-0005-0000-0000-0000A69F0000}"/>
    <cellStyle name="Output 2 2 13 6" xfId="40873" xr:uid="{00000000-0005-0000-0000-0000A79F0000}"/>
    <cellStyle name="Output 2 2 14" xfId="40874" xr:uid="{00000000-0005-0000-0000-0000A89F0000}"/>
    <cellStyle name="Output 2 2 14 2" xfId="40875" xr:uid="{00000000-0005-0000-0000-0000A99F0000}"/>
    <cellStyle name="Output 2 2 14 2 2" xfId="40876" xr:uid="{00000000-0005-0000-0000-0000AA9F0000}"/>
    <cellStyle name="Output 2 2 14 2 3" xfId="40877" xr:uid="{00000000-0005-0000-0000-0000AB9F0000}"/>
    <cellStyle name="Output 2 2 14 2 4" xfId="40878" xr:uid="{00000000-0005-0000-0000-0000AC9F0000}"/>
    <cellStyle name="Output 2 2 14 2 5" xfId="40879" xr:uid="{00000000-0005-0000-0000-0000AD9F0000}"/>
    <cellStyle name="Output 2 2 14 3" xfId="40880" xr:uid="{00000000-0005-0000-0000-0000AE9F0000}"/>
    <cellStyle name="Output 2 2 14 4" xfId="40881" xr:uid="{00000000-0005-0000-0000-0000AF9F0000}"/>
    <cellStyle name="Output 2 2 14 5" xfId="40882" xr:uid="{00000000-0005-0000-0000-0000B09F0000}"/>
    <cellStyle name="Output 2 2 14 6" xfId="40883" xr:uid="{00000000-0005-0000-0000-0000B19F0000}"/>
    <cellStyle name="Output 2 2 15" xfId="40884" xr:uid="{00000000-0005-0000-0000-0000B29F0000}"/>
    <cellStyle name="Output 2 2 15 2" xfId="40885" xr:uid="{00000000-0005-0000-0000-0000B39F0000}"/>
    <cellStyle name="Output 2 2 15 2 2" xfId="40886" xr:uid="{00000000-0005-0000-0000-0000B49F0000}"/>
    <cellStyle name="Output 2 2 15 2 3" xfId="40887" xr:uid="{00000000-0005-0000-0000-0000B59F0000}"/>
    <cellStyle name="Output 2 2 15 2 4" xfId="40888" xr:uid="{00000000-0005-0000-0000-0000B69F0000}"/>
    <cellStyle name="Output 2 2 15 2 5" xfId="40889" xr:uid="{00000000-0005-0000-0000-0000B79F0000}"/>
    <cellStyle name="Output 2 2 15 3" xfId="40890" xr:uid="{00000000-0005-0000-0000-0000B89F0000}"/>
    <cellStyle name="Output 2 2 15 4" xfId="40891" xr:uid="{00000000-0005-0000-0000-0000B99F0000}"/>
    <cellStyle name="Output 2 2 15 5" xfId="40892" xr:uid="{00000000-0005-0000-0000-0000BA9F0000}"/>
    <cellStyle name="Output 2 2 15 6" xfId="40893" xr:uid="{00000000-0005-0000-0000-0000BB9F0000}"/>
    <cellStyle name="Output 2 2 16" xfId="40894" xr:uid="{00000000-0005-0000-0000-0000BC9F0000}"/>
    <cellStyle name="Output 2 2 16 2" xfId="40895" xr:uid="{00000000-0005-0000-0000-0000BD9F0000}"/>
    <cellStyle name="Output 2 2 16 2 2" xfId="40896" xr:uid="{00000000-0005-0000-0000-0000BE9F0000}"/>
    <cellStyle name="Output 2 2 16 2 3" xfId="40897" xr:uid="{00000000-0005-0000-0000-0000BF9F0000}"/>
    <cellStyle name="Output 2 2 16 2 4" xfId="40898" xr:uid="{00000000-0005-0000-0000-0000C09F0000}"/>
    <cellStyle name="Output 2 2 16 2 5" xfId="40899" xr:uid="{00000000-0005-0000-0000-0000C19F0000}"/>
    <cellStyle name="Output 2 2 16 3" xfId="40900" xr:uid="{00000000-0005-0000-0000-0000C29F0000}"/>
    <cellStyle name="Output 2 2 16 4" xfId="40901" xr:uid="{00000000-0005-0000-0000-0000C39F0000}"/>
    <cellStyle name="Output 2 2 16 5" xfId="40902" xr:uid="{00000000-0005-0000-0000-0000C49F0000}"/>
    <cellStyle name="Output 2 2 16 6" xfId="40903" xr:uid="{00000000-0005-0000-0000-0000C59F0000}"/>
    <cellStyle name="Output 2 2 17" xfId="40904" xr:uid="{00000000-0005-0000-0000-0000C69F0000}"/>
    <cellStyle name="Output 2 2 17 2" xfId="40905" xr:uid="{00000000-0005-0000-0000-0000C79F0000}"/>
    <cellStyle name="Output 2 2 17 2 2" xfId="40906" xr:uid="{00000000-0005-0000-0000-0000C89F0000}"/>
    <cellStyle name="Output 2 2 17 2 3" xfId="40907" xr:uid="{00000000-0005-0000-0000-0000C99F0000}"/>
    <cellStyle name="Output 2 2 17 2 4" xfId="40908" xr:uid="{00000000-0005-0000-0000-0000CA9F0000}"/>
    <cellStyle name="Output 2 2 17 2 5" xfId="40909" xr:uid="{00000000-0005-0000-0000-0000CB9F0000}"/>
    <cellStyle name="Output 2 2 17 3" xfId="40910" xr:uid="{00000000-0005-0000-0000-0000CC9F0000}"/>
    <cellStyle name="Output 2 2 17 4" xfId="40911" xr:uid="{00000000-0005-0000-0000-0000CD9F0000}"/>
    <cellStyle name="Output 2 2 17 5" xfId="40912" xr:uid="{00000000-0005-0000-0000-0000CE9F0000}"/>
    <cellStyle name="Output 2 2 17 6" xfId="40913" xr:uid="{00000000-0005-0000-0000-0000CF9F0000}"/>
    <cellStyle name="Output 2 2 18" xfId="40914" xr:uid="{00000000-0005-0000-0000-0000D09F0000}"/>
    <cellStyle name="Output 2 2 18 2" xfId="40915" xr:uid="{00000000-0005-0000-0000-0000D19F0000}"/>
    <cellStyle name="Output 2 2 18 2 2" xfId="40916" xr:uid="{00000000-0005-0000-0000-0000D29F0000}"/>
    <cellStyle name="Output 2 2 18 2 3" xfId="40917" xr:uid="{00000000-0005-0000-0000-0000D39F0000}"/>
    <cellStyle name="Output 2 2 18 2 4" xfId="40918" xr:uid="{00000000-0005-0000-0000-0000D49F0000}"/>
    <cellStyle name="Output 2 2 18 2 5" xfId="40919" xr:uid="{00000000-0005-0000-0000-0000D59F0000}"/>
    <cellStyle name="Output 2 2 18 3" xfId="40920" xr:uid="{00000000-0005-0000-0000-0000D69F0000}"/>
    <cellStyle name="Output 2 2 18 4" xfId="40921" xr:uid="{00000000-0005-0000-0000-0000D79F0000}"/>
    <cellStyle name="Output 2 2 18 5" xfId="40922" xr:uid="{00000000-0005-0000-0000-0000D89F0000}"/>
    <cellStyle name="Output 2 2 18 6" xfId="40923" xr:uid="{00000000-0005-0000-0000-0000D99F0000}"/>
    <cellStyle name="Output 2 2 19" xfId="40924" xr:uid="{00000000-0005-0000-0000-0000DA9F0000}"/>
    <cellStyle name="Output 2 2 19 2" xfId="40925" xr:uid="{00000000-0005-0000-0000-0000DB9F0000}"/>
    <cellStyle name="Output 2 2 19 2 2" xfId="40926" xr:uid="{00000000-0005-0000-0000-0000DC9F0000}"/>
    <cellStyle name="Output 2 2 19 2 3" xfId="40927" xr:uid="{00000000-0005-0000-0000-0000DD9F0000}"/>
    <cellStyle name="Output 2 2 19 2 4" xfId="40928" xr:uid="{00000000-0005-0000-0000-0000DE9F0000}"/>
    <cellStyle name="Output 2 2 19 2 5" xfId="40929" xr:uid="{00000000-0005-0000-0000-0000DF9F0000}"/>
    <cellStyle name="Output 2 2 19 3" xfId="40930" xr:uid="{00000000-0005-0000-0000-0000E09F0000}"/>
    <cellStyle name="Output 2 2 19 4" xfId="40931" xr:uid="{00000000-0005-0000-0000-0000E19F0000}"/>
    <cellStyle name="Output 2 2 19 5" xfId="40932" xr:uid="{00000000-0005-0000-0000-0000E29F0000}"/>
    <cellStyle name="Output 2 2 19 6" xfId="40933" xr:uid="{00000000-0005-0000-0000-0000E39F0000}"/>
    <cellStyle name="Output 2 2 2" xfId="40934" xr:uid="{00000000-0005-0000-0000-0000E49F0000}"/>
    <cellStyle name="Output 2 2 2 10" xfId="40935" xr:uid="{00000000-0005-0000-0000-0000E59F0000}"/>
    <cellStyle name="Output 2 2 2 10 2" xfId="40936" xr:uid="{00000000-0005-0000-0000-0000E69F0000}"/>
    <cellStyle name="Output 2 2 2 10 3" xfId="40937" xr:uid="{00000000-0005-0000-0000-0000E79F0000}"/>
    <cellStyle name="Output 2 2 2 10 4" xfId="40938" xr:uid="{00000000-0005-0000-0000-0000E89F0000}"/>
    <cellStyle name="Output 2 2 2 10 5" xfId="40939" xr:uid="{00000000-0005-0000-0000-0000E99F0000}"/>
    <cellStyle name="Output 2 2 2 10 6" xfId="40940" xr:uid="{00000000-0005-0000-0000-0000EA9F0000}"/>
    <cellStyle name="Output 2 2 2 11" xfId="40941" xr:uid="{00000000-0005-0000-0000-0000EB9F0000}"/>
    <cellStyle name="Output 2 2 2 11 2" xfId="40942" xr:uid="{00000000-0005-0000-0000-0000EC9F0000}"/>
    <cellStyle name="Output 2 2 2 11 3" xfId="40943" xr:uid="{00000000-0005-0000-0000-0000ED9F0000}"/>
    <cellStyle name="Output 2 2 2 11 4" xfId="40944" xr:uid="{00000000-0005-0000-0000-0000EE9F0000}"/>
    <cellStyle name="Output 2 2 2 11 5" xfId="40945" xr:uid="{00000000-0005-0000-0000-0000EF9F0000}"/>
    <cellStyle name="Output 2 2 2 12" xfId="40946" xr:uid="{00000000-0005-0000-0000-0000F09F0000}"/>
    <cellStyle name="Output 2 2 2 13" xfId="40947" xr:uid="{00000000-0005-0000-0000-0000F19F0000}"/>
    <cellStyle name="Output 2 2 2 14" xfId="40948" xr:uid="{00000000-0005-0000-0000-0000F29F0000}"/>
    <cellStyle name="Output 2 2 2 15" xfId="40949" xr:uid="{00000000-0005-0000-0000-0000F39F0000}"/>
    <cellStyle name="Output 2 2 2 2" xfId="40950" xr:uid="{00000000-0005-0000-0000-0000F49F0000}"/>
    <cellStyle name="Output 2 2 2 2 10" xfId="40951" xr:uid="{00000000-0005-0000-0000-0000F59F0000}"/>
    <cellStyle name="Output 2 2 2 2 2" xfId="40952" xr:uid="{00000000-0005-0000-0000-0000F69F0000}"/>
    <cellStyle name="Output 2 2 2 2 2 2" xfId="40953" xr:uid="{00000000-0005-0000-0000-0000F79F0000}"/>
    <cellStyle name="Output 2 2 2 2 2 2 2" xfId="40954" xr:uid="{00000000-0005-0000-0000-0000F89F0000}"/>
    <cellStyle name="Output 2 2 2 2 2 2 2 2" xfId="40955" xr:uid="{00000000-0005-0000-0000-0000F99F0000}"/>
    <cellStyle name="Output 2 2 2 2 2 2 2 3" xfId="40956" xr:uid="{00000000-0005-0000-0000-0000FA9F0000}"/>
    <cellStyle name="Output 2 2 2 2 2 2 2 4" xfId="40957" xr:uid="{00000000-0005-0000-0000-0000FB9F0000}"/>
    <cellStyle name="Output 2 2 2 2 2 2 2 5" xfId="40958" xr:uid="{00000000-0005-0000-0000-0000FC9F0000}"/>
    <cellStyle name="Output 2 2 2 2 2 2 2 6" xfId="40959" xr:uid="{00000000-0005-0000-0000-0000FD9F0000}"/>
    <cellStyle name="Output 2 2 2 2 2 2 3" xfId="40960" xr:uid="{00000000-0005-0000-0000-0000FE9F0000}"/>
    <cellStyle name="Output 2 2 2 2 2 2 4" xfId="40961" xr:uid="{00000000-0005-0000-0000-0000FF9F0000}"/>
    <cellStyle name="Output 2 2 2 2 2 2 5" xfId="40962" xr:uid="{00000000-0005-0000-0000-000000A00000}"/>
    <cellStyle name="Output 2 2 2 2 2 2 6" xfId="40963" xr:uid="{00000000-0005-0000-0000-000001A00000}"/>
    <cellStyle name="Output 2 2 2 2 2 3" xfId="40964" xr:uid="{00000000-0005-0000-0000-000002A00000}"/>
    <cellStyle name="Output 2 2 2 2 2 3 2" xfId="40965" xr:uid="{00000000-0005-0000-0000-000003A00000}"/>
    <cellStyle name="Output 2 2 2 2 2 3 2 2" xfId="40966" xr:uid="{00000000-0005-0000-0000-000004A00000}"/>
    <cellStyle name="Output 2 2 2 2 2 3 2 3" xfId="40967" xr:uid="{00000000-0005-0000-0000-000005A00000}"/>
    <cellStyle name="Output 2 2 2 2 2 3 2 4" xfId="40968" xr:uid="{00000000-0005-0000-0000-000006A00000}"/>
    <cellStyle name="Output 2 2 2 2 2 3 2 5" xfId="40969" xr:uid="{00000000-0005-0000-0000-000007A00000}"/>
    <cellStyle name="Output 2 2 2 2 2 3 2 6" xfId="40970" xr:uid="{00000000-0005-0000-0000-000008A00000}"/>
    <cellStyle name="Output 2 2 2 2 2 3 3" xfId="40971" xr:uid="{00000000-0005-0000-0000-000009A00000}"/>
    <cellStyle name="Output 2 2 2 2 2 3 4" xfId="40972" xr:uid="{00000000-0005-0000-0000-00000AA00000}"/>
    <cellStyle name="Output 2 2 2 2 2 3 5" xfId="40973" xr:uid="{00000000-0005-0000-0000-00000BA00000}"/>
    <cellStyle name="Output 2 2 2 2 2 3 6" xfId="40974" xr:uid="{00000000-0005-0000-0000-00000CA00000}"/>
    <cellStyle name="Output 2 2 2 2 2 4" xfId="40975" xr:uid="{00000000-0005-0000-0000-00000DA00000}"/>
    <cellStyle name="Output 2 2 2 2 2 4 2" xfId="40976" xr:uid="{00000000-0005-0000-0000-00000EA00000}"/>
    <cellStyle name="Output 2 2 2 2 2 4 3" xfId="40977" xr:uid="{00000000-0005-0000-0000-00000FA00000}"/>
    <cellStyle name="Output 2 2 2 2 2 4 4" xfId="40978" xr:uid="{00000000-0005-0000-0000-000010A00000}"/>
    <cellStyle name="Output 2 2 2 2 2 4 5" xfId="40979" xr:uid="{00000000-0005-0000-0000-000011A00000}"/>
    <cellStyle name="Output 2 2 2 2 2 4 6" xfId="40980" xr:uid="{00000000-0005-0000-0000-000012A00000}"/>
    <cellStyle name="Output 2 2 2 2 2 5" xfId="40981" xr:uid="{00000000-0005-0000-0000-000013A00000}"/>
    <cellStyle name="Output 2 2 2 2 2 6" xfId="40982" xr:uid="{00000000-0005-0000-0000-000014A00000}"/>
    <cellStyle name="Output 2 2 2 2 2 7" xfId="40983" xr:uid="{00000000-0005-0000-0000-000015A00000}"/>
    <cellStyle name="Output 2 2 2 2 2 8" xfId="40984" xr:uid="{00000000-0005-0000-0000-000016A00000}"/>
    <cellStyle name="Output 2 2 2 2 3" xfId="40985" xr:uid="{00000000-0005-0000-0000-000017A00000}"/>
    <cellStyle name="Output 2 2 2 2 3 2" xfId="40986" xr:uid="{00000000-0005-0000-0000-000018A00000}"/>
    <cellStyle name="Output 2 2 2 2 3 2 2" xfId="40987" xr:uid="{00000000-0005-0000-0000-000019A00000}"/>
    <cellStyle name="Output 2 2 2 2 3 2 3" xfId="40988" xr:uid="{00000000-0005-0000-0000-00001AA00000}"/>
    <cellStyle name="Output 2 2 2 2 3 2 4" xfId="40989" xr:uid="{00000000-0005-0000-0000-00001BA00000}"/>
    <cellStyle name="Output 2 2 2 2 3 2 5" xfId="40990" xr:uid="{00000000-0005-0000-0000-00001CA00000}"/>
    <cellStyle name="Output 2 2 2 2 3 2 6" xfId="40991" xr:uid="{00000000-0005-0000-0000-00001DA00000}"/>
    <cellStyle name="Output 2 2 2 2 3 3" xfId="40992" xr:uid="{00000000-0005-0000-0000-00001EA00000}"/>
    <cellStyle name="Output 2 2 2 2 3 4" xfId="40993" xr:uid="{00000000-0005-0000-0000-00001FA00000}"/>
    <cellStyle name="Output 2 2 2 2 3 5" xfId="40994" xr:uid="{00000000-0005-0000-0000-000020A00000}"/>
    <cellStyle name="Output 2 2 2 2 3 6" xfId="40995" xr:uid="{00000000-0005-0000-0000-000021A00000}"/>
    <cellStyle name="Output 2 2 2 2 4" xfId="40996" xr:uid="{00000000-0005-0000-0000-000022A00000}"/>
    <cellStyle name="Output 2 2 2 2 4 2" xfId="40997" xr:uid="{00000000-0005-0000-0000-000023A00000}"/>
    <cellStyle name="Output 2 2 2 2 4 2 2" xfId="40998" xr:uid="{00000000-0005-0000-0000-000024A00000}"/>
    <cellStyle name="Output 2 2 2 2 4 2 3" xfId="40999" xr:uid="{00000000-0005-0000-0000-000025A00000}"/>
    <cellStyle name="Output 2 2 2 2 4 2 4" xfId="41000" xr:uid="{00000000-0005-0000-0000-000026A00000}"/>
    <cellStyle name="Output 2 2 2 2 4 2 5" xfId="41001" xr:uid="{00000000-0005-0000-0000-000027A00000}"/>
    <cellStyle name="Output 2 2 2 2 4 2 6" xfId="41002" xr:uid="{00000000-0005-0000-0000-000028A00000}"/>
    <cellStyle name="Output 2 2 2 2 4 3" xfId="41003" xr:uid="{00000000-0005-0000-0000-000029A00000}"/>
    <cellStyle name="Output 2 2 2 2 4 4" xfId="41004" xr:uid="{00000000-0005-0000-0000-00002AA00000}"/>
    <cellStyle name="Output 2 2 2 2 4 5" xfId="41005" xr:uid="{00000000-0005-0000-0000-00002BA00000}"/>
    <cellStyle name="Output 2 2 2 2 4 6" xfId="41006" xr:uid="{00000000-0005-0000-0000-00002CA00000}"/>
    <cellStyle name="Output 2 2 2 2 5" xfId="41007" xr:uid="{00000000-0005-0000-0000-00002DA00000}"/>
    <cellStyle name="Output 2 2 2 2 5 2" xfId="41008" xr:uid="{00000000-0005-0000-0000-00002EA00000}"/>
    <cellStyle name="Output 2 2 2 2 5 3" xfId="41009" xr:uid="{00000000-0005-0000-0000-00002FA00000}"/>
    <cellStyle name="Output 2 2 2 2 5 4" xfId="41010" xr:uid="{00000000-0005-0000-0000-000030A00000}"/>
    <cellStyle name="Output 2 2 2 2 5 5" xfId="41011" xr:uid="{00000000-0005-0000-0000-000031A00000}"/>
    <cellStyle name="Output 2 2 2 2 5 6" xfId="41012" xr:uid="{00000000-0005-0000-0000-000032A00000}"/>
    <cellStyle name="Output 2 2 2 2 6" xfId="41013" xr:uid="{00000000-0005-0000-0000-000033A00000}"/>
    <cellStyle name="Output 2 2 2 2 6 2" xfId="41014" xr:uid="{00000000-0005-0000-0000-000034A00000}"/>
    <cellStyle name="Output 2 2 2 2 6 3" xfId="41015" xr:uid="{00000000-0005-0000-0000-000035A00000}"/>
    <cellStyle name="Output 2 2 2 2 6 4" xfId="41016" xr:uid="{00000000-0005-0000-0000-000036A00000}"/>
    <cellStyle name="Output 2 2 2 2 6 5" xfId="41017" xr:uid="{00000000-0005-0000-0000-000037A00000}"/>
    <cellStyle name="Output 2 2 2 2 7" xfId="41018" xr:uid="{00000000-0005-0000-0000-000038A00000}"/>
    <cellStyle name="Output 2 2 2 2 8" xfId="41019" xr:uid="{00000000-0005-0000-0000-000039A00000}"/>
    <cellStyle name="Output 2 2 2 2 9" xfId="41020" xr:uid="{00000000-0005-0000-0000-00003AA00000}"/>
    <cellStyle name="Output 2 2 2 3" xfId="41021" xr:uid="{00000000-0005-0000-0000-00003BA00000}"/>
    <cellStyle name="Output 2 2 2 3 2" xfId="41022" xr:uid="{00000000-0005-0000-0000-00003CA00000}"/>
    <cellStyle name="Output 2 2 2 3 2 2" xfId="41023" xr:uid="{00000000-0005-0000-0000-00003DA00000}"/>
    <cellStyle name="Output 2 2 2 3 2 2 2" xfId="41024" xr:uid="{00000000-0005-0000-0000-00003EA00000}"/>
    <cellStyle name="Output 2 2 2 3 2 2 3" xfId="41025" xr:uid="{00000000-0005-0000-0000-00003FA00000}"/>
    <cellStyle name="Output 2 2 2 3 2 2 4" xfId="41026" xr:uid="{00000000-0005-0000-0000-000040A00000}"/>
    <cellStyle name="Output 2 2 2 3 2 2 5" xfId="41027" xr:uid="{00000000-0005-0000-0000-000041A00000}"/>
    <cellStyle name="Output 2 2 2 3 2 2 6" xfId="41028" xr:uid="{00000000-0005-0000-0000-000042A00000}"/>
    <cellStyle name="Output 2 2 2 3 2 3" xfId="41029" xr:uid="{00000000-0005-0000-0000-000043A00000}"/>
    <cellStyle name="Output 2 2 2 3 2 4" xfId="41030" xr:uid="{00000000-0005-0000-0000-000044A00000}"/>
    <cellStyle name="Output 2 2 2 3 2 5" xfId="41031" xr:uid="{00000000-0005-0000-0000-000045A00000}"/>
    <cellStyle name="Output 2 2 2 3 2 6" xfId="41032" xr:uid="{00000000-0005-0000-0000-000046A00000}"/>
    <cellStyle name="Output 2 2 2 3 3" xfId="41033" xr:uid="{00000000-0005-0000-0000-000047A00000}"/>
    <cellStyle name="Output 2 2 2 3 3 2" xfId="41034" xr:uid="{00000000-0005-0000-0000-000048A00000}"/>
    <cellStyle name="Output 2 2 2 3 3 2 2" xfId="41035" xr:uid="{00000000-0005-0000-0000-000049A00000}"/>
    <cellStyle name="Output 2 2 2 3 3 2 3" xfId="41036" xr:uid="{00000000-0005-0000-0000-00004AA00000}"/>
    <cellStyle name="Output 2 2 2 3 3 2 4" xfId="41037" xr:uid="{00000000-0005-0000-0000-00004BA00000}"/>
    <cellStyle name="Output 2 2 2 3 3 2 5" xfId="41038" xr:uid="{00000000-0005-0000-0000-00004CA00000}"/>
    <cellStyle name="Output 2 2 2 3 3 2 6" xfId="41039" xr:uid="{00000000-0005-0000-0000-00004DA00000}"/>
    <cellStyle name="Output 2 2 2 3 3 3" xfId="41040" xr:uid="{00000000-0005-0000-0000-00004EA00000}"/>
    <cellStyle name="Output 2 2 2 3 3 4" xfId="41041" xr:uid="{00000000-0005-0000-0000-00004FA00000}"/>
    <cellStyle name="Output 2 2 2 3 3 5" xfId="41042" xr:uid="{00000000-0005-0000-0000-000050A00000}"/>
    <cellStyle name="Output 2 2 2 3 3 6" xfId="41043" xr:uid="{00000000-0005-0000-0000-000051A00000}"/>
    <cellStyle name="Output 2 2 2 3 4" xfId="41044" xr:uid="{00000000-0005-0000-0000-000052A00000}"/>
    <cellStyle name="Output 2 2 2 3 4 2" xfId="41045" xr:uid="{00000000-0005-0000-0000-000053A00000}"/>
    <cellStyle name="Output 2 2 2 3 4 3" xfId="41046" xr:uid="{00000000-0005-0000-0000-000054A00000}"/>
    <cellStyle name="Output 2 2 2 3 4 4" xfId="41047" xr:uid="{00000000-0005-0000-0000-000055A00000}"/>
    <cellStyle name="Output 2 2 2 3 4 5" xfId="41048" xr:uid="{00000000-0005-0000-0000-000056A00000}"/>
    <cellStyle name="Output 2 2 2 3 4 6" xfId="41049" xr:uid="{00000000-0005-0000-0000-000057A00000}"/>
    <cellStyle name="Output 2 2 2 3 5" xfId="41050" xr:uid="{00000000-0005-0000-0000-000058A00000}"/>
    <cellStyle name="Output 2 2 2 3 6" xfId="41051" xr:uid="{00000000-0005-0000-0000-000059A00000}"/>
    <cellStyle name="Output 2 2 2 3 7" xfId="41052" xr:uid="{00000000-0005-0000-0000-00005AA00000}"/>
    <cellStyle name="Output 2 2 2 3 8" xfId="41053" xr:uid="{00000000-0005-0000-0000-00005BA00000}"/>
    <cellStyle name="Output 2 2 2 4" xfId="41054" xr:uid="{00000000-0005-0000-0000-00005CA00000}"/>
    <cellStyle name="Output 2 2 2 4 2" xfId="41055" xr:uid="{00000000-0005-0000-0000-00005DA00000}"/>
    <cellStyle name="Output 2 2 2 4 2 2" xfId="41056" xr:uid="{00000000-0005-0000-0000-00005EA00000}"/>
    <cellStyle name="Output 2 2 2 4 2 2 2" xfId="41057" xr:uid="{00000000-0005-0000-0000-00005FA00000}"/>
    <cellStyle name="Output 2 2 2 4 2 2 3" xfId="41058" xr:uid="{00000000-0005-0000-0000-000060A00000}"/>
    <cellStyle name="Output 2 2 2 4 2 2 4" xfId="41059" xr:uid="{00000000-0005-0000-0000-000061A00000}"/>
    <cellStyle name="Output 2 2 2 4 2 2 5" xfId="41060" xr:uid="{00000000-0005-0000-0000-000062A00000}"/>
    <cellStyle name="Output 2 2 2 4 2 2 6" xfId="41061" xr:uid="{00000000-0005-0000-0000-000063A00000}"/>
    <cellStyle name="Output 2 2 2 4 2 3" xfId="41062" xr:uid="{00000000-0005-0000-0000-000064A00000}"/>
    <cellStyle name="Output 2 2 2 4 2 4" xfId="41063" xr:uid="{00000000-0005-0000-0000-000065A00000}"/>
    <cellStyle name="Output 2 2 2 4 2 5" xfId="41064" xr:uid="{00000000-0005-0000-0000-000066A00000}"/>
    <cellStyle name="Output 2 2 2 4 2 6" xfId="41065" xr:uid="{00000000-0005-0000-0000-000067A00000}"/>
    <cellStyle name="Output 2 2 2 4 3" xfId="41066" xr:uid="{00000000-0005-0000-0000-000068A00000}"/>
    <cellStyle name="Output 2 2 2 4 3 2" xfId="41067" xr:uid="{00000000-0005-0000-0000-000069A00000}"/>
    <cellStyle name="Output 2 2 2 4 3 2 2" xfId="41068" xr:uid="{00000000-0005-0000-0000-00006AA00000}"/>
    <cellStyle name="Output 2 2 2 4 3 2 3" xfId="41069" xr:uid="{00000000-0005-0000-0000-00006BA00000}"/>
    <cellStyle name="Output 2 2 2 4 3 2 4" xfId="41070" xr:uid="{00000000-0005-0000-0000-00006CA00000}"/>
    <cellStyle name="Output 2 2 2 4 3 2 5" xfId="41071" xr:uid="{00000000-0005-0000-0000-00006DA00000}"/>
    <cellStyle name="Output 2 2 2 4 3 2 6" xfId="41072" xr:uid="{00000000-0005-0000-0000-00006EA00000}"/>
    <cellStyle name="Output 2 2 2 4 3 3" xfId="41073" xr:uid="{00000000-0005-0000-0000-00006FA00000}"/>
    <cellStyle name="Output 2 2 2 4 3 4" xfId="41074" xr:uid="{00000000-0005-0000-0000-000070A00000}"/>
    <cellStyle name="Output 2 2 2 4 3 5" xfId="41075" xr:uid="{00000000-0005-0000-0000-000071A00000}"/>
    <cellStyle name="Output 2 2 2 4 3 6" xfId="41076" xr:uid="{00000000-0005-0000-0000-000072A00000}"/>
    <cellStyle name="Output 2 2 2 4 4" xfId="41077" xr:uid="{00000000-0005-0000-0000-000073A00000}"/>
    <cellStyle name="Output 2 2 2 4 4 2" xfId="41078" xr:uid="{00000000-0005-0000-0000-000074A00000}"/>
    <cellStyle name="Output 2 2 2 4 4 3" xfId="41079" xr:uid="{00000000-0005-0000-0000-000075A00000}"/>
    <cellStyle name="Output 2 2 2 4 4 4" xfId="41080" xr:uid="{00000000-0005-0000-0000-000076A00000}"/>
    <cellStyle name="Output 2 2 2 4 4 5" xfId="41081" xr:uid="{00000000-0005-0000-0000-000077A00000}"/>
    <cellStyle name="Output 2 2 2 4 4 6" xfId="41082" xr:uid="{00000000-0005-0000-0000-000078A00000}"/>
    <cellStyle name="Output 2 2 2 4 5" xfId="41083" xr:uid="{00000000-0005-0000-0000-000079A00000}"/>
    <cellStyle name="Output 2 2 2 4 6" xfId="41084" xr:uid="{00000000-0005-0000-0000-00007AA00000}"/>
    <cellStyle name="Output 2 2 2 4 7" xfId="41085" xr:uid="{00000000-0005-0000-0000-00007BA00000}"/>
    <cellStyle name="Output 2 2 2 4 8" xfId="41086" xr:uid="{00000000-0005-0000-0000-00007CA00000}"/>
    <cellStyle name="Output 2 2 2 5" xfId="41087" xr:uid="{00000000-0005-0000-0000-00007DA00000}"/>
    <cellStyle name="Output 2 2 2 5 2" xfId="41088" xr:uid="{00000000-0005-0000-0000-00007EA00000}"/>
    <cellStyle name="Output 2 2 2 5 2 2" xfId="41089" xr:uid="{00000000-0005-0000-0000-00007FA00000}"/>
    <cellStyle name="Output 2 2 2 5 2 2 2" xfId="41090" xr:uid="{00000000-0005-0000-0000-000080A00000}"/>
    <cellStyle name="Output 2 2 2 5 2 2 3" xfId="41091" xr:uid="{00000000-0005-0000-0000-000081A00000}"/>
    <cellStyle name="Output 2 2 2 5 2 2 4" xfId="41092" xr:uid="{00000000-0005-0000-0000-000082A00000}"/>
    <cellStyle name="Output 2 2 2 5 2 2 5" xfId="41093" xr:uid="{00000000-0005-0000-0000-000083A00000}"/>
    <cellStyle name="Output 2 2 2 5 2 2 6" xfId="41094" xr:uid="{00000000-0005-0000-0000-000084A00000}"/>
    <cellStyle name="Output 2 2 2 5 2 3" xfId="41095" xr:uid="{00000000-0005-0000-0000-000085A00000}"/>
    <cellStyle name="Output 2 2 2 5 2 4" xfId="41096" xr:uid="{00000000-0005-0000-0000-000086A00000}"/>
    <cellStyle name="Output 2 2 2 5 2 5" xfId="41097" xr:uid="{00000000-0005-0000-0000-000087A00000}"/>
    <cellStyle name="Output 2 2 2 5 2 6" xfId="41098" xr:uid="{00000000-0005-0000-0000-000088A00000}"/>
    <cellStyle name="Output 2 2 2 5 3" xfId="41099" xr:uid="{00000000-0005-0000-0000-000089A00000}"/>
    <cellStyle name="Output 2 2 2 5 3 2" xfId="41100" xr:uid="{00000000-0005-0000-0000-00008AA00000}"/>
    <cellStyle name="Output 2 2 2 5 3 2 2" xfId="41101" xr:uid="{00000000-0005-0000-0000-00008BA00000}"/>
    <cellStyle name="Output 2 2 2 5 3 2 3" xfId="41102" xr:uid="{00000000-0005-0000-0000-00008CA00000}"/>
    <cellStyle name="Output 2 2 2 5 3 2 4" xfId="41103" xr:uid="{00000000-0005-0000-0000-00008DA00000}"/>
    <cellStyle name="Output 2 2 2 5 3 2 5" xfId="41104" xr:uid="{00000000-0005-0000-0000-00008EA00000}"/>
    <cellStyle name="Output 2 2 2 5 3 2 6" xfId="41105" xr:uid="{00000000-0005-0000-0000-00008FA00000}"/>
    <cellStyle name="Output 2 2 2 5 3 3" xfId="41106" xr:uid="{00000000-0005-0000-0000-000090A00000}"/>
    <cellStyle name="Output 2 2 2 5 3 4" xfId="41107" xr:uid="{00000000-0005-0000-0000-000091A00000}"/>
    <cellStyle name="Output 2 2 2 5 3 5" xfId="41108" xr:uid="{00000000-0005-0000-0000-000092A00000}"/>
    <cellStyle name="Output 2 2 2 5 3 6" xfId="41109" xr:uid="{00000000-0005-0000-0000-000093A00000}"/>
    <cellStyle name="Output 2 2 2 5 4" xfId="41110" xr:uid="{00000000-0005-0000-0000-000094A00000}"/>
    <cellStyle name="Output 2 2 2 5 4 2" xfId="41111" xr:uid="{00000000-0005-0000-0000-000095A00000}"/>
    <cellStyle name="Output 2 2 2 5 4 3" xfId="41112" xr:uid="{00000000-0005-0000-0000-000096A00000}"/>
    <cellStyle name="Output 2 2 2 5 4 4" xfId="41113" xr:uid="{00000000-0005-0000-0000-000097A00000}"/>
    <cellStyle name="Output 2 2 2 5 4 5" xfId="41114" xr:uid="{00000000-0005-0000-0000-000098A00000}"/>
    <cellStyle name="Output 2 2 2 5 4 6" xfId="41115" xr:uid="{00000000-0005-0000-0000-000099A00000}"/>
    <cellStyle name="Output 2 2 2 5 5" xfId="41116" xr:uid="{00000000-0005-0000-0000-00009AA00000}"/>
    <cellStyle name="Output 2 2 2 5 6" xfId="41117" xr:uid="{00000000-0005-0000-0000-00009BA00000}"/>
    <cellStyle name="Output 2 2 2 5 7" xfId="41118" xr:uid="{00000000-0005-0000-0000-00009CA00000}"/>
    <cellStyle name="Output 2 2 2 5 8" xfId="41119" xr:uid="{00000000-0005-0000-0000-00009DA00000}"/>
    <cellStyle name="Output 2 2 2 6" xfId="41120" xr:uid="{00000000-0005-0000-0000-00009EA00000}"/>
    <cellStyle name="Output 2 2 2 6 2" xfId="41121" xr:uid="{00000000-0005-0000-0000-00009FA00000}"/>
    <cellStyle name="Output 2 2 2 6 2 2" xfId="41122" xr:uid="{00000000-0005-0000-0000-0000A0A00000}"/>
    <cellStyle name="Output 2 2 2 6 2 2 2" xfId="41123" xr:uid="{00000000-0005-0000-0000-0000A1A00000}"/>
    <cellStyle name="Output 2 2 2 6 2 2 3" xfId="41124" xr:uid="{00000000-0005-0000-0000-0000A2A00000}"/>
    <cellStyle name="Output 2 2 2 6 2 2 4" xfId="41125" xr:uid="{00000000-0005-0000-0000-0000A3A00000}"/>
    <cellStyle name="Output 2 2 2 6 2 2 5" xfId="41126" xr:uid="{00000000-0005-0000-0000-0000A4A00000}"/>
    <cellStyle name="Output 2 2 2 6 2 2 6" xfId="41127" xr:uid="{00000000-0005-0000-0000-0000A5A00000}"/>
    <cellStyle name="Output 2 2 2 6 2 3" xfId="41128" xr:uid="{00000000-0005-0000-0000-0000A6A00000}"/>
    <cellStyle name="Output 2 2 2 6 2 4" xfId="41129" xr:uid="{00000000-0005-0000-0000-0000A7A00000}"/>
    <cellStyle name="Output 2 2 2 6 2 5" xfId="41130" xr:uid="{00000000-0005-0000-0000-0000A8A00000}"/>
    <cellStyle name="Output 2 2 2 6 2 6" xfId="41131" xr:uid="{00000000-0005-0000-0000-0000A9A00000}"/>
    <cellStyle name="Output 2 2 2 6 3" xfId="41132" xr:uid="{00000000-0005-0000-0000-0000AAA00000}"/>
    <cellStyle name="Output 2 2 2 6 3 2" xfId="41133" xr:uid="{00000000-0005-0000-0000-0000ABA00000}"/>
    <cellStyle name="Output 2 2 2 6 3 2 2" xfId="41134" xr:uid="{00000000-0005-0000-0000-0000ACA00000}"/>
    <cellStyle name="Output 2 2 2 6 3 2 3" xfId="41135" xr:uid="{00000000-0005-0000-0000-0000ADA00000}"/>
    <cellStyle name="Output 2 2 2 6 3 2 4" xfId="41136" xr:uid="{00000000-0005-0000-0000-0000AEA00000}"/>
    <cellStyle name="Output 2 2 2 6 3 2 5" xfId="41137" xr:uid="{00000000-0005-0000-0000-0000AFA00000}"/>
    <cellStyle name="Output 2 2 2 6 3 2 6" xfId="41138" xr:uid="{00000000-0005-0000-0000-0000B0A00000}"/>
    <cellStyle name="Output 2 2 2 6 3 3" xfId="41139" xr:uid="{00000000-0005-0000-0000-0000B1A00000}"/>
    <cellStyle name="Output 2 2 2 6 3 4" xfId="41140" xr:uid="{00000000-0005-0000-0000-0000B2A00000}"/>
    <cellStyle name="Output 2 2 2 6 3 5" xfId="41141" xr:uid="{00000000-0005-0000-0000-0000B3A00000}"/>
    <cellStyle name="Output 2 2 2 6 3 6" xfId="41142" xr:uid="{00000000-0005-0000-0000-0000B4A00000}"/>
    <cellStyle name="Output 2 2 2 6 4" xfId="41143" xr:uid="{00000000-0005-0000-0000-0000B5A00000}"/>
    <cellStyle name="Output 2 2 2 6 4 2" xfId="41144" xr:uid="{00000000-0005-0000-0000-0000B6A00000}"/>
    <cellStyle name="Output 2 2 2 6 4 3" xfId="41145" xr:uid="{00000000-0005-0000-0000-0000B7A00000}"/>
    <cellStyle name="Output 2 2 2 6 4 4" xfId="41146" xr:uid="{00000000-0005-0000-0000-0000B8A00000}"/>
    <cellStyle name="Output 2 2 2 6 4 5" xfId="41147" xr:uid="{00000000-0005-0000-0000-0000B9A00000}"/>
    <cellStyle name="Output 2 2 2 6 4 6" xfId="41148" xr:uid="{00000000-0005-0000-0000-0000BAA00000}"/>
    <cellStyle name="Output 2 2 2 6 5" xfId="41149" xr:uid="{00000000-0005-0000-0000-0000BBA00000}"/>
    <cellStyle name="Output 2 2 2 6 6" xfId="41150" xr:uid="{00000000-0005-0000-0000-0000BCA00000}"/>
    <cellStyle name="Output 2 2 2 6 7" xfId="41151" xr:uid="{00000000-0005-0000-0000-0000BDA00000}"/>
    <cellStyle name="Output 2 2 2 6 8" xfId="41152" xr:uid="{00000000-0005-0000-0000-0000BEA00000}"/>
    <cellStyle name="Output 2 2 2 7" xfId="41153" xr:uid="{00000000-0005-0000-0000-0000BFA00000}"/>
    <cellStyle name="Output 2 2 2 7 2" xfId="41154" xr:uid="{00000000-0005-0000-0000-0000C0A00000}"/>
    <cellStyle name="Output 2 2 2 7 2 2" xfId="41155" xr:uid="{00000000-0005-0000-0000-0000C1A00000}"/>
    <cellStyle name="Output 2 2 2 7 2 2 2" xfId="41156" xr:uid="{00000000-0005-0000-0000-0000C2A00000}"/>
    <cellStyle name="Output 2 2 2 7 2 2 3" xfId="41157" xr:uid="{00000000-0005-0000-0000-0000C3A00000}"/>
    <cellStyle name="Output 2 2 2 7 2 2 4" xfId="41158" xr:uid="{00000000-0005-0000-0000-0000C4A00000}"/>
    <cellStyle name="Output 2 2 2 7 2 2 5" xfId="41159" xr:uid="{00000000-0005-0000-0000-0000C5A00000}"/>
    <cellStyle name="Output 2 2 2 7 2 2 6" xfId="41160" xr:uid="{00000000-0005-0000-0000-0000C6A00000}"/>
    <cellStyle name="Output 2 2 2 7 2 3" xfId="41161" xr:uid="{00000000-0005-0000-0000-0000C7A00000}"/>
    <cellStyle name="Output 2 2 2 7 2 4" xfId="41162" xr:uid="{00000000-0005-0000-0000-0000C8A00000}"/>
    <cellStyle name="Output 2 2 2 7 2 5" xfId="41163" xr:uid="{00000000-0005-0000-0000-0000C9A00000}"/>
    <cellStyle name="Output 2 2 2 7 2 6" xfId="41164" xr:uid="{00000000-0005-0000-0000-0000CAA00000}"/>
    <cellStyle name="Output 2 2 2 7 3" xfId="41165" xr:uid="{00000000-0005-0000-0000-0000CBA00000}"/>
    <cellStyle name="Output 2 2 2 7 3 2" xfId="41166" xr:uid="{00000000-0005-0000-0000-0000CCA00000}"/>
    <cellStyle name="Output 2 2 2 7 3 2 2" xfId="41167" xr:uid="{00000000-0005-0000-0000-0000CDA00000}"/>
    <cellStyle name="Output 2 2 2 7 3 2 3" xfId="41168" xr:uid="{00000000-0005-0000-0000-0000CEA00000}"/>
    <cellStyle name="Output 2 2 2 7 3 2 4" xfId="41169" xr:uid="{00000000-0005-0000-0000-0000CFA00000}"/>
    <cellStyle name="Output 2 2 2 7 3 2 5" xfId="41170" xr:uid="{00000000-0005-0000-0000-0000D0A00000}"/>
    <cellStyle name="Output 2 2 2 7 3 2 6" xfId="41171" xr:uid="{00000000-0005-0000-0000-0000D1A00000}"/>
    <cellStyle name="Output 2 2 2 7 3 3" xfId="41172" xr:uid="{00000000-0005-0000-0000-0000D2A00000}"/>
    <cellStyle name="Output 2 2 2 7 3 4" xfId="41173" xr:uid="{00000000-0005-0000-0000-0000D3A00000}"/>
    <cellStyle name="Output 2 2 2 7 3 5" xfId="41174" xr:uid="{00000000-0005-0000-0000-0000D4A00000}"/>
    <cellStyle name="Output 2 2 2 7 3 6" xfId="41175" xr:uid="{00000000-0005-0000-0000-0000D5A00000}"/>
    <cellStyle name="Output 2 2 2 7 4" xfId="41176" xr:uid="{00000000-0005-0000-0000-0000D6A00000}"/>
    <cellStyle name="Output 2 2 2 7 4 2" xfId="41177" xr:uid="{00000000-0005-0000-0000-0000D7A00000}"/>
    <cellStyle name="Output 2 2 2 7 4 3" xfId="41178" xr:uid="{00000000-0005-0000-0000-0000D8A00000}"/>
    <cellStyle name="Output 2 2 2 7 4 4" xfId="41179" xr:uid="{00000000-0005-0000-0000-0000D9A00000}"/>
    <cellStyle name="Output 2 2 2 7 4 5" xfId="41180" xr:uid="{00000000-0005-0000-0000-0000DAA00000}"/>
    <cellStyle name="Output 2 2 2 7 4 6" xfId="41181" xr:uid="{00000000-0005-0000-0000-0000DBA00000}"/>
    <cellStyle name="Output 2 2 2 7 5" xfId="41182" xr:uid="{00000000-0005-0000-0000-0000DCA00000}"/>
    <cellStyle name="Output 2 2 2 7 6" xfId="41183" xr:uid="{00000000-0005-0000-0000-0000DDA00000}"/>
    <cellStyle name="Output 2 2 2 7 7" xfId="41184" xr:uid="{00000000-0005-0000-0000-0000DEA00000}"/>
    <cellStyle name="Output 2 2 2 7 8" xfId="41185" xr:uid="{00000000-0005-0000-0000-0000DFA00000}"/>
    <cellStyle name="Output 2 2 2 8" xfId="41186" xr:uid="{00000000-0005-0000-0000-0000E0A00000}"/>
    <cellStyle name="Output 2 2 2 8 2" xfId="41187" xr:uid="{00000000-0005-0000-0000-0000E1A00000}"/>
    <cellStyle name="Output 2 2 2 8 2 2" xfId="41188" xr:uid="{00000000-0005-0000-0000-0000E2A00000}"/>
    <cellStyle name="Output 2 2 2 8 2 3" xfId="41189" xr:uid="{00000000-0005-0000-0000-0000E3A00000}"/>
    <cellStyle name="Output 2 2 2 8 2 4" xfId="41190" xr:uid="{00000000-0005-0000-0000-0000E4A00000}"/>
    <cellStyle name="Output 2 2 2 8 2 5" xfId="41191" xr:uid="{00000000-0005-0000-0000-0000E5A00000}"/>
    <cellStyle name="Output 2 2 2 8 2 6" xfId="41192" xr:uid="{00000000-0005-0000-0000-0000E6A00000}"/>
    <cellStyle name="Output 2 2 2 8 3" xfId="41193" xr:uid="{00000000-0005-0000-0000-0000E7A00000}"/>
    <cellStyle name="Output 2 2 2 8 4" xfId="41194" xr:uid="{00000000-0005-0000-0000-0000E8A00000}"/>
    <cellStyle name="Output 2 2 2 8 5" xfId="41195" xr:uid="{00000000-0005-0000-0000-0000E9A00000}"/>
    <cellStyle name="Output 2 2 2 8 6" xfId="41196" xr:uid="{00000000-0005-0000-0000-0000EAA00000}"/>
    <cellStyle name="Output 2 2 2 9" xfId="41197" xr:uid="{00000000-0005-0000-0000-0000EBA00000}"/>
    <cellStyle name="Output 2 2 2 9 2" xfId="41198" xr:uid="{00000000-0005-0000-0000-0000ECA00000}"/>
    <cellStyle name="Output 2 2 2 9 2 2" xfId="41199" xr:uid="{00000000-0005-0000-0000-0000EDA00000}"/>
    <cellStyle name="Output 2 2 2 9 2 3" xfId="41200" xr:uid="{00000000-0005-0000-0000-0000EEA00000}"/>
    <cellStyle name="Output 2 2 2 9 2 4" xfId="41201" xr:uid="{00000000-0005-0000-0000-0000EFA00000}"/>
    <cellStyle name="Output 2 2 2 9 2 5" xfId="41202" xr:uid="{00000000-0005-0000-0000-0000F0A00000}"/>
    <cellStyle name="Output 2 2 2 9 2 6" xfId="41203" xr:uid="{00000000-0005-0000-0000-0000F1A00000}"/>
    <cellStyle name="Output 2 2 2 9 3" xfId="41204" xr:uid="{00000000-0005-0000-0000-0000F2A00000}"/>
    <cellStyle name="Output 2 2 2 9 4" xfId="41205" xr:uid="{00000000-0005-0000-0000-0000F3A00000}"/>
    <cellStyle name="Output 2 2 2 9 5" xfId="41206" xr:uid="{00000000-0005-0000-0000-0000F4A00000}"/>
    <cellStyle name="Output 2 2 2 9 6" xfId="41207" xr:uid="{00000000-0005-0000-0000-0000F5A00000}"/>
    <cellStyle name="Output 2 2 20" xfId="41208" xr:uid="{00000000-0005-0000-0000-0000F6A00000}"/>
    <cellStyle name="Output 2 2 20 2" xfId="41209" xr:uid="{00000000-0005-0000-0000-0000F7A00000}"/>
    <cellStyle name="Output 2 2 20 2 2" xfId="41210" xr:uid="{00000000-0005-0000-0000-0000F8A00000}"/>
    <cellStyle name="Output 2 2 20 2 3" xfId="41211" xr:uid="{00000000-0005-0000-0000-0000F9A00000}"/>
    <cellStyle name="Output 2 2 20 2 4" xfId="41212" xr:uid="{00000000-0005-0000-0000-0000FAA00000}"/>
    <cellStyle name="Output 2 2 20 2 5" xfId="41213" xr:uid="{00000000-0005-0000-0000-0000FBA00000}"/>
    <cellStyle name="Output 2 2 20 3" xfId="41214" xr:uid="{00000000-0005-0000-0000-0000FCA00000}"/>
    <cellStyle name="Output 2 2 20 4" xfId="41215" xr:uid="{00000000-0005-0000-0000-0000FDA00000}"/>
    <cellStyle name="Output 2 2 20 5" xfId="41216" xr:uid="{00000000-0005-0000-0000-0000FEA00000}"/>
    <cellStyle name="Output 2 2 20 6" xfId="41217" xr:uid="{00000000-0005-0000-0000-0000FFA00000}"/>
    <cellStyle name="Output 2 2 21" xfId="41218" xr:uid="{00000000-0005-0000-0000-000000A10000}"/>
    <cellStyle name="Output 2 2 21 2" xfId="41219" xr:uid="{00000000-0005-0000-0000-000001A10000}"/>
    <cellStyle name="Output 2 2 21 2 2" xfId="41220" xr:uid="{00000000-0005-0000-0000-000002A10000}"/>
    <cellStyle name="Output 2 2 21 2 3" xfId="41221" xr:uid="{00000000-0005-0000-0000-000003A10000}"/>
    <cellStyle name="Output 2 2 21 2 4" xfId="41222" xr:uid="{00000000-0005-0000-0000-000004A10000}"/>
    <cellStyle name="Output 2 2 21 2 5" xfId="41223" xr:uid="{00000000-0005-0000-0000-000005A10000}"/>
    <cellStyle name="Output 2 2 21 3" xfId="41224" xr:uid="{00000000-0005-0000-0000-000006A10000}"/>
    <cellStyle name="Output 2 2 21 4" xfId="41225" xr:uid="{00000000-0005-0000-0000-000007A10000}"/>
    <cellStyle name="Output 2 2 21 5" xfId="41226" xr:uid="{00000000-0005-0000-0000-000008A10000}"/>
    <cellStyle name="Output 2 2 21 6" xfId="41227" xr:uid="{00000000-0005-0000-0000-000009A10000}"/>
    <cellStyle name="Output 2 2 22" xfId="41228" xr:uid="{00000000-0005-0000-0000-00000AA10000}"/>
    <cellStyle name="Output 2 2 22 2" xfId="41229" xr:uid="{00000000-0005-0000-0000-00000BA10000}"/>
    <cellStyle name="Output 2 2 22 2 2" xfId="41230" xr:uid="{00000000-0005-0000-0000-00000CA10000}"/>
    <cellStyle name="Output 2 2 22 2 3" xfId="41231" xr:uid="{00000000-0005-0000-0000-00000DA10000}"/>
    <cellStyle name="Output 2 2 22 2 4" xfId="41232" xr:uid="{00000000-0005-0000-0000-00000EA10000}"/>
    <cellStyle name="Output 2 2 22 2 5" xfId="41233" xr:uid="{00000000-0005-0000-0000-00000FA10000}"/>
    <cellStyle name="Output 2 2 22 3" xfId="41234" xr:uid="{00000000-0005-0000-0000-000010A10000}"/>
    <cellStyle name="Output 2 2 22 4" xfId="41235" xr:uid="{00000000-0005-0000-0000-000011A10000}"/>
    <cellStyle name="Output 2 2 22 5" xfId="41236" xr:uid="{00000000-0005-0000-0000-000012A10000}"/>
    <cellStyle name="Output 2 2 22 6" xfId="41237" xr:uid="{00000000-0005-0000-0000-000013A10000}"/>
    <cellStyle name="Output 2 2 23" xfId="41238" xr:uid="{00000000-0005-0000-0000-000014A10000}"/>
    <cellStyle name="Output 2 2 23 2" xfId="41239" xr:uid="{00000000-0005-0000-0000-000015A10000}"/>
    <cellStyle name="Output 2 2 23 2 2" xfId="41240" xr:uid="{00000000-0005-0000-0000-000016A10000}"/>
    <cellStyle name="Output 2 2 23 2 3" xfId="41241" xr:uid="{00000000-0005-0000-0000-000017A10000}"/>
    <cellStyle name="Output 2 2 23 2 4" xfId="41242" xr:uid="{00000000-0005-0000-0000-000018A10000}"/>
    <cellStyle name="Output 2 2 23 2 5" xfId="41243" xr:uid="{00000000-0005-0000-0000-000019A10000}"/>
    <cellStyle name="Output 2 2 23 3" xfId="41244" xr:uid="{00000000-0005-0000-0000-00001AA10000}"/>
    <cellStyle name="Output 2 2 23 4" xfId="41245" xr:uid="{00000000-0005-0000-0000-00001BA10000}"/>
    <cellStyle name="Output 2 2 23 5" xfId="41246" xr:uid="{00000000-0005-0000-0000-00001CA10000}"/>
    <cellStyle name="Output 2 2 23 6" xfId="41247" xr:uid="{00000000-0005-0000-0000-00001DA10000}"/>
    <cellStyle name="Output 2 2 24" xfId="41248" xr:uid="{00000000-0005-0000-0000-00001EA10000}"/>
    <cellStyle name="Output 2 2 24 2" xfId="41249" xr:uid="{00000000-0005-0000-0000-00001FA10000}"/>
    <cellStyle name="Output 2 2 24 2 2" xfId="41250" xr:uid="{00000000-0005-0000-0000-000020A10000}"/>
    <cellStyle name="Output 2 2 24 2 3" xfId="41251" xr:uid="{00000000-0005-0000-0000-000021A10000}"/>
    <cellStyle name="Output 2 2 24 2 4" xfId="41252" xr:uid="{00000000-0005-0000-0000-000022A10000}"/>
    <cellStyle name="Output 2 2 24 2 5" xfId="41253" xr:uid="{00000000-0005-0000-0000-000023A10000}"/>
    <cellStyle name="Output 2 2 24 3" xfId="41254" xr:uid="{00000000-0005-0000-0000-000024A10000}"/>
    <cellStyle name="Output 2 2 24 4" xfId="41255" xr:uid="{00000000-0005-0000-0000-000025A10000}"/>
    <cellStyle name="Output 2 2 24 5" xfId="41256" xr:uid="{00000000-0005-0000-0000-000026A10000}"/>
    <cellStyle name="Output 2 2 24 6" xfId="41257" xr:uid="{00000000-0005-0000-0000-000027A10000}"/>
    <cellStyle name="Output 2 2 25" xfId="41258" xr:uid="{00000000-0005-0000-0000-000028A10000}"/>
    <cellStyle name="Output 2 2 25 2" xfId="41259" xr:uid="{00000000-0005-0000-0000-000029A10000}"/>
    <cellStyle name="Output 2 2 25 2 2" xfId="41260" xr:uid="{00000000-0005-0000-0000-00002AA10000}"/>
    <cellStyle name="Output 2 2 25 2 3" xfId="41261" xr:uid="{00000000-0005-0000-0000-00002BA10000}"/>
    <cellStyle name="Output 2 2 25 2 4" xfId="41262" xr:uid="{00000000-0005-0000-0000-00002CA10000}"/>
    <cellStyle name="Output 2 2 25 2 5" xfId="41263" xr:uid="{00000000-0005-0000-0000-00002DA10000}"/>
    <cellStyle name="Output 2 2 25 3" xfId="41264" xr:uid="{00000000-0005-0000-0000-00002EA10000}"/>
    <cellStyle name="Output 2 2 25 4" xfId="41265" xr:uid="{00000000-0005-0000-0000-00002FA10000}"/>
    <cellStyle name="Output 2 2 25 5" xfId="41266" xr:uid="{00000000-0005-0000-0000-000030A10000}"/>
    <cellStyle name="Output 2 2 25 6" xfId="41267" xr:uid="{00000000-0005-0000-0000-000031A10000}"/>
    <cellStyle name="Output 2 2 26" xfId="41268" xr:uid="{00000000-0005-0000-0000-000032A10000}"/>
    <cellStyle name="Output 2 2 26 2" xfId="41269" xr:uid="{00000000-0005-0000-0000-000033A10000}"/>
    <cellStyle name="Output 2 2 26 2 2" xfId="41270" xr:uid="{00000000-0005-0000-0000-000034A10000}"/>
    <cellStyle name="Output 2 2 26 2 3" xfId="41271" xr:uid="{00000000-0005-0000-0000-000035A10000}"/>
    <cellStyle name="Output 2 2 26 2 4" xfId="41272" xr:uid="{00000000-0005-0000-0000-000036A10000}"/>
    <cellStyle name="Output 2 2 26 2 5" xfId="41273" xr:uid="{00000000-0005-0000-0000-000037A10000}"/>
    <cellStyle name="Output 2 2 26 3" xfId="41274" xr:uid="{00000000-0005-0000-0000-000038A10000}"/>
    <cellStyle name="Output 2 2 26 4" xfId="41275" xr:uid="{00000000-0005-0000-0000-000039A10000}"/>
    <cellStyle name="Output 2 2 26 5" xfId="41276" xr:uid="{00000000-0005-0000-0000-00003AA10000}"/>
    <cellStyle name="Output 2 2 26 6" xfId="41277" xr:uid="{00000000-0005-0000-0000-00003BA10000}"/>
    <cellStyle name="Output 2 2 27" xfId="41278" xr:uid="{00000000-0005-0000-0000-00003CA10000}"/>
    <cellStyle name="Output 2 2 27 2" xfId="41279" xr:uid="{00000000-0005-0000-0000-00003DA10000}"/>
    <cellStyle name="Output 2 2 27 2 2" xfId="41280" xr:uid="{00000000-0005-0000-0000-00003EA10000}"/>
    <cellStyle name="Output 2 2 27 2 3" xfId="41281" xr:uid="{00000000-0005-0000-0000-00003FA10000}"/>
    <cellStyle name="Output 2 2 27 2 4" xfId="41282" xr:uid="{00000000-0005-0000-0000-000040A10000}"/>
    <cellStyle name="Output 2 2 27 2 5" xfId="41283" xr:uid="{00000000-0005-0000-0000-000041A10000}"/>
    <cellStyle name="Output 2 2 27 3" xfId="41284" xr:uid="{00000000-0005-0000-0000-000042A10000}"/>
    <cellStyle name="Output 2 2 27 4" xfId="41285" xr:uid="{00000000-0005-0000-0000-000043A10000}"/>
    <cellStyle name="Output 2 2 27 5" xfId="41286" xr:uid="{00000000-0005-0000-0000-000044A10000}"/>
    <cellStyle name="Output 2 2 27 6" xfId="41287" xr:uid="{00000000-0005-0000-0000-000045A10000}"/>
    <cellStyle name="Output 2 2 28" xfId="41288" xr:uid="{00000000-0005-0000-0000-000046A10000}"/>
    <cellStyle name="Output 2 2 28 2" xfId="41289" xr:uid="{00000000-0005-0000-0000-000047A10000}"/>
    <cellStyle name="Output 2 2 28 2 2" xfId="41290" xr:uid="{00000000-0005-0000-0000-000048A10000}"/>
    <cellStyle name="Output 2 2 28 2 3" xfId="41291" xr:uid="{00000000-0005-0000-0000-000049A10000}"/>
    <cellStyle name="Output 2 2 28 2 4" xfId="41292" xr:uid="{00000000-0005-0000-0000-00004AA10000}"/>
    <cellStyle name="Output 2 2 28 2 5" xfId="41293" xr:uid="{00000000-0005-0000-0000-00004BA10000}"/>
    <cellStyle name="Output 2 2 28 3" xfId="41294" xr:uid="{00000000-0005-0000-0000-00004CA10000}"/>
    <cellStyle name="Output 2 2 28 4" xfId="41295" xr:uid="{00000000-0005-0000-0000-00004DA10000}"/>
    <cellStyle name="Output 2 2 28 5" xfId="41296" xr:uid="{00000000-0005-0000-0000-00004EA10000}"/>
    <cellStyle name="Output 2 2 28 6" xfId="41297" xr:uid="{00000000-0005-0000-0000-00004FA10000}"/>
    <cellStyle name="Output 2 2 29" xfId="41298" xr:uid="{00000000-0005-0000-0000-000050A10000}"/>
    <cellStyle name="Output 2 2 29 2" xfId="41299" xr:uid="{00000000-0005-0000-0000-000051A10000}"/>
    <cellStyle name="Output 2 2 29 2 2" xfId="41300" xr:uid="{00000000-0005-0000-0000-000052A10000}"/>
    <cellStyle name="Output 2 2 29 2 3" xfId="41301" xr:uid="{00000000-0005-0000-0000-000053A10000}"/>
    <cellStyle name="Output 2 2 29 2 4" xfId="41302" xr:uid="{00000000-0005-0000-0000-000054A10000}"/>
    <cellStyle name="Output 2 2 29 2 5" xfId="41303" xr:uid="{00000000-0005-0000-0000-000055A10000}"/>
    <cellStyle name="Output 2 2 29 3" xfId="41304" xr:uid="{00000000-0005-0000-0000-000056A10000}"/>
    <cellStyle name="Output 2 2 29 4" xfId="41305" xr:uid="{00000000-0005-0000-0000-000057A10000}"/>
    <cellStyle name="Output 2 2 29 5" xfId="41306" xr:uid="{00000000-0005-0000-0000-000058A10000}"/>
    <cellStyle name="Output 2 2 29 6" xfId="41307" xr:uid="{00000000-0005-0000-0000-000059A10000}"/>
    <cellStyle name="Output 2 2 3" xfId="41308" xr:uid="{00000000-0005-0000-0000-00005AA10000}"/>
    <cellStyle name="Output 2 2 3 2" xfId="41309" xr:uid="{00000000-0005-0000-0000-00005BA10000}"/>
    <cellStyle name="Output 2 2 3 2 2" xfId="41310" xr:uid="{00000000-0005-0000-0000-00005CA10000}"/>
    <cellStyle name="Output 2 2 3 2 3" xfId="41311" xr:uid="{00000000-0005-0000-0000-00005DA10000}"/>
    <cellStyle name="Output 2 2 3 2 4" xfId="41312" xr:uid="{00000000-0005-0000-0000-00005EA10000}"/>
    <cellStyle name="Output 2 2 3 2 5" xfId="41313" xr:uid="{00000000-0005-0000-0000-00005FA10000}"/>
    <cellStyle name="Output 2 2 3 3" xfId="41314" xr:uid="{00000000-0005-0000-0000-000060A10000}"/>
    <cellStyle name="Output 2 2 3 3 2" xfId="41315" xr:uid="{00000000-0005-0000-0000-000061A10000}"/>
    <cellStyle name="Output 2 2 3 3 3" xfId="41316" xr:uid="{00000000-0005-0000-0000-000062A10000}"/>
    <cellStyle name="Output 2 2 3 3 4" xfId="41317" xr:uid="{00000000-0005-0000-0000-000063A10000}"/>
    <cellStyle name="Output 2 2 3 3 5" xfId="41318" xr:uid="{00000000-0005-0000-0000-000064A10000}"/>
    <cellStyle name="Output 2 2 3 4" xfId="41319" xr:uid="{00000000-0005-0000-0000-000065A10000}"/>
    <cellStyle name="Output 2 2 3 5" xfId="41320" xr:uid="{00000000-0005-0000-0000-000066A10000}"/>
    <cellStyle name="Output 2 2 3 6" xfId="41321" xr:uid="{00000000-0005-0000-0000-000067A10000}"/>
    <cellStyle name="Output 2 2 3 7" xfId="41322" xr:uid="{00000000-0005-0000-0000-000068A10000}"/>
    <cellStyle name="Output 2 2 3 8" xfId="41323" xr:uid="{00000000-0005-0000-0000-000069A10000}"/>
    <cellStyle name="Output 2 2 30" xfId="41324" xr:uid="{00000000-0005-0000-0000-00006AA10000}"/>
    <cellStyle name="Output 2 2 30 2" xfId="41325" xr:uid="{00000000-0005-0000-0000-00006BA10000}"/>
    <cellStyle name="Output 2 2 30 2 2" xfId="41326" xr:uid="{00000000-0005-0000-0000-00006CA10000}"/>
    <cellStyle name="Output 2 2 30 2 3" xfId="41327" xr:uid="{00000000-0005-0000-0000-00006DA10000}"/>
    <cellStyle name="Output 2 2 30 2 4" xfId="41328" xr:uid="{00000000-0005-0000-0000-00006EA10000}"/>
    <cellStyle name="Output 2 2 30 2 5" xfId="41329" xr:uid="{00000000-0005-0000-0000-00006FA10000}"/>
    <cellStyle name="Output 2 2 30 3" xfId="41330" xr:uid="{00000000-0005-0000-0000-000070A10000}"/>
    <cellStyle name="Output 2 2 30 4" xfId="41331" xr:uid="{00000000-0005-0000-0000-000071A10000}"/>
    <cellStyle name="Output 2 2 30 5" xfId="41332" xr:uid="{00000000-0005-0000-0000-000072A10000}"/>
    <cellStyle name="Output 2 2 30 6" xfId="41333" xr:uid="{00000000-0005-0000-0000-000073A10000}"/>
    <cellStyle name="Output 2 2 31" xfId="41334" xr:uid="{00000000-0005-0000-0000-000074A10000}"/>
    <cellStyle name="Output 2 2 31 2" xfId="41335" xr:uid="{00000000-0005-0000-0000-000075A10000}"/>
    <cellStyle name="Output 2 2 31 2 2" xfId="41336" xr:uid="{00000000-0005-0000-0000-000076A10000}"/>
    <cellStyle name="Output 2 2 31 2 3" xfId="41337" xr:uid="{00000000-0005-0000-0000-000077A10000}"/>
    <cellStyle name="Output 2 2 31 2 4" xfId="41338" xr:uid="{00000000-0005-0000-0000-000078A10000}"/>
    <cellStyle name="Output 2 2 31 2 5" xfId="41339" xr:uid="{00000000-0005-0000-0000-000079A10000}"/>
    <cellStyle name="Output 2 2 31 3" xfId="41340" xr:uid="{00000000-0005-0000-0000-00007AA10000}"/>
    <cellStyle name="Output 2 2 31 4" xfId="41341" xr:uid="{00000000-0005-0000-0000-00007BA10000}"/>
    <cellStyle name="Output 2 2 31 5" xfId="41342" xr:uid="{00000000-0005-0000-0000-00007CA10000}"/>
    <cellStyle name="Output 2 2 31 6" xfId="41343" xr:uid="{00000000-0005-0000-0000-00007DA10000}"/>
    <cellStyle name="Output 2 2 32" xfId="41344" xr:uid="{00000000-0005-0000-0000-00007EA10000}"/>
    <cellStyle name="Output 2 2 32 2" xfId="41345" xr:uid="{00000000-0005-0000-0000-00007FA10000}"/>
    <cellStyle name="Output 2 2 32 2 2" xfId="41346" xr:uid="{00000000-0005-0000-0000-000080A10000}"/>
    <cellStyle name="Output 2 2 32 2 3" xfId="41347" xr:uid="{00000000-0005-0000-0000-000081A10000}"/>
    <cellStyle name="Output 2 2 32 2 4" xfId="41348" xr:uid="{00000000-0005-0000-0000-000082A10000}"/>
    <cellStyle name="Output 2 2 32 2 5" xfId="41349" xr:uid="{00000000-0005-0000-0000-000083A10000}"/>
    <cellStyle name="Output 2 2 32 3" xfId="41350" xr:uid="{00000000-0005-0000-0000-000084A10000}"/>
    <cellStyle name="Output 2 2 32 4" xfId="41351" xr:uid="{00000000-0005-0000-0000-000085A10000}"/>
    <cellStyle name="Output 2 2 32 5" xfId="41352" xr:uid="{00000000-0005-0000-0000-000086A10000}"/>
    <cellStyle name="Output 2 2 32 6" xfId="41353" xr:uid="{00000000-0005-0000-0000-000087A10000}"/>
    <cellStyle name="Output 2 2 33" xfId="41354" xr:uid="{00000000-0005-0000-0000-000088A10000}"/>
    <cellStyle name="Output 2 2 33 2" xfId="41355" xr:uid="{00000000-0005-0000-0000-000089A10000}"/>
    <cellStyle name="Output 2 2 33 2 2" xfId="41356" xr:uid="{00000000-0005-0000-0000-00008AA10000}"/>
    <cellStyle name="Output 2 2 33 2 3" xfId="41357" xr:uid="{00000000-0005-0000-0000-00008BA10000}"/>
    <cellStyle name="Output 2 2 33 2 4" xfId="41358" xr:uid="{00000000-0005-0000-0000-00008CA10000}"/>
    <cellStyle name="Output 2 2 33 2 5" xfId="41359" xr:uid="{00000000-0005-0000-0000-00008DA10000}"/>
    <cellStyle name="Output 2 2 33 3" xfId="41360" xr:uid="{00000000-0005-0000-0000-00008EA10000}"/>
    <cellStyle name="Output 2 2 33 4" xfId="41361" xr:uid="{00000000-0005-0000-0000-00008FA10000}"/>
    <cellStyle name="Output 2 2 33 5" xfId="41362" xr:uid="{00000000-0005-0000-0000-000090A10000}"/>
    <cellStyle name="Output 2 2 33 6" xfId="41363" xr:uid="{00000000-0005-0000-0000-000091A10000}"/>
    <cellStyle name="Output 2 2 34" xfId="41364" xr:uid="{00000000-0005-0000-0000-000092A10000}"/>
    <cellStyle name="Output 2 2 34 2" xfId="41365" xr:uid="{00000000-0005-0000-0000-000093A10000}"/>
    <cellStyle name="Output 2 2 34 2 2" xfId="41366" xr:uid="{00000000-0005-0000-0000-000094A10000}"/>
    <cellStyle name="Output 2 2 34 2 3" xfId="41367" xr:uid="{00000000-0005-0000-0000-000095A10000}"/>
    <cellStyle name="Output 2 2 34 2 4" xfId="41368" xr:uid="{00000000-0005-0000-0000-000096A10000}"/>
    <cellStyle name="Output 2 2 34 2 5" xfId="41369" xr:uid="{00000000-0005-0000-0000-000097A10000}"/>
    <cellStyle name="Output 2 2 34 3" xfId="41370" xr:uid="{00000000-0005-0000-0000-000098A10000}"/>
    <cellStyle name="Output 2 2 34 4" xfId="41371" xr:uid="{00000000-0005-0000-0000-000099A10000}"/>
    <cellStyle name="Output 2 2 34 5" xfId="41372" xr:uid="{00000000-0005-0000-0000-00009AA10000}"/>
    <cellStyle name="Output 2 2 34 6" xfId="41373" xr:uid="{00000000-0005-0000-0000-00009BA10000}"/>
    <cellStyle name="Output 2 2 35" xfId="41374" xr:uid="{00000000-0005-0000-0000-00009CA10000}"/>
    <cellStyle name="Output 2 2 35 2" xfId="41375" xr:uid="{00000000-0005-0000-0000-00009DA10000}"/>
    <cellStyle name="Output 2 2 35 2 2" xfId="41376" xr:uid="{00000000-0005-0000-0000-00009EA10000}"/>
    <cellStyle name="Output 2 2 35 2 3" xfId="41377" xr:uid="{00000000-0005-0000-0000-00009FA10000}"/>
    <cellStyle name="Output 2 2 35 2 4" xfId="41378" xr:uid="{00000000-0005-0000-0000-0000A0A10000}"/>
    <cellStyle name="Output 2 2 35 2 5" xfId="41379" xr:uid="{00000000-0005-0000-0000-0000A1A10000}"/>
    <cellStyle name="Output 2 2 35 3" xfId="41380" xr:uid="{00000000-0005-0000-0000-0000A2A10000}"/>
    <cellStyle name="Output 2 2 35 4" xfId="41381" xr:uid="{00000000-0005-0000-0000-0000A3A10000}"/>
    <cellStyle name="Output 2 2 35 5" xfId="41382" xr:uid="{00000000-0005-0000-0000-0000A4A10000}"/>
    <cellStyle name="Output 2 2 35 6" xfId="41383" xr:uid="{00000000-0005-0000-0000-0000A5A10000}"/>
    <cellStyle name="Output 2 2 36" xfId="41384" xr:uid="{00000000-0005-0000-0000-0000A6A10000}"/>
    <cellStyle name="Output 2 2 36 2" xfId="41385" xr:uid="{00000000-0005-0000-0000-0000A7A10000}"/>
    <cellStyle name="Output 2 2 36 2 2" xfId="41386" xr:uid="{00000000-0005-0000-0000-0000A8A10000}"/>
    <cellStyle name="Output 2 2 36 2 3" xfId="41387" xr:uid="{00000000-0005-0000-0000-0000A9A10000}"/>
    <cellStyle name="Output 2 2 36 2 4" xfId="41388" xr:uid="{00000000-0005-0000-0000-0000AAA10000}"/>
    <cellStyle name="Output 2 2 36 2 5" xfId="41389" xr:uid="{00000000-0005-0000-0000-0000ABA10000}"/>
    <cellStyle name="Output 2 2 36 3" xfId="41390" xr:uid="{00000000-0005-0000-0000-0000ACA10000}"/>
    <cellStyle name="Output 2 2 36 4" xfId="41391" xr:uid="{00000000-0005-0000-0000-0000ADA10000}"/>
    <cellStyle name="Output 2 2 36 5" xfId="41392" xr:uid="{00000000-0005-0000-0000-0000AEA10000}"/>
    <cellStyle name="Output 2 2 36 6" xfId="41393" xr:uid="{00000000-0005-0000-0000-0000AFA10000}"/>
    <cellStyle name="Output 2 2 37" xfId="41394" xr:uid="{00000000-0005-0000-0000-0000B0A10000}"/>
    <cellStyle name="Output 2 2 37 2" xfId="41395" xr:uid="{00000000-0005-0000-0000-0000B1A10000}"/>
    <cellStyle name="Output 2 2 37 2 2" xfId="41396" xr:uid="{00000000-0005-0000-0000-0000B2A10000}"/>
    <cellStyle name="Output 2 2 37 2 3" xfId="41397" xr:uid="{00000000-0005-0000-0000-0000B3A10000}"/>
    <cellStyle name="Output 2 2 37 2 4" xfId="41398" xr:uid="{00000000-0005-0000-0000-0000B4A10000}"/>
    <cellStyle name="Output 2 2 37 2 5" xfId="41399" xr:uid="{00000000-0005-0000-0000-0000B5A10000}"/>
    <cellStyle name="Output 2 2 37 3" xfId="41400" xr:uid="{00000000-0005-0000-0000-0000B6A10000}"/>
    <cellStyle name="Output 2 2 37 4" xfId="41401" xr:uid="{00000000-0005-0000-0000-0000B7A10000}"/>
    <cellStyle name="Output 2 2 37 5" xfId="41402" xr:uid="{00000000-0005-0000-0000-0000B8A10000}"/>
    <cellStyle name="Output 2 2 37 6" xfId="41403" xr:uid="{00000000-0005-0000-0000-0000B9A10000}"/>
    <cellStyle name="Output 2 2 38" xfId="41404" xr:uid="{00000000-0005-0000-0000-0000BAA10000}"/>
    <cellStyle name="Output 2 2 38 2" xfId="41405" xr:uid="{00000000-0005-0000-0000-0000BBA10000}"/>
    <cellStyle name="Output 2 2 38 2 2" xfId="41406" xr:uid="{00000000-0005-0000-0000-0000BCA10000}"/>
    <cellStyle name="Output 2 2 38 2 3" xfId="41407" xr:uid="{00000000-0005-0000-0000-0000BDA10000}"/>
    <cellStyle name="Output 2 2 38 2 4" xfId="41408" xr:uid="{00000000-0005-0000-0000-0000BEA10000}"/>
    <cellStyle name="Output 2 2 38 2 5" xfId="41409" xr:uid="{00000000-0005-0000-0000-0000BFA10000}"/>
    <cellStyle name="Output 2 2 38 3" xfId="41410" xr:uid="{00000000-0005-0000-0000-0000C0A10000}"/>
    <cellStyle name="Output 2 2 38 4" xfId="41411" xr:uid="{00000000-0005-0000-0000-0000C1A10000}"/>
    <cellStyle name="Output 2 2 38 5" xfId="41412" xr:uid="{00000000-0005-0000-0000-0000C2A10000}"/>
    <cellStyle name="Output 2 2 38 6" xfId="41413" xr:uid="{00000000-0005-0000-0000-0000C3A10000}"/>
    <cellStyle name="Output 2 2 39" xfId="41414" xr:uid="{00000000-0005-0000-0000-0000C4A10000}"/>
    <cellStyle name="Output 2 2 39 2" xfId="41415" xr:uid="{00000000-0005-0000-0000-0000C5A10000}"/>
    <cellStyle name="Output 2 2 39 2 2" xfId="41416" xr:uid="{00000000-0005-0000-0000-0000C6A10000}"/>
    <cellStyle name="Output 2 2 39 2 3" xfId="41417" xr:uid="{00000000-0005-0000-0000-0000C7A10000}"/>
    <cellStyle name="Output 2 2 39 2 4" xfId="41418" xr:uid="{00000000-0005-0000-0000-0000C8A10000}"/>
    <cellStyle name="Output 2 2 39 2 5" xfId="41419" xr:uid="{00000000-0005-0000-0000-0000C9A10000}"/>
    <cellStyle name="Output 2 2 39 3" xfId="41420" xr:uid="{00000000-0005-0000-0000-0000CAA10000}"/>
    <cellStyle name="Output 2 2 39 4" xfId="41421" xr:uid="{00000000-0005-0000-0000-0000CBA10000}"/>
    <cellStyle name="Output 2 2 39 5" xfId="41422" xr:uid="{00000000-0005-0000-0000-0000CCA10000}"/>
    <cellStyle name="Output 2 2 39 6" xfId="41423" xr:uid="{00000000-0005-0000-0000-0000CDA10000}"/>
    <cellStyle name="Output 2 2 4" xfId="41424" xr:uid="{00000000-0005-0000-0000-0000CEA10000}"/>
    <cellStyle name="Output 2 2 4 2" xfId="41425" xr:uid="{00000000-0005-0000-0000-0000CFA10000}"/>
    <cellStyle name="Output 2 2 4 2 2" xfId="41426" xr:uid="{00000000-0005-0000-0000-0000D0A10000}"/>
    <cellStyle name="Output 2 2 4 2 3" xfId="41427" xr:uid="{00000000-0005-0000-0000-0000D1A10000}"/>
    <cellStyle name="Output 2 2 4 2 4" xfId="41428" xr:uid="{00000000-0005-0000-0000-0000D2A10000}"/>
    <cellStyle name="Output 2 2 4 2 5" xfId="41429" xr:uid="{00000000-0005-0000-0000-0000D3A10000}"/>
    <cellStyle name="Output 2 2 4 3" xfId="41430" xr:uid="{00000000-0005-0000-0000-0000D4A10000}"/>
    <cellStyle name="Output 2 2 4 4" xfId="41431" xr:uid="{00000000-0005-0000-0000-0000D5A10000}"/>
    <cellStyle name="Output 2 2 4 5" xfId="41432" xr:uid="{00000000-0005-0000-0000-0000D6A10000}"/>
    <cellStyle name="Output 2 2 4 6" xfId="41433" xr:uid="{00000000-0005-0000-0000-0000D7A10000}"/>
    <cellStyle name="Output 2 2 40" xfId="41434" xr:uid="{00000000-0005-0000-0000-0000D8A10000}"/>
    <cellStyle name="Output 2 2 40 2" xfId="41435" xr:uid="{00000000-0005-0000-0000-0000D9A10000}"/>
    <cellStyle name="Output 2 2 40 2 2" xfId="41436" xr:uid="{00000000-0005-0000-0000-0000DAA10000}"/>
    <cellStyle name="Output 2 2 40 2 3" xfId="41437" xr:uid="{00000000-0005-0000-0000-0000DBA10000}"/>
    <cellStyle name="Output 2 2 40 2 4" xfId="41438" xr:uid="{00000000-0005-0000-0000-0000DCA10000}"/>
    <cellStyle name="Output 2 2 40 2 5" xfId="41439" xr:uid="{00000000-0005-0000-0000-0000DDA10000}"/>
    <cellStyle name="Output 2 2 40 3" xfId="41440" xr:uid="{00000000-0005-0000-0000-0000DEA10000}"/>
    <cellStyle name="Output 2 2 40 4" xfId="41441" xr:uid="{00000000-0005-0000-0000-0000DFA10000}"/>
    <cellStyle name="Output 2 2 40 5" xfId="41442" xr:uid="{00000000-0005-0000-0000-0000E0A10000}"/>
    <cellStyle name="Output 2 2 40 6" xfId="41443" xr:uid="{00000000-0005-0000-0000-0000E1A10000}"/>
    <cellStyle name="Output 2 2 41" xfId="41444" xr:uid="{00000000-0005-0000-0000-0000E2A10000}"/>
    <cellStyle name="Output 2 2 41 2" xfId="41445" xr:uid="{00000000-0005-0000-0000-0000E3A10000}"/>
    <cellStyle name="Output 2 2 41 2 2" xfId="41446" xr:uid="{00000000-0005-0000-0000-0000E4A10000}"/>
    <cellStyle name="Output 2 2 41 2 3" xfId="41447" xr:uid="{00000000-0005-0000-0000-0000E5A10000}"/>
    <cellStyle name="Output 2 2 41 2 4" xfId="41448" xr:uid="{00000000-0005-0000-0000-0000E6A10000}"/>
    <cellStyle name="Output 2 2 41 2 5" xfId="41449" xr:uid="{00000000-0005-0000-0000-0000E7A10000}"/>
    <cellStyle name="Output 2 2 41 3" xfId="41450" xr:uid="{00000000-0005-0000-0000-0000E8A10000}"/>
    <cellStyle name="Output 2 2 41 4" xfId="41451" xr:uid="{00000000-0005-0000-0000-0000E9A10000}"/>
    <cellStyle name="Output 2 2 41 5" xfId="41452" xr:uid="{00000000-0005-0000-0000-0000EAA10000}"/>
    <cellStyle name="Output 2 2 41 6" xfId="41453" xr:uid="{00000000-0005-0000-0000-0000EBA10000}"/>
    <cellStyle name="Output 2 2 42" xfId="41454" xr:uid="{00000000-0005-0000-0000-0000ECA10000}"/>
    <cellStyle name="Output 2 2 42 2" xfId="41455" xr:uid="{00000000-0005-0000-0000-0000EDA10000}"/>
    <cellStyle name="Output 2 2 42 3" xfId="41456" xr:uid="{00000000-0005-0000-0000-0000EEA10000}"/>
    <cellStyle name="Output 2 2 42 4" xfId="41457" xr:uid="{00000000-0005-0000-0000-0000EFA10000}"/>
    <cellStyle name="Output 2 2 42 5" xfId="41458" xr:uid="{00000000-0005-0000-0000-0000F0A10000}"/>
    <cellStyle name="Output 2 2 43" xfId="41459" xr:uid="{00000000-0005-0000-0000-0000F1A10000}"/>
    <cellStyle name="Output 2 2 43 2" xfId="41460" xr:uid="{00000000-0005-0000-0000-0000F2A10000}"/>
    <cellStyle name="Output 2 2 43 3" xfId="41461" xr:uid="{00000000-0005-0000-0000-0000F3A10000}"/>
    <cellStyle name="Output 2 2 43 4" xfId="41462" xr:uid="{00000000-0005-0000-0000-0000F4A10000}"/>
    <cellStyle name="Output 2 2 43 5" xfId="41463" xr:uid="{00000000-0005-0000-0000-0000F5A10000}"/>
    <cellStyle name="Output 2 2 44" xfId="41464" xr:uid="{00000000-0005-0000-0000-0000F6A10000}"/>
    <cellStyle name="Output 2 2 45" xfId="41465" xr:uid="{00000000-0005-0000-0000-0000F7A10000}"/>
    <cellStyle name="Output 2 2 46" xfId="41466" xr:uid="{00000000-0005-0000-0000-0000F8A10000}"/>
    <cellStyle name="Output 2 2 47" xfId="41467" xr:uid="{00000000-0005-0000-0000-0000F9A10000}"/>
    <cellStyle name="Output 2 2 5" xfId="41468" xr:uid="{00000000-0005-0000-0000-0000FAA10000}"/>
    <cellStyle name="Output 2 2 5 2" xfId="41469" xr:uid="{00000000-0005-0000-0000-0000FBA10000}"/>
    <cellStyle name="Output 2 2 5 2 2" xfId="41470" xr:uid="{00000000-0005-0000-0000-0000FCA10000}"/>
    <cellStyle name="Output 2 2 5 2 3" xfId="41471" xr:uid="{00000000-0005-0000-0000-0000FDA10000}"/>
    <cellStyle name="Output 2 2 5 2 4" xfId="41472" xr:uid="{00000000-0005-0000-0000-0000FEA10000}"/>
    <cellStyle name="Output 2 2 5 2 5" xfId="41473" xr:uid="{00000000-0005-0000-0000-0000FFA10000}"/>
    <cellStyle name="Output 2 2 5 3" xfId="41474" xr:uid="{00000000-0005-0000-0000-000000A20000}"/>
    <cellStyle name="Output 2 2 5 4" xfId="41475" xr:uid="{00000000-0005-0000-0000-000001A20000}"/>
    <cellStyle name="Output 2 2 5 5" xfId="41476" xr:uid="{00000000-0005-0000-0000-000002A20000}"/>
    <cellStyle name="Output 2 2 5 6" xfId="41477" xr:uid="{00000000-0005-0000-0000-000003A20000}"/>
    <cellStyle name="Output 2 2 6" xfId="41478" xr:uid="{00000000-0005-0000-0000-000004A20000}"/>
    <cellStyle name="Output 2 2 6 2" xfId="41479" xr:uid="{00000000-0005-0000-0000-000005A20000}"/>
    <cellStyle name="Output 2 2 6 2 2" xfId="41480" xr:uid="{00000000-0005-0000-0000-000006A20000}"/>
    <cellStyle name="Output 2 2 6 2 3" xfId="41481" xr:uid="{00000000-0005-0000-0000-000007A20000}"/>
    <cellStyle name="Output 2 2 6 2 4" xfId="41482" xr:uid="{00000000-0005-0000-0000-000008A20000}"/>
    <cellStyle name="Output 2 2 6 2 5" xfId="41483" xr:uid="{00000000-0005-0000-0000-000009A20000}"/>
    <cellStyle name="Output 2 2 6 3" xfId="41484" xr:uid="{00000000-0005-0000-0000-00000AA20000}"/>
    <cellStyle name="Output 2 2 6 4" xfId="41485" xr:uid="{00000000-0005-0000-0000-00000BA20000}"/>
    <cellStyle name="Output 2 2 6 5" xfId="41486" xr:uid="{00000000-0005-0000-0000-00000CA20000}"/>
    <cellStyle name="Output 2 2 6 6" xfId="41487" xr:uid="{00000000-0005-0000-0000-00000DA20000}"/>
    <cellStyle name="Output 2 2 7" xfId="41488" xr:uid="{00000000-0005-0000-0000-00000EA20000}"/>
    <cellStyle name="Output 2 2 7 2" xfId="41489" xr:uid="{00000000-0005-0000-0000-00000FA20000}"/>
    <cellStyle name="Output 2 2 7 2 2" xfId="41490" xr:uid="{00000000-0005-0000-0000-000010A20000}"/>
    <cellStyle name="Output 2 2 7 2 3" xfId="41491" xr:uid="{00000000-0005-0000-0000-000011A20000}"/>
    <cellStyle name="Output 2 2 7 2 4" xfId="41492" xr:uid="{00000000-0005-0000-0000-000012A20000}"/>
    <cellStyle name="Output 2 2 7 2 5" xfId="41493" xr:uid="{00000000-0005-0000-0000-000013A20000}"/>
    <cellStyle name="Output 2 2 7 3" xfId="41494" xr:uid="{00000000-0005-0000-0000-000014A20000}"/>
    <cellStyle name="Output 2 2 7 4" xfId="41495" xr:uid="{00000000-0005-0000-0000-000015A20000}"/>
    <cellStyle name="Output 2 2 7 5" xfId="41496" xr:uid="{00000000-0005-0000-0000-000016A20000}"/>
    <cellStyle name="Output 2 2 7 6" xfId="41497" xr:uid="{00000000-0005-0000-0000-000017A20000}"/>
    <cellStyle name="Output 2 2 8" xfId="41498" xr:uid="{00000000-0005-0000-0000-000018A20000}"/>
    <cellStyle name="Output 2 2 8 2" xfId="41499" xr:uid="{00000000-0005-0000-0000-000019A20000}"/>
    <cellStyle name="Output 2 2 8 2 2" xfId="41500" xr:uid="{00000000-0005-0000-0000-00001AA20000}"/>
    <cellStyle name="Output 2 2 8 2 3" xfId="41501" xr:uid="{00000000-0005-0000-0000-00001BA20000}"/>
    <cellStyle name="Output 2 2 8 2 4" xfId="41502" xr:uid="{00000000-0005-0000-0000-00001CA20000}"/>
    <cellStyle name="Output 2 2 8 2 5" xfId="41503" xr:uid="{00000000-0005-0000-0000-00001DA20000}"/>
    <cellStyle name="Output 2 2 8 3" xfId="41504" xr:uid="{00000000-0005-0000-0000-00001EA20000}"/>
    <cellStyle name="Output 2 2 8 4" xfId="41505" xr:uid="{00000000-0005-0000-0000-00001FA20000}"/>
    <cellStyle name="Output 2 2 8 5" xfId="41506" xr:uid="{00000000-0005-0000-0000-000020A20000}"/>
    <cellStyle name="Output 2 2 8 6" xfId="41507" xr:uid="{00000000-0005-0000-0000-000021A20000}"/>
    <cellStyle name="Output 2 2 9" xfId="41508" xr:uid="{00000000-0005-0000-0000-000022A20000}"/>
    <cellStyle name="Output 2 2 9 2" xfId="41509" xr:uid="{00000000-0005-0000-0000-000023A20000}"/>
    <cellStyle name="Output 2 2 9 2 2" xfId="41510" xr:uid="{00000000-0005-0000-0000-000024A20000}"/>
    <cellStyle name="Output 2 2 9 2 3" xfId="41511" xr:uid="{00000000-0005-0000-0000-000025A20000}"/>
    <cellStyle name="Output 2 2 9 2 4" xfId="41512" xr:uid="{00000000-0005-0000-0000-000026A20000}"/>
    <cellStyle name="Output 2 2 9 2 5" xfId="41513" xr:uid="{00000000-0005-0000-0000-000027A20000}"/>
    <cellStyle name="Output 2 2 9 3" xfId="41514" xr:uid="{00000000-0005-0000-0000-000028A20000}"/>
    <cellStyle name="Output 2 2 9 4" xfId="41515" xr:uid="{00000000-0005-0000-0000-000029A20000}"/>
    <cellStyle name="Output 2 2 9 5" xfId="41516" xr:uid="{00000000-0005-0000-0000-00002AA20000}"/>
    <cellStyle name="Output 2 2 9 6" xfId="41517" xr:uid="{00000000-0005-0000-0000-00002BA20000}"/>
    <cellStyle name="Output 2 20" xfId="41518" xr:uid="{00000000-0005-0000-0000-00002CA20000}"/>
    <cellStyle name="Output 2 20 2" xfId="41519" xr:uid="{00000000-0005-0000-0000-00002DA20000}"/>
    <cellStyle name="Output 2 20 2 2" xfId="41520" xr:uid="{00000000-0005-0000-0000-00002EA20000}"/>
    <cellStyle name="Output 2 20 2 3" xfId="41521" xr:uid="{00000000-0005-0000-0000-00002FA20000}"/>
    <cellStyle name="Output 2 20 2 4" xfId="41522" xr:uid="{00000000-0005-0000-0000-000030A20000}"/>
    <cellStyle name="Output 2 20 2 5" xfId="41523" xr:uid="{00000000-0005-0000-0000-000031A20000}"/>
    <cellStyle name="Output 2 20 3" xfId="41524" xr:uid="{00000000-0005-0000-0000-000032A20000}"/>
    <cellStyle name="Output 2 20 4" xfId="41525" xr:uid="{00000000-0005-0000-0000-000033A20000}"/>
    <cellStyle name="Output 2 20 5" xfId="41526" xr:uid="{00000000-0005-0000-0000-000034A20000}"/>
    <cellStyle name="Output 2 20 6" xfId="41527" xr:uid="{00000000-0005-0000-0000-000035A20000}"/>
    <cellStyle name="Output 2 21" xfId="41528" xr:uid="{00000000-0005-0000-0000-000036A20000}"/>
    <cellStyle name="Output 2 21 2" xfId="41529" xr:uid="{00000000-0005-0000-0000-000037A20000}"/>
    <cellStyle name="Output 2 21 2 2" xfId="41530" xr:uid="{00000000-0005-0000-0000-000038A20000}"/>
    <cellStyle name="Output 2 21 2 3" xfId="41531" xr:uid="{00000000-0005-0000-0000-000039A20000}"/>
    <cellStyle name="Output 2 21 2 4" xfId="41532" xr:uid="{00000000-0005-0000-0000-00003AA20000}"/>
    <cellStyle name="Output 2 21 2 5" xfId="41533" xr:uid="{00000000-0005-0000-0000-00003BA20000}"/>
    <cellStyle name="Output 2 21 3" xfId="41534" xr:uid="{00000000-0005-0000-0000-00003CA20000}"/>
    <cellStyle name="Output 2 21 4" xfId="41535" xr:uid="{00000000-0005-0000-0000-00003DA20000}"/>
    <cellStyle name="Output 2 21 5" xfId="41536" xr:uid="{00000000-0005-0000-0000-00003EA20000}"/>
    <cellStyle name="Output 2 21 6" xfId="41537" xr:uid="{00000000-0005-0000-0000-00003FA20000}"/>
    <cellStyle name="Output 2 22" xfId="41538" xr:uid="{00000000-0005-0000-0000-000040A20000}"/>
    <cellStyle name="Output 2 22 2" xfId="41539" xr:uid="{00000000-0005-0000-0000-000041A20000}"/>
    <cellStyle name="Output 2 22 2 2" xfId="41540" xr:uid="{00000000-0005-0000-0000-000042A20000}"/>
    <cellStyle name="Output 2 22 2 3" xfId="41541" xr:uid="{00000000-0005-0000-0000-000043A20000}"/>
    <cellStyle name="Output 2 22 2 4" xfId="41542" xr:uid="{00000000-0005-0000-0000-000044A20000}"/>
    <cellStyle name="Output 2 22 2 5" xfId="41543" xr:uid="{00000000-0005-0000-0000-000045A20000}"/>
    <cellStyle name="Output 2 22 3" xfId="41544" xr:uid="{00000000-0005-0000-0000-000046A20000}"/>
    <cellStyle name="Output 2 22 4" xfId="41545" xr:uid="{00000000-0005-0000-0000-000047A20000}"/>
    <cellStyle name="Output 2 22 5" xfId="41546" xr:uid="{00000000-0005-0000-0000-000048A20000}"/>
    <cellStyle name="Output 2 22 6" xfId="41547" xr:uid="{00000000-0005-0000-0000-000049A20000}"/>
    <cellStyle name="Output 2 23" xfId="41548" xr:uid="{00000000-0005-0000-0000-00004AA20000}"/>
    <cellStyle name="Output 2 23 2" xfId="41549" xr:uid="{00000000-0005-0000-0000-00004BA20000}"/>
    <cellStyle name="Output 2 23 2 2" xfId="41550" xr:uid="{00000000-0005-0000-0000-00004CA20000}"/>
    <cellStyle name="Output 2 23 2 3" xfId="41551" xr:uid="{00000000-0005-0000-0000-00004DA20000}"/>
    <cellStyle name="Output 2 23 2 4" xfId="41552" xr:uid="{00000000-0005-0000-0000-00004EA20000}"/>
    <cellStyle name="Output 2 23 2 5" xfId="41553" xr:uid="{00000000-0005-0000-0000-00004FA20000}"/>
    <cellStyle name="Output 2 23 3" xfId="41554" xr:uid="{00000000-0005-0000-0000-000050A20000}"/>
    <cellStyle name="Output 2 23 4" xfId="41555" xr:uid="{00000000-0005-0000-0000-000051A20000}"/>
    <cellStyle name="Output 2 23 5" xfId="41556" xr:uid="{00000000-0005-0000-0000-000052A20000}"/>
    <cellStyle name="Output 2 23 6" xfId="41557" xr:uid="{00000000-0005-0000-0000-000053A20000}"/>
    <cellStyle name="Output 2 24" xfId="41558" xr:uid="{00000000-0005-0000-0000-000054A20000}"/>
    <cellStyle name="Output 2 24 2" xfId="41559" xr:uid="{00000000-0005-0000-0000-000055A20000}"/>
    <cellStyle name="Output 2 24 2 2" xfId="41560" xr:uid="{00000000-0005-0000-0000-000056A20000}"/>
    <cellStyle name="Output 2 24 2 3" xfId="41561" xr:uid="{00000000-0005-0000-0000-000057A20000}"/>
    <cellStyle name="Output 2 24 2 4" xfId="41562" xr:uid="{00000000-0005-0000-0000-000058A20000}"/>
    <cellStyle name="Output 2 24 2 5" xfId="41563" xr:uid="{00000000-0005-0000-0000-000059A20000}"/>
    <cellStyle name="Output 2 24 3" xfId="41564" xr:uid="{00000000-0005-0000-0000-00005AA20000}"/>
    <cellStyle name="Output 2 24 4" xfId="41565" xr:uid="{00000000-0005-0000-0000-00005BA20000}"/>
    <cellStyle name="Output 2 24 5" xfId="41566" xr:uid="{00000000-0005-0000-0000-00005CA20000}"/>
    <cellStyle name="Output 2 24 6" xfId="41567" xr:uid="{00000000-0005-0000-0000-00005DA20000}"/>
    <cellStyle name="Output 2 25" xfId="41568" xr:uid="{00000000-0005-0000-0000-00005EA20000}"/>
    <cellStyle name="Output 2 25 2" xfId="41569" xr:uid="{00000000-0005-0000-0000-00005FA20000}"/>
    <cellStyle name="Output 2 25 2 2" xfId="41570" xr:uid="{00000000-0005-0000-0000-000060A20000}"/>
    <cellStyle name="Output 2 25 2 3" xfId="41571" xr:uid="{00000000-0005-0000-0000-000061A20000}"/>
    <cellStyle name="Output 2 25 2 4" xfId="41572" xr:uid="{00000000-0005-0000-0000-000062A20000}"/>
    <cellStyle name="Output 2 25 2 5" xfId="41573" xr:uid="{00000000-0005-0000-0000-000063A20000}"/>
    <cellStyle name="Output 2 25 3" xfId="41574" xr:uid="{00000000-0005-0000-0000-000064A20000}"/>
    <cellStyle name="Output 2 25 4" xfId="41575" xr:uid="{00000000-0005-0000-0000-000065A20000}"/>
    <cellStyle name="Output 2 25 5" xfId="41576" xr:uid="{00000000-0005-0000-0000-000066A20000}"/>
    <cellStyle name="Output 2 25 6" xfId="41577" xr:uid="{00000000-0005-0000-0000-000067A20000}"/>
    <cellStyle name="Output 2 26" xfId="41578" xr:uid="{00000000-0005-0000-0000-000068A20000}"/>
    <cellStyle name="Output 2 26 2" xfId="41579" xr:uid="{00000000-0005-0000-0000-000069A20000}"/>
    <cellStyle name="Output 2 26 2 2" xfId="41580" xr:uid="{00000000-0005-0000-0000-00006AA20000}"/>
    <cellStyle name="Output 2 26 2 3" xfId="41581" xr:uid="{00000000-0005-0000-0000-00006BA20000}"/>
    <cellStyle name="Output 2 26 2 4" xfId="41582" xr:uid="{00000000-0005-0000-0000-00006CA20000}"/>
    <cellStyle name="Output 2 26 2 5" xfId="41583" xr:uid="{00000000-0005-0000-0000-00006DA20000}"/>
    <cellStyle name="Output 2 26 3" xfId="41584" xr:uid="{00000000-0005-0000-0000-00006EA20000}"/>
    <cellStyle name="Output 2 26 4" xfId="41585" xr:uid="{00000000-0005-0000-0000-00006FA20000}"/>
    <cellStyle name="Output 2 26 5" xfId="41586" xr:uid="{00000000-0005-0000-0000-000070A20000}"/>
    <cellStyle name="Output 2 26 6" xfId="41587" xr:uid="{00000000-0005-0000-0000-000071A20000}"/>
    <cellStyle name="Output 2 27" xfId="41588" xr:uid="{00000000-0005-0000-0000-000072A20000}"/>
    <cellStyle name="Output 2 27 2" xfId="41589" xr:uid="{00000000-0005-0000-0000-000073A20000}"/>
    <cellStyle name="Output 2 27 2 2" xfId="41590" xr:uid="{00000000-0005-0000-0000-000074A20000}"/>
    <cellStyle name="Output 2 27 2 3" xfId="41591" xr:uid="{00000000-0005-0000-0000-000075A20000}"/>
    <cellStyle name="Output 2 27 2 4" xfId="41592" xr:uid="{00000000-0005-0000-0000-000076A20000}"/>
    <cellStyle name="Output 2 27 2 5" xfId="41593" xr:uid="{00000000-0005-0000-0000-000077A20000}"/>
    <cellStyle name="Output 2 27 3" xfId="41594" xr:uid="{00000000-0005-0000-0000-000078A20000}"/>
    <cellStyle name="Output 2 27 4" xfId="41595" xr:uid="{00000000-0005-0000-0000-000079A20000}"/>
    <cellStyle name="Output 2 27 5" xfId="41596" xr:uid="{00000000-0005-0000-0000-00007AA20000}"/>
    <cellStyle name="Output 2 27 6" xfId="41597" xr:uid="{00000000-0005-0000-0000-00007BA20000}"/>
    <cellStyle name="Output 2 28" xfId="41598" xr:uid="{00000000-0005-0000-0000-00007CA20000}"/>
    <cellStyle name="Output 2 28 2" xfId="41599" xr:uid="{00000000-0005-0000-0000-00007DA20000}"/>
    <cellStyle name="Output 2 28 2 2" xfId="41600" xr:uid="{00000000-0005-0000-0000-00007EA20000}"/>
    <cellStyle name="Output 2 28 2 3" xfId="41601" xr:uid="{00000000-0005-0000-0000-00007FA20000}"/>
    <cellStyle name="Output 2 28 2 4" xfId="41602" xr:uid="{00000000-0005-0000-0000-000080A20000}"/>
    <cellStyle name="Output 2 28 2 5" xfId="41603" xr:uid="{00000000-0005-0000-0000-000081A20000}"/>
    <cellStyle name="Output 2 28 3" xfId="41604" xr:uid="{00000000-0005-0000-0000-000082A20000}"/>
    <cellStyle name="Output 2 28 4" xfId="41605" xr:uid="{00000000-0005-0000-0000-000083A20000}"/>
    <cellStyle name="Output 2 28 5" xfId="41606" xr:uid="{00000000-0005-0000-0000-000084A20000}"/>
    <cellStyle name="Output 2 28 6" xfId="41607" xr:uid="{00000000-0005-0000-0000-000085A20000}"/>
    <cellStyle name="Output 2 29" xfId="41608" xr:uid="{00000000-0005-0000-0000-000086A20000}"/>
    <cellStyle name="Output 2 29 2" xfId="41609" xr:uid="{00000000-0005-0000-0000-000087A20000}"/>
    <cellStyle name="Output 2 29 2 2" xfId="41610" xr:uid="{00000000-0005-0000-0000-000088A20000}"/>
    <cellStyle name="Output 2 29 2 3" xfId="41611" xr:uid="{00000000-0005-0000-0000-000089A20000}"/>
    <cellStyle name="Output 2 29 2 4" xfId="41612" xr:uid="{00000000-0005-0000-0000-00008AA20000}"/>
    <cellStyle name="Output 2 29 2 5" xfId="41613" xr:uid="{00000000-0005-0000-0000-00008BA20000}"/>
    <cellStyle name="Output 2 29 3" xfId="41614" xr:uid="{00000000-0005-0000-0000-00008CA20000}"/>
    <cellStyle name="Output 2 29 4" xfId="41615" xr:uid="{00000000-0005-0000-0000-00008DA20000}"/>
    <cellStyle name="Output 2 29 5" xfId="41616" xr:uid="{00000000-0005-0000-0000-00008EA20000}"/>
    <cellStyle name="Output 2 29 6" xfId="41617" xr:uid="{00000000-0005-0000-0000-00008FA20000}"/>
    <cellStyle name="Output 2 3" xfId="41618" xr:uid="{00000000-0005-0000-0000-000090A20000}"/>
    <cellStyle name="Output 2 3 10" xfId="41619" xr:uid="{00000000-0005-0000-0000-000091A20000}"/>
    <cellStyle name="Output 2 3 10 2" xfId="41620" xr:uid="{00000000-0005-0000-0000-000092A20000}"/>
    <cellStyle name="Output 2 3 10 2 2" xfId="41621" xr:uid="{00000000-0005-0000-0000-000093A20000}"/>
    <cellStyle name="Output 2 3 10 2 3" xfId="41622" xr:uid="{00000000-0005-0000-0000-000094A20000}"/>
    <cellStyle name="Output 2 3 10 2 4" xfId="41623" xr:uid="{00000000-0005-0000-0000-000095A20000}"/>
    <cellStyle name="Output 2 3 10 2 5" xfId="41624" xr:uid="{00000000-0005-0000-0000-000096A20000}"/>
    <cellStyle name="Output 2 3 10 3" xfId="41625" xr:uid="{00000000-0005-0000-0000-000097A20000}"/>
    <cellStyle name="Output 2 3 10 3 2" xfId="41626" xr:uid="{00000000-0005-0000-0000-000098A20000}"/>
    <cellStyle name="Output 2 3 10 3 3" xfId="41627" xr:uid="{00000000-0005-0000-0000-000099A20000}"/>
    <cellStyle name="Output 2 3 10 3 4" xfId="41628" xr:uid="{00000000-0005-0000-0000-00009AA20000}"/>
    <cellStyle name="Output 2 3 10 3 5" xfId="41629" xr:uid="{00000000-0005-0000-0000-00009BA20000}"/>
    <cellStyle name="Output 2 3 10 4" xfId="41630" xr:uid="{00000000-0005-0000-0000-00009CA20000}"/>
    <cellStyle name="Output 2 3 10 5" xfId="41631" xr:uid="{00000000-0005-0000-0000-00009DA20000}"/>
    <cellStyle name="Output 2 3 10 6" xfId="41632" xr:uid="{00000000-0005-0000-0000-00009EA20000}"/>
    <cellStyle name="Output 2 3 10 7" xfId="41633" xr:uid="{00000000-0005-0000-0000-00009FA20000}"/>
    <cellStyle name="Output 2 3 10 8" xfId="41634" xr:uid="{00000000-0005-0000-0000-0000A0A20000}"/>
    <cellStyle name="Output 2 3 11" xfId="41635" xr:uid="{00000000-0005-0000-0000-0000A1A20000}"/>
    <cellStyle name="Output 2 3 11 2" xfId="41636" xr:uid="{00000000-0005-0000-0000-0000A2A20000}"/>
    <cellStyle name="Output 2 3 11 2 2" xfId="41637" xr:uid="{00000000-0005-0000-0000-0000A3A20000}"/>
    <cellStyle name="Output 2 3 11 2 3" xfId="41638" xr:uid="{00000000-0005-0000-0000-0000A4A20000}"/>
    <cellStyle name="Output 2 3 11 2 4" xfId="41639" xr:uid="{00000000-0005-0000-0000-0000A5A20000}"/>
    <cellStyle name="Output 2 3 11 2 5" xfId="41640" xr:uid="{00000000-0005-0000-0000-0000A6A20000}"/>
    <cellStyle name="Output 2 3 11 3" xfId="41641" xr:uid="{00000000-0005-0000-0000-0000A7A20000}"/>
    <cellStyle name="Output 2 3 11 4" xfId="41642" xr:uid="{00000000-0005-0000-0000-0000A8A20000}"/>
    <cellStyle name="Output 2 3 11 5" xfId="41643" xr:uid="{00000000-0005-0000-0000-0000A9A20000}"/>
    <cellStyle name="Output 2 3 11 6" xfId="41644" xr:uid="{00000000-0005-0000-0000-0000AAA20000}"/>
    <cellStyle name="Output 2 3 12" xfId="41645" xr:uid="{00000000-0005-0000-0000-0000ABA20000}"/>
    <cellStyle name="Output 2 3 12 2" xfId="41646" xr:uid="{00000000-0005-0000-0000-0000ACA20000}"/>
    <cellStyle name="Output 2 3 12 2 2" xfId="41647" xr:uid="{00000000-0005-0000-0000-0000ADA20000}"/>
    <cellStyle name="Output 2 3 12 2 3" xfId="41648" xr:uid="{00000000-0005-0000-0000-0000AEA20000}"/>
    <cellStyle name="Output 2 3 12 2 4" xfId="41649" xr:uid="{00000000-0005-0000-0000-0000AFA20000}"/>
    <cellStyle name="Output 2 3 12 2 5" xfId="41650" xr:uid="{00000000-0005-0000-0000-0000B0A20000}"/>
    <cellStyle name="Output 2 3 12 3" xfId="41651" xr:uid="{00000000-0005-0000-0000-0000B1A20000}"/>
    <cellStyle name="Output 2 3 12 4" xfId="41652" xr:uid="{00000000-0005-0000-0000-0000B2A20000}"/>
    <cellStyle name="Output 2 3 12 5" xfId="41653" xr:uid="{00000000-0005-0000-0000-0000B3A20000}"/>
    <cellStyle name="Output 2 3 12 6" xfId="41654" xr:uid="{00000000-0005-0000-0000-0000B4A20000}"/>
    <cellStyle name="Output 2 3 13" xfId="41655" xr:uid="{00000000-0005-0000-0000-0000B5A20000}"/>
    <cellStyle name="Output 2 3 13 2" xfId="41656" xr:uid="{00000000-0005-0000-0000-0000B6A20000}"/>
    <cellStyle name="Output 2 3 13 2 2" xfId="41657" xr:uid="{00000000-0005-0000-0000-0000B7A20000}"/>
    <cellStyle name="Output 2 3 13 2 3" xfId="41658" xr:uid="{00000000-0005-0000-0000-0000B8A20000}"/>
    <cellStyle name="Output 2 3 13 2 4" xfId="41659" xr:uid="{00000000-0005-0000-0000-0000B9A20000}"/>
    <cellStyle name="Output 2 3 13 2 5" xfId="41660" xr:uid="{00000000-0005-0000-0000-0000BAA20000}"/>
    <cellStyle name="Output 2 3 13 3" xfId="41661" xr:uid="{00000000-0005-0000-0000-0000BBA20000}"/>
    <cellStyle name="Output 2 3 13 4" xfId="41662" xr:uid="{00000000-0005-0000-0000-0000BCA20000}"/>
    <cellStyle name="Output 2 3 13 5" xfId="41663" xr:uid="{00000000-0005-0000-0000-0000BDA20000}"/>
    <cellStyle name="Output 2 3 13 6" xfId="41664" xr:uid="{00000000-0005-0000-0000-0000BEA20000}"/>
    <cellStyle name="Output 2 3 14" xfId="41665" xr:uid="{00000000-0005-0000-0000-0000BFA20000}"/>
    <cellStyle name="Output 2 3 14 2" xfId="41666" xr:uid="{00000000-0005-0000-0000-0000C0A20000}"/>
    <cellStyle name="Output 2 3 14 2 2" xfId="41667" xr:uid="{00000000-0005-0000-0000-0000C1A20000}"/>
    <cellStyle name="Output 2 3 14 2 3" xfId="41668" xr:uid="{00000000-0005-0000-0000-0000C2A20000}"/>
    <cellStyle name="Output 2 3 14 2 4" xfId="41669" xr:uid="{00000000-0005-0000-0000-0000C3A20000}"/>
    <cellStyle name="Output 2 3 14 2 5" xfId="41670" xr:uid="{00000000-0005-0000-0000-0000C4A20000}"/>
    <cellStyle name="Output 2 3 14 3" xfId="41671" xr:uid="{00000000-0005-0000-0000-0000C5A20000}"/>
    <cellStyle name="Output 2 3 14 4" xfId="41672" xr:uid="{00000000-0005-0000-0000-0000C6A20000}"/>
    <cellStyle name="Output 2 3 14 5" xfId="41673" xr:uid="{00000000-0005-0000-0000-0000C7A20000}"/>
    <cellStyle name="Output 2 3 14 6" xfId="41674" xr:uid="{00000000-0005-0000-0000-0000C8A20000}"/>
    <cellStyle name="Output 2 3 15" xfId="41675" xr:uid="{00000000-0005-0000-0000-0000C9A20000}"/>
    <cellStyle name="Output 2 3 15 2" xfId="41676" xr:uid="{00000000-0005-0000-0000-0000CAA20000}"/>
    <cellStyle name="Output 2 3 15 2 2" xfId="41677" xr:uid="{00000000-0005-0000-0000-0000CBA20000}"/>
    <cellStyle name="Output 2 3 15 2 3" xfId="41678" xr:uid="{00000000-0005-0000-0000-0000CCA20000}"/>
    <cellStyle name="Output 2 3 15 2 4" xfId="41679" xr:uid="{00000000-0005-0000-0000-0000CDA20000}"/>
    <cellStyle name="Output 2 3 15 2 5" xfId="41680" xr:uid="{00000000-0005-0000-0000-0000CEA20000}"/>
    <cellStyle name="Output 2 3 15 3" xfId="41681" xr:uid="{00000000-0005-0000-0000-0000CFA20000}"/>
    <cellStyle name="Output 2 3 15 4" xfId="41682" xr:uid="{00000000-0005-0000-0000-0000D0A20000}"/>
    <cellStyle name="Output 2 3 15 5" xfId="41683" xr:uid="{00000000-0005-0000-0000-0000D1A20000}"/>
    <cellStyle name="Output 2 3 15 6" xfId="41684" xr:uid="{00000000-0005-0000-0000-0000D2A20000}"/>
    <cellStyle name="Output 2 3 16" xfId="41685" xr:uid="{00000000-0005-0000-0000-0000D3A20000}"/>
    <cellStyle name="Output 2 3 16 2" xfId="41686" xr:uid="{00000000-0005-0000-0000-0000D4A20000}"/>
    <cellStyle name="Output 2 3 16 2 2" xfId="41687" xr:uid="{00000000-0005-0000-0000-0000D5A20000}"/>
    <cellStyle name="Output 2 3 16 2 3" xfId="41688" xr:uid="{00000000-0005-0000-0000-0000D6A20000}"/>
    <cellStyle name="Output 2 3 16 2 4" xfId="41689" xr:uid="{00000000-0005-0000-0000-0000D7A20000}"/>
    <cellStyle name="Output 2 3 16 2 5" xfId="41690" xr:uid="{00000000-0005-0000-0000-0000D8A20000}"/>
    <cellStyle name="Output 2 3 16 3" xfId="41691" xr:uid="{00000000-0005-0000-0000-0000D9A20000}"/>
    <cellStyle name="Output 2 3 16 4" xfId="41692" xr:uid="{00000000-0005-0000-0000-0000DAA20000}"/>
    <cellStyle name="Output 2 3 16 5" xfId="41693" xr:uid="{00000000-0005-0000-0000-0000DBA20000}"/>
    <cellStyle name="Output 2 3 16 6" xfId="41694" xr:uid="{00000000-0005-0000-0000-0000DCA20000}"/>
    <cellStyle name="Output 2 3 17" xfId="41695" xr:uid="{00000000-0005-0000-0000-0000DDA20000}"/>
    <cellStyle name="Output 2 3 17 2" xfId="41696" xr:uid="{00000000-0005-0000-0000-0000DEA20000}"/>
    <cellStyle name="Output 2 3 17 2 2" xfId="41697" xr:uid="{00000000-0005-0000-0000-0000DFA20000}"/>
    <cellStyle name="Output 2 3 17 2 3" xfId="41698" xr:uid="{00000000-0005-0000-0000-0000E0A20000}"/>
    <cellStyle name="Output 2 3 17 2 4" xfId="41699" xr:uid="{00000000-0005-0000-0000-0000E1A20000}"/>
    <cellStyle name="Output 2 3 17 2 5" xfId="41700" xr:uid="{00000000-0005-0000-0000-0000E2A20000}"/>
    <cellStyle name="Output 2 3 17 3" xfId="41701" xr:uid="{00000000-0005-0000-0000-0000E3A20000}"/>
    <cellStyle name="Output 2 3 17 4" xfId="41702" xr:uid="{00000000-0005-0000-0000-0000E4A20000}"/>
    <cellStyle name="Output 2 3 17 5" xfId="41703" xr:uid="{00000000-0005-0000-0000-0000E5A20000}"/>
    <cellStyle name="Output 2 3 17 6" xfId="41704" xr:uid="{00000000-0005-0000-0000-0000E6A20000}"/>
    <cellStyle name="Output 2 3 18" xfId="41705" xr:uid="{00000000-0005-0000-0000-0000E7A20000}"/>
    <cellStyle name="Output 2 3 18 2" xfId="41706" xr:uid="{00000000-0005-0000-0000-0000E8A20000}"/>
    <cellStyle name="Output 2 3 18 2 2" xfId="41707" xr:uid="{00000000-0005-0000-0000-0000E9A20000}"/>
    <cellStyle name="Output 2 3 18 2 3" xfId="41708" xr:uid="{00000000-0005-0000-0000-0000EAA20000}"/>
    <cellStyle name="Output 2 3 18 2 4" xfId="41709" xr:uid="{00000000-0005-0000-0000-0000EBA20000}"/>
    <cellStyle name="Output 2 3 18 2 5" xfId="41710" xr:uid="{00000000-0005-0000-0000-0000ECA20000}"/>
    <cellStyle name="Output 2 3 18 3" xfId="41711" xr:uid="{00000000-0005-0000-0000-0000EDA20000}"/>
    <cellStyle name="Output 2 3 18 4" xfId="41712" xr:uid="{00000000-0005-0000-0000-0000EEA20000}"/>
    <cellStyle name="Output 2 3 18 5" xfId="41713" xr:uid="{00000000-0005-0000-0000-0000EFA20000}"/>
    <cellStyle name="Output 2 3 18 6" xfId="41714" xr:uid="{00000000-0005-0000-0000-0000F0A20000}"/>
    <cellStyle name="Output 2 3 19" xfId="41715" xr:uid="{00000000-0005-0000-0000-0000F1A20000}"/>
    <cellStyle name="Output 2 3 19 2" xfId="41716" xr:uid="{00000000-0005-0000-0000-0000F2A20000}"/>
    <cellStyle name="Output 2 3 19 2 2" xfId="41717" xr:uid="{00000000-0005-0000-0000-0000F3A20000}"/>
    <cellStyle name="Output 2 3 19 2 3" xfId="41718" xr:uid="{00000000-0005-0000-0000-0000F4A20000}"/>
    <cellStyle name="Output 2 3 19 2 4" xfId="41719" xr:uid="{00000000-0005-0000-0000-0000F5A20000}"/>
    <cellStyle name="Output 2 3 19 2 5" xfId="41720" xr:uid="{00000000-0005-0000-0000-0000F6A20000}"/>
    <cellStyle name="Output 2 3 19 3" xfId="41721" xr:uid="{00000000-0005-0000-0000-0000F7A20000}"/>
    <cellStyle name="Output 2 3 19 4" xfId="41722" xr:uid="{00000000-0005-0000-0000-0000F8A20000}"/>
    <cellStyle name="Output 2 3 19 5" xfId="41723" xr:uid="{00000000-0005-0000-0000-0000F9A20000}"/>
    <cellStyle name="Output 2 3 19 6" xfId="41724" xr:uid="{00000000-0005-0000-0000-0000FAA20000}"/>
    <cellStyle name="Output 2 3 2" xfId="41725" xr:uid="{00000000-0005-0000-0000-0000FBA20000}"/>
    <cellStyle name="Output 2 3 2 10" xfId="41726" xr:uid="{00000000-0005-0000-0000-0000FCA20000}"/>
    <cellStyle name="Output 2 3 2 2" xfId="41727" xr:uid="{00000000-0005-0000-0000-0000FDA20000}"/>
    <cellStyle name="Output 2 3 2 2 2" xfId="41728" xr:uid="{00000000-0005-0000-0000-0000FEA20000}"/>
    <cellStyle name="Output 2 3 2 2 2 2" xfId="41729" xr:uid="{00000000-0005-0000-0000-0000FFA20000}"/>
    <cellStyle name="Output 2 3 2 2 2 2 2" xfId="41730" xr:uid="{00000000-0005-0000-0000-000000A30000}"/>
    <cellStyle name="Output 2 3 2 2 2 2 3" xfId="41731" xr:uid="{00000000-0005-0000-0000-000001A30000}"/>
    <cellStyle name="Output 2 3 2 2 2 2 4" xfId="41732" xr:uid="{00000000-0005-0000-0000-000002A30000}"/>
    <cellStyle name="Output 2 3 2 2 2 2 5" xfId="41733" xr:uid="{00000000-0005-0000-0000-000003A30000}"/>
    <cellStyle name="Output 2 3 2 2 2 2 6" xfId="41734" xr:uid="{00000000-0005-0000-0000-000004A30000}"/>
    <cellStyle name="Output 2 3 2 2 2 3" xfId="41735" xr:uid="{00000000-0005-0000-0000-000005A30000}"/>
    <cellStyle name="Output 2 3 2 2 2 4" xfId="41736" xr:uid="{00000000-0005-0000-0000-000006A30000}"/>
    <cellStyle name="Output 2 3 2 2 2 5" xfId="41737" xr:uid="{00000000-0005-0000-0000-000007A30000}"/>
    <cellStyle name="Output 2 3 2 2 2 6" xfId="41738" xr:uid="{00000000-0005-0000-0000-000008A30000}"/>
    <cellStyle name="Output 2 3 2 2 3" xfId="41739" xr:uid="{00000000-0005-0000-0000-000009A30000}"/>
    <cellStyle name="Output 2 3 2 2 3 2" xfId="41740" xr:uid="{00000000-0005-0000-0000-00000AA30000}"/>
    <cellStyle name="Output 2 3 2 2 3 2 2" xfId="41741" xr:uid="{00000000-0005-0000-0000-00000BA30000}"/>
    <cellStyle name="Output 2 3 2 2 3 2 3" xfId="41742" xr:uid="{00000000-0005-0000-0000-00000CA30000}"/>
    <cellStyle name="Output 2 3 2 2 3 2 4" xfId="41743" xr:uid="{00000000-0005-0000-0000-00000DA30000}"/>
    <cellStyle name="Output 2 3 2 2 3 2 5" xfId="41744" xr:uid="{00000000-0005-0000-0000-00000EA30000}"/>
    <cellStyle name="Output 2 3 2 2 3 2 6" xfId="41745" xr:uid="{00000000-0005-0000-0000-00000FA30000}"/>
    <cellStyle name="Output 2 3 2 2 3 3" xfId="41746" xr:uid="{00000000-0005-0000-0000-000010A30000}"/>
    <cellStyle name="Output 2 3 2 2 3 4" xfId="41747" xr:uid="{00000000-0005-0000-0000-000011A30000}"/>
    <cellStyle name="Output 2 3 2 2 3 5" xfId="41748" xr:uid="{00000000-0005-0000-0000-000012A30000}"/>
    <cellStyle name="Output 2 3 2 2 3 6" xfId="41749" xr:uid="{00000000-0005-0000-0000-000013A30000}"/>
    <cellStyle name="Output 2 3 2 2 4" xfId="41750" xr:uid="{00000000-0005-0000-0000-000014A30000}"/>
    <cellStyle name="Output 2 3 2 2 4 2" xfId="41751" xr:uid="{00000000-0005-0000-0000-000015A30000}"/>
    <cellStyle name="Output 2 3 2 2 4 3" xfId="41752" xr:uid="{00000000-0005-0000-0000-000016A30000}"/>
    <cellStyle name="Output 2 3 2 2 4 4" xfId="41753" xr:uid="{00000000-0005-0000-0000-000017A30000}"/>
    <cellStyle name="Output 2 3 2 2 4 5" xfId="41754" xr:uid="{00000000-0005-0000-0000-000018A30000}"/>
    <cellStyle name="Output 2 3 2 2 4 6" xfId="41755" xr:uid="{00000000-0005-0000-0000-000019A30000}"/>
    <cellStyle name="Output 2 3 2 2 5" xfId="41756" xr:uid="{00000000-0005-0000-0000-00001AA30000}"/>
    <cellStyle name="Output 2 3 2 2 5 2" xfId="41757" xr:uid="{00000000-0005-0000-0000-00001BA30000}"/>
    <cellStyle name="Output 2 3 2 2 5 3" xfId="41758" xr:uid="{00000000-0005-0000-0000-00001CA30000}"/>
    <cellStyle name="Output 2 3 2 2 5 4" xfId="41759" xr:uid="{00000000-0005-0000-0000-00001DA30000}"/>
    <cellStyle name="Output 2 3 2 2 5 5" xfId="41760" xr:uid="{00000000-0005-0000-0000-00001EA30000}"/>
    <cellStyle name="Output 2 3 2 2 6" xfId="41761" xr:uid="{00000000-0005-0000-0000-00001FA30000}"/>
    <cellStyle name="Output 2 3 2 2 7" xfId="41762" xr:uid="{00000000-0005-0000-0000-000020A30000}"/>
    <cellStyle name="Output 2 3 2 2 8" xfId="41763" xr:uid="{00000000-0005-0000-0000-000021A30000}"/>
    <cellStyle name="Output 2 3 2 2 9" xfId="41764" xr:uid="{00000000-0005-0000-0000-000022A30000}"/>
    <cellStyle name="Output 2 3 2 3" xfId="41765" xr:uid="{00000000-0005-0000-0000-000023A30000}"/>
    <cellStyle name="Output 2 3 2 3 2" xfId="41766" xr:uid="{00000000-0005-0000-0000-000024A30000}"/>
    <cellStyle name="Output 2 3 2 3 2 2" xfId="41767" xr:uid="{00000000-0005-0000-0000-000025A30000}"/>
    <cellStyle name="Output 2 3 2 3 2 3" xfId="41768" xr:uid="{00000000-0005-0000-0000-000026A30000}"/>
    <cellStyle name="Output 2 3 2 3 2 4" xfId="41769" xr:uid="{00000000-0005-0000-0000-000027A30000}"/>
    <cellStyle name="Output 2 3 2 3 2 5" xfId="41770" xr:uid="{00000000-0005-0000-0000-000028A30000}"/>
    <cellStyle name="Output 2 3 2 3 2 6" xfId="41771" xr:uid="{00000000-0005-0000-0000-000029A30000}"/>
    <cellStyle name="Output 2 3 2 3 3" xfId="41772" xr:uid="{00000000-0005-0000-0000-00002AA30000}"/>
    <cellStyle name="Output 2 3 2 3 4" xfId="41773" xr:uid="{00000000-0005-0000-0000-00002BA30000}"/>
    <cellStyle name="Output 2 3 2 3 5" xfId="41774" xr:uid="{00000000-0005-0000-0000-00002CA30000}"/>
    <cellStyle name="Output 2 3 2 3 6" xfId="41775" xr:uid="{00000000-0005-0000-0000-00002DA30000}"/>
    <cellStyle name="Output 2 3 2 4" xfId="41776" xr:uid="{00000000-0005-0000-0000-00002EA30000}"/>
    <cellStyle name="Output 2 3 2 4 2" xfId="41777" xr:uid="{00000000-0005-0000-0000-00002FA30000}"/>
    <cellStyle name="Output 2 3 2 4 2 2" xfId="41778" xr:uid="{00000000-0005-0000-0000-000030A30000}"/>
    <cellStyle name="Output 2 3 2 4 2 3" xfId="41779" xr:uid="{00000000-0005-0000-0000-000031A30000}"/>
    <cellStyle name="Output 2 3 2 4 2 4" xfId="41780" xr:uid="{00000000-0005-0000-0000-000032A30000}"/>
    <cellStyle name="Output 2 3 2 4 2 5" xfId="41781" xr:uid="{00000000-0005-0000-0000-000033A30000}"/>
    <cellStyle name="Output 2 3 2 4 2 6" xfId="41782" xr:uid="{00000000-0005-0000-0000-000034A30000}"/>
    <cellStyle name="Output 2 3 2 4 3" xfId="41783" xr:uid="{00000000-0005-0000-0000-000035A30000}"/>
    <cellStyle name="Output 2 3 2 4 4" xfId="41784" xr:uid="{00000000-0005-0000-0000-000036A30000}"/>
    <cellStyle name="Output 2 3 2 4 5" xfId="41785" xr:uid="{00000000-0005-0000-0000-000037A30000}"/>
    <cellStyle name="Output 2 3 2 4 6" xfId="41786" xr:uid="{00000000-0005-0000-0000-000038A30000}"/>
    <cellStyle name="Output 2 3 2 5" xfId="41787" xr:uid="{00000000-0005-0000-0000-000039A30000}"/>
    <cellStyle name="Output 2 3 2 5 2" xfId="41788" xr:uid="{00000000-0005-0000-0000-00003AA30000}"/>
    <cellStyle name="Output 2 3 2 5 3" xfId="41789" xr:uid="{00000000-0005-0000-0000-00003BA30000}"/>
    <cellStyle name="Output 2 3 2 5 4" xfId="41790" xr:uid="{00000000-0005-0000-0000-00003CA30000}"/>
    <cellStyle name="Output 2 3 2 5 5" xfId="41791" xr:uid="{00000000-0005-0000-0000-00003DA30000}"/>
    <cellStyle name="Output 2 3 2 5 6" xfId="41792" xr:uid="{00000000-0005-0000-0000-00003EA30000}"/>
    <cellStyle name="Output 2 3 2 6" xfId="41793" xr:uid="{00000000-0005-0000-0000-00003FA30000}"/>
    <cellStyle name="Output 2 3 2 6 2" xfId="41794" xr:uid="{00000000-0005-0000-0000-000040A30000}"/>
    <cellStyle name="Output 2 3 2 6 3" xfId="41795" xr:uid="{00000000-0005-0000-0000-000041A30000}"/>
    <cellStyle name="Output 2 3 2 6 4" xfId="41796" xr:uid="{00000000-0005-0000-0000-000042A30000}"/>
    <cellStyle name="Output 2 3 2 6 5" xfId="41797" xr:uid="{00000000-0005-0000-0000-000043A30000}"/>
    <cellStyle name="Output 2 3 2 7" xfId="41798" xr:uid="{00000000-0005-0000-0000-000044A30000}"/>
    <cellStyle name="Output 2 3 2 8" xfId="41799" xr:uid="{00000000-0005-0000-0000-000045A30000}"/>
    <cellStyle name="Output 2 3 2 9" xfId="41800" xr:uid="{00000000-0005-0000-0000-000046A30000}"/>
    <cellStyle name="Output 2 3 20" xfId="41801" xr:uid="{00000000-0005-0000-0000-000047A30000}"/>
    <cellStyle name="Output 2 3 20 2" xfId="41802" xr:uid="{00000000-0005-0000-0000-000048A30000}"/>
    <cellStyle name="Output 2 3 20 2 2" xfId="41803" xr:uid="{00000000-0005-0000-0000-000049A30000}"/>
    <cellStyle name="Output 2 3 20 2 3" xfId="41804" xr:uid="{00000000-0005-0000-0000-00004AA30000}"/>
    <cellStyle name="Output 2 3 20 2 4" xfId="41805" xr:uid="{00000000-0005-0000-0000-00004BA30000}"/>
    <cellStyle name="Output 2 3 20 2 5" xfId="41806" xr:uid="{00000000-0005-0000-0000-00004CA30000}"/>
    <cellStyle name="Output 2 3 20 3" xfId="41807" xr:uid="{00000000-0005-0000-0000-00004DA30000}"/>
    <cellStyle name="Output 2 3 20 4" xfId="41808" xr:uid="{00000000-0005-0000-0000-00004EA30000}"/>
    <cellStyle name="Output 2 3 20 5" xfId="41809" xr:uid="{00000000-0005-0000-0000-00004FA30000}"/>
    <cellStyle name="Output 2 3 20 6" xfId="41810" xr:uid="{00000000-0005-0000-0000-000050A30000}"/>
    <cellStyle name="Output 2 3 21" xfId="41811" xr:uid="{00000000-0005-0000-0000-000051A30000}"/>
    <cellStyle name="Output 2 3 21 2" xfId="41812" xr:uid="{00000000-0005-0000-0000-000052A30000}"/>
    <cellStyle name="Output 2 3 21 2 2" xfId="41813" xr:uid="{00000000-0005-0000-0000-000053A30000}"/>
    <cellStyle name="Output 2 3 21 2 3" xfId="41814" xr:uid="{00000000-0005-0000-0000-000054A30000}"/>
    <cellStyle name="Output 2 3 21 2 4" xfId="41815" xr:uid="{00000000-0005-0000-0000-000055A30000}"/>
    <cellStyle name="Output 2 3 21 2 5" xfId="41816" xr:uid="{00000000-0005-0000-0000-000056A30000}"/>
    <cellStyle name="Output 2 3 21 3" xfId="41817" xr:uid="{00000000-0005-0000-0000-000057A30000}"/>
    <cellStyle name="Output 2 3 21 4" xfId="41818" xr:uid="{00000000-0005-0000-0000-000058A30000}"/>
    <cellStyle name="Output 2 3 21 5" xfId="41819" xr:uid="{00000000-0005-0000-0000-000059A30000}"/>
    <cellStyle name="Output 2 3 21 6" xfId="41820" xr:uid="{00000000-0005-0000-0000-00005AA30000}"/>
    <cellStyle name="Output 2 3 22" xfId="41821" xr:uid="{00000000-0005-0000-0000-00005BA30000}"/>
    <cellStyle name="Output 2 3 22 2" xfId="41822" xr:uid="{00000000-0005-0000-0000-00005CA30000}"/>
    <cellStyle name="Output 2 3 22 2 2" xfId="41823" xr:uid="{00000000-0005-0000-0000-00005DA30000}"/>
    <cellStyle name="Output 2 3 22 2 3" xfId="41824" xr:uid="{00000000-0005-0000-0000-00005EA30000}"/>
    <cellStyle name="Output 2 3 22 2 4" xfId="41825" xr:uid="{00000000-0005-0000-0000-00005FA30000}"/>
    <cellStyle name="Output 2 3 22 2 5" xfId="41826" xr:uid="{00000000-0005-0000-0000-000060A30000}"/>
    <cellStyle name="Output 2 3 22 3" xfId="41827" xr:uid="{00000000-0005-0000-0000-000061A30000}"/>
    <cellStyle name="Output 2 3 22 4" xfId="41828" xr:uid="{00000000-0005-0000-0000-000062A30000}"/>
    <cellStyle name="Output 2 3 22 5" xfId="41829" xr:uid="{00000000-0005-0000-0000-000063A30000}"/>
    <cellStyle name="Output 2 3 22 6" xfId="41830" xr:uid="{00000000-0005-0000-0000-000064A30000}"/>
    <cellStyle name="Output 2 3 23" xfId="41831" xr:uid="{00000000-0005-0000-0000-000065A30000}"/>
    <cellStyle name="Output 2 3 23 2" xfId="41832" xr:uid="{00000000-0005-0000-0000-000066A30000}"/>
    <cellStyle name="Output 2 3 23 2 2" xfId="41833" xr:uid="{00000000-0005-0000-0000-000067A30000}"/>
    <cellStyle name="Output 2 3 23 2 3" xfId="41834" xr:uid="{00000000-0005-0000-0000-000068A30000}"/>
    <cellStyle name="Output 2 3 23 2 4" xfId="41835" xr:uid="{00000000-0005-0000-0000-000069A30000}"/>
    <cellStyle name="Output 2 3 23 2 5" xfId="41836" xr:uid="{00000000-0005-0000-0000-00006AA30000}"/>
    <cellStyle name="Output 2 3 23 3" xfId="41837" xr:uid="{00000000-0005-0000-0000-00006BA30000}"/>
    <cellStyle name="Output 2 3 23 4" xfId="41838" xr:uid="{00000000-0005-0000-0000-00006CA30000}"/>
    <cellStyle name="Output 2 3 23 5" xfId="41839" xr:uid="{00000000-0005-0000-0000-00006DA30000}"/>
    <cellStyle name="Output 2 3 23 6" xfId="41840" xr:uid="{00000000-0005-0000-0000-00006EA30000}"/>
    <cellStyle name="Output 2 3 24" xfId="41841" xr:uid="{00000000-0005-0000-0000-00006FA30000}"/>
    <cellStyle name="Output 2 3 24 2" xfId="41842" xr:uid="{00000000-0005-0000-0000-000070A30000}"/>
    <cellStyle name="Output 2 3 24 2 2" xfId="41843" xr:uid="{00000000-0005-0000-0000-000071A30000}"/>
    <cellStyle name="Output 2 3 24 2 3" xfId="41844" xr:uid="{00000000-0005-0000-0000-000072A30000}"/>
    <cellStyle name="Output 2 3 24 2 4" xfId="41845" xr:uid="{00000000-0005-0000-0000-000073A30000}"/>
    <cellStyle name="Output 2 3 24 2 5" xfId="41846" xr:uid="{00000000-0005-0000-0000-000074A30000}"/>
    <cellStyle name="Output 2 3 24 3" xfId="41847" xr:uid="{00000000-0005-0000-0000-000075A30000}"/>
    <cellStyle name="Output 2 3 24 4" xfId="41848" xr:uid="{00000000-0005-0000-0000-000076A30000}"/>
    <cellStyle name="Output 2 3 24 5" xfId="41849" xr:uid="{00000000-0005-0000-0000-000077A30000}"/>
    <cellStyle name="Output 2 3 24 6" xfId="41850" xr:uid="{00000000-0005-0000-0000-000078A30000}"/>
    <cellStyle name="Output 2 3 25" xfId="41851" xr:uid="{00000000-0005-0000-0000-000079A30000}"/>
    <cellStyle name="Output 2 3 25 2" xfId="41852" xr:uid="{00000000-0005-0000-0000-00007AA30000}"/>
    <cellStyle name="Output 2 3 25 2 2" xfId="41853" xr:uid="{00000000-0005-0000-0000-00007BA30000}"/>
    <cellStyle name="Output 2 3 25 2 3" xfId="41854" xr:uid="{00000000-0005-0000-0000-00007CA30000}"/>
    <cellStyle name="Output 2 3 25 2 4" xfId="41855" xr:uid="{00000000-0005-0000-0000-00007DA30000}"/>
    <cellStyle name="Output 2 3 25 2 5" xfId="41856" xr:uid="{00000000-0005-0000-0000-00007EA30000}"/>
    <cellStyle name="Output 2 3 25 3" xfId="41857" xr:uid="{00000000-0005-0000-0000-00007FA30000}"/>
    <cellStyle name="Output 2 3 25 4" xfId="41858" xr:uid="{00000000-0005-0000-0000-000080A30000}"/>
    <cellStyle name="Output 2 3 25 5" xfId="41859" xr:uid="{00000000-0005-0000-0000-000081A30000}"/>
    <cellStyle name="Output 2 3 25 6" xfId="41860" xr:uid="{00000000-0005-0000-0000-000082A30000}"/>
    <cellStyle name="Output 2 3 26" xfId="41861" xr:uid="{00000000-0005-0000-0000-000083A30000}"/>
    <cellStyle name="Output 2 3 26 2" xfId="41862" xr:uid="{00000000-0005-0000-0000-000084A30000}"/>
    <cellStyle name="Output 2 3 26 2 2" xfId="41863" xr:uid="{00000000-0005-0000-0000-000085A30000}"/>
    <cellStyle name="Output 2 3 26 2 3" xfId="41864" xr:uid="{00000000-0005-0000-0000-000086A30000}"/>
    <cellStyle name="Output 2 3 26 2 4" xfId="41865" xr:uid="{00000000-0005-0000-0000-000087A30000}"/>
    <cellStyle name="Output 2 3 26 2 5" xfId="41866" xr:uid="{00000000-0005-0000-0000-000088A30000}"/>
    <cellStyle name="Output 2 3 26 3" xfId="41867" xr:uid="{00000000-0005-0000-0000-000089A30000}"/>
    <cellStyle name="Output 2 3 26 4" xfId="41868" xr:uid="{00000000-0005-0000-0000-00008AA30000}"/>
    <cellStyle name="Output 2 3 26 5" xfId="41869" xr:uid="{00000000-0005-0000-0000-00008BA30000}"/>
    <cellStyle name="Output 2 3 26 6" xfId="41870" xr:uid="{00000000-0005-0000-0000-00008CA30000}"/>
    <cellStyle name="Output 2 3 27" xfId="41871" xr:uid="{00000000-0005-0000-0000-00008DA30000}"/>
    <cellStyle name="Output 2 3 27 2" xfId="41872" xr:uid="{00000000-0005-0000-0000-00008EA30000}"/>
    <cellStyle name="Output 2 3 27 2 2" xfId="41873" xr:uid="{00000000-0005-0000-0000-00008FA30000}"/>
    <cellStyle name="Output 2 3 27 2 3" xfId="41874" xr:uid="{00000000-0005-0000-0000-000090A30000}"/>
    <cellStyle name="Output 2 3 27 2 4" xfId="41875" xr:uid="{00000000-0005-0000-0000-000091A30000}"/>
    <cellStyle name="Output 2 3 27 2 5" xfId="41876" xr:uid="{00000000-0005-0000-0000-000092A30000}"/>
    <cellStyle name="Output 2 3 27 3" xfId="41877" xr:uid="{00000000-0005-0000-0000-000093A30000}"/>
    <cellStyle name="Output 2 3 27 4" xfId="41878" xr:uid="{00000000-0005-0000-0000-000094A30000}"/>
    <cellStyle name="Output 2 3 27 5" xfId="41879" xr:uid="{00000000-0005-0000-0000-000095A30000}"/>
    <cellStyle name="Output 2 3 27 6" xfId="41880" xr:uid="{00000000-0005-0000-0000-000096A30000}"/>
    <cellStyle name="Output 2 3 28" xfId="41881" xr:uid="{00000000-0005-0000-0000-000097A30000}"/>
    <cellStyle name="Output 2 3 28 2" xfId="41882" xr:uid="{00000000-0005-0000-0000-000098A30000}"/>
    <cellStyle name="Output 2 3 28 2 2" xfId="41883" xr:uid="{00000000-0005-0000-0000-000099A30000}"/>
    <cellStyle name="Output 2 3 28 2 3" xfId="41884" xr:uid="{00000000-0005-0000-0000-00009AA30000}"/>
    <cellStyle name="Output 2 3 28 2 4" xfId="41885" xr:uid="{00000000-0005-0000-0000-00009BA30000}"/>
    <cellStyle name="Output 2 3 28 2 5" xfId="41886" xr:uid="{00000000-0005-0000-0000-00009CA30000}"/>
    <cellStyle name="Output 2 3 28 3" xfId="41887" xr:uid="{00000000-0005-0000-0000-00009DA30000}"/>
    <cellStyle name="Output 2 3 28 4" xfId="41888" xr:uid="{00000000-0005-0000-0000-00009EA30000}"/>
    <cellStyle name="Output 2 3 28 5" xfId="41889" xr:uid="{00000000-0005-0000-0000-00009FA30000}"/>
    <cellStyle name="Output 2 3 28 6" xfId="41890" xr:uid="{00000000-0005-0000-0000-0000A0A30000}"/>
    <cellStyle name="Output 2 3 29" xfId="41891" xr:uid="{00000000-0005-0000-0000-0000A1A30000}"/>
    <cellStyle name="Output 2 3 29 2" xfId="41892" xr:uid="{00000000-0005-0000-0000-0000A2A30000}"/>
    <cellStyle name="Output 2 3 29 2 2" xfId="41893" xr:uid="{00000000-0005-0000-0000-0000A3A30000}"/>
    <cellStyle name="Output 2 3 29 2 3" xfId="41894" xr:uid="{00000000-0005-0000-0000-0000A4A30000}"/>
    <cellStyle name="Output 2 3 29 2 4" xfId="41895" xr:uid="{00000000-0005-0000-0000-0000A5A30000}"/>
    <cellStyle name="Output 2 3 29 2 5" xfId="41896" xr:uid="{00000000-0005-0000-0000-0000A6A30000}"/>
    <cellStyle name="Output 2 3 29 3" xfId="41897" xr:uid="{00000000-0005-0000-0000-0000A7A30000}"/>
    <cellStyle name="Output 2 3 29 4" xfId="41898" xr:uid="{00000000-0005-0000-0000-0000A8A30000}"/>
    <cellStyle name="Output 2 3 29 5" xfId="41899" xr:uid="{00000000-0005-0000-0000-0000A9A30000}"/>
    <cellStyle name="Output 2 3 29 6" xfId="41900" xr:uid="{00000000-0005-0000-0000-0000AAA30000}"/>
    <cellStyle name="Output 2 3 3" xfId="41901" xr:uid="{00000000-0005-0000-0000-0000ABA30000}"/>
    <cellStyle name="Output 2 3 3 2" xfId="41902" xr:uid="{00000000-0005-0000-0000-0000ACA30000}"/>
    <cellStyle name="Output 2 3 3 2 2" xfId="41903" xr:uid="{00000000-0005-0000-0000-0000ADA30000}"/>
    <cellStyle name="Output 2 3 3 2 2 2" xfId="41904" xr:uid="{00000000-0005-0000-0000-0000AEA30000}"/>
    <cellStyle name="Output 2 3 3 2 2 3" xfId="41905" xr:uid="{00000000-0005-0000-0000-0000AFA30000}"/>
    <cellStyle name="Output 2 3 3 2 2 4" xfId="41906" xr:uid="{00000000-0005-0000-0000-0000B0A30000}"/>
    <cellStyle name="Output 2 3 3 2 2 5" xfId="41907" xr:uid="{00000000-0005-0000-0000-0000B1A30000}"/>
    <cellStyle name="Output 2 3 3 2 2 6" xfId="41908" xr:uid="{00000000-0005-0000-0000-0000B2A30000}"/>
    <cellStyle name="Output 2 3 3 2 3" xfId="41909" xr:uid="{00000000-0005-0000-0000-0000B3A30000}"/>
    <cellStyle name="Output 2 3 3 2 3 2" xfId="41910" xr:uid="{00000000-0005-0000-0000-0000B4A30000}"/>
    <cellStyle name="Output 2 3 3 2 3 3" xfId="41911" xr:uid="{00000000-0005-0000-0000-0000B5A30000}"/>
    <cellStyle name="Output 2 3 3 2 3 4" xfId="41912" xr:uid="{00000000-0005-0000-0000-0000B6A30000}"/>
    <cellStyle name="Output 2 3 3 2 3 5" xfId="41913" xr:uid="{00000000-0005-0000-0000-0000B7A30000}"/>
    <cellStyle name="Output 2 3 3 2 4" xfId="41914" xr:uid="{00000000-0005-0000-0000-0000B8A30000}"/>
    <cellStyle name="Output 2 3 3 2 5" xfId="41915" xr:uid="{00000000-0005-0000-0000-0000B9A30000}"/>
    <cellStyle name="Output 2 3 3 2 6" xfId="41916" xr:uid="{00000000-0005-0000-0000-0000BAA30000}"/>
    <cellStyle name="Output 2 3 3 2 7" xfId="41917" xr:uid="{00000000-0005-0000-0000-0000BBA30000}"/>
    <cellStyle name="Output 2 3 3 3" xfId="41918" xr:uid="{00000000-0005-0000-0000-0000BCA30000}"/>
    <cellStyle name="Output 2 3 3 3 2" xfId="41919" xr:uid="{00000000-0005-0000-0000-0000BDA30000}"/>
    <cellStyle name="Output 2 3 3 3 2 2" xfId="41920" xr:uid="{00000000-0005-0000-0000-0000BEA30000}"/>
    <cellStyle name="Output 2 3 3 3 2 3" xfId="41921" xr:uid="{00000000-0005-0000-0000-0000BFA30000}"/>
    <cellStyle name="Output 2 3 3 3 2 4" xfId="41922" xr:uid="{00000000-0005-0000-0000-0000C0A30000}"/>
    <cellStyle name="Output 2 3 3 3 2 5" xfId="41923" xr:uid="{00000000-0005-0000-0000-0000C1A30000}"/>
    <cellStyle name="Output 2 3 3 3 2 6" xfId="41924" xr:uid="{00000000-0005-0000-0000-0000C2A30000}"/>
    <cellStyle name="Output 2 3 3 3 3" xfId="41925" xr:uid="{00000000-0005-0000-0000-0000C3A30000}"/>
    <cellStyle name="Output 2 3 3 3 4" xfId="41926" xr:uid="{00000000-0005-0000-0000-0000C4A30000}"/>
    <cellStyle name="Output 2 3 3 3 5" xfId="41927" xr:uid="{00000000-0005-0000-0000-0000C5A30000}"/>
    <cellStyle name="Output 2 3 3 3 6" xfId="41928" xr:uid="{00000000-0005-0000-0000-0000C6A30000}"/>
    <cellStyle name="Output 2 3 3 4" xfId="41929" xr:uid="{00000000-0005-0000-0000-0000C7A30000}"/>
    <cellStyle name="Output 2 3 3 4 2" xfId="41930" xr:uid="{00000000-0005-0000-0000-0000C8A30000}"/>
    <cellStyle name="Output 2 3 3 4 3" xfId="41931" xr:uid="{00000000-0005-0000-0000-0000C9A30000}"/>
    <cellStyle name="Output 2 3 3 4 4" xfId="41932" xr:uid="{00000000-0005-0000-0000-0000CAA30000}"/>
    <cellStyle name="Output 2 3 3 4 5" xfId="41933" xr:uid="{00000000-0005-0000-0000-0000CBA30000}"/>
    <cellStyle name="Output 2 3 3 4 6" xfId="41934" xr:uid="{00000000-0005-0000-0000-0000CCA30000}"/>
    <cellStyle name="Output 2 3 3 5" xfId="41935" xr:uid="{00000000-0005-0000-0000-0000CDA30000}"/>
    <cellStyle name="Output 2 3 3 5 2" xfId="41936" xr:uid="{00000000-0005-0000-0000-0000CEA30000}"/>
    <cellStyle name="Output 2 3 3 5 3" xfId="41937" xr:uid="{00000000-0005-0000-0000-0000CFA30000}"/>
    <cellStyle name="Output 2 3 3 5 4" xfId="41938" xr:uid="{00000000-0005-0000-0000-0000D0A30000}"/>
    <cellStyle name="Output 2 3 3 5 5" xfId="41939" xr:uid="{00000000-0005-0000-0000-0000D1A30000}"/>
    <cellStyle name="Output 2 3 3 6" xfId="41940" xr:uid="{00000000-0005-0000-0000-0000D2A30000}"/>
    <cellStyle name="Output 2 3 3 7" xfId="41941" xr:uid="{00000000-0005-0000-0000-0000D3A30000}"/>
    <cellStyle name="Output 2 3 3 8" xfId="41942" xr:uid="{00000000-0005-0000-0000-0000D4A30000}"/>
    <cellStyle name="Output 2 3 3 9" xfId="41943" xr:uid="{00000000-0005-0000-0000-0000D5A30000}"/>
    <cellStyle name="Output 2 3 30" xfId="41944" xr:uid="{00000000-0005-0000-0000-0000D6A30000}"/>
    <cellStyle name="Output 2 3 30 2" xfId="41945" xr:uid="{00000000-0005-0000-0000-0000D7A30000}"/>
    <cellStyle name="Output 2 3 30 2 2" xfId="41946" xr:uid="{00000000-0005-0000-0000-0000D8A30000}"/>
    <cellStyle name="Output 2 3 30 2 3" xfId="41947" xr:uid="{00000000-0005-0000-0000-0000D9A30000}"/>
    <cellStyle name="Output 2 3 30 2 4" xfId="41948" xr:uid="{00000000-0005-0000-0000-0000DAA30000}"/>
    <cellStyle name="Output 2 3 30 2 5" xfId="41949" xr:uid="{00000000-0005-0000-0000-0000DBA30000}"/>
    <cellStyle name="Output 2 3 30 3" xfId="41950" xr:uid="{00000000-0005-0000-0000-0000DCA30000}"/>
    <cellStyle name="Output 2 3 30 4" xfId="41951" xr:uid="{00000000-0005-0000-0000-0000DDA30000}"/>
    <cellStyle name="Output 2 3 30 5" xfId="41952" xr:uid="{00000000-0005-0000-0000-0000DEA30000}"/>
    <cellStyle name="Output 2 3 30 6" xfId="41953" xr:uid="{00000000-0005-0000-0000-0000DFA30000}"/>
    <cellStyle name="Output 2 3 31" xfId="41954" xr:uid="{00000000-0005-0000-0000-0000E0A30000}"/>
    <cellStyle name="Output 2 3 31 2" xfId="41955" xr:uid="{00000000-0005-0000-0000-0000E1A30000}"/>
    <cellStyle name="Output 2 3 31 2 2" xfId="41956" xr:uid="{00000000-0005-0000-0000-0000E2A30000}"/>
    <cellStyle name="Output 2 3 31 2 3" xfId="41957" xr:uid="{00000000-0005-0000-0000-0000E3A30000}"/>
    <cellStyle name="Output 2 3 31 2 4" xfId="41958" xr:uid="{00000000-0005-0000-0000-0000E4A30000}"/>
    <cellStyle name="Output 2 3 31 2 5" xfId="41959" xr:uid="{00000000-0005-0000-0000-0000E5A30000}"/>
    <cellStyle name="Output 2 3 31 3" xfId="41960" xr:uid="{00000000-0005-0000-0000-0000E6A30000}"/>
    <cellStyle name="Output 2 3 31 4" xfId="41961" xr:uid="{00000000-0005-0000-0000-0000E7A30000}"/>
    <cellStyle name="Output 2 3 31 5" xfId="41962" xr:uid="{00000000-0005-0000-0000-0000E8A30000}"/>
    <cellStyle name="Output 2 3 31 6" xfId="41963" xr:uid="{00000000-0005-0000-0000-0000E9A30000}"/>
    <cellStyle name="Output 2 3 32" xfId="41964" xr:uid="{00000000-0005-0000-0000-0000EAA30000}"/>
    <cellStyle name="Output 2 3 32 2" xfId="41965" xr:uid="{00000000-0005-0000-0000-0000EBA30000}"/>
    <cellStyle name="Output 2 3 32 2 2" xfId="41966" xr:uid="{00000000-0005-0000-0000-0000ECA30000}"/>
    <cellStyle name="Output 2 3 32 2 3" xfId="41967" xr:uid="{00000000-0005-0000-0000-0000EDA30000}"/>
    <cellStyle name="Output 2 3 32 2 4" xfId="41968" xr:uid="{00000000-0005-0000-0000-0000EEA30000}"/>
    <cellStyle name="Output 2 3 32 2 5" xfId="41969" xr:uid="{00000000-0005-0000-0000-0000EFA30000}"/>
    <cellStyle name="Output 2 3 32 3" xfId="41970" xr:uid="{00000000-0005-0000-0000-0000F0A30000}"/>
    <cellStyle name="Output 2 3 32 4" xfId="41971" xr:uid="{00000000-0005-0000-0000-0000F1A30000}"/>
    <cellStyle name="Output 2 3 32 5" xfId="41972" xr:uid="{00000000-0005-0000-0000-0000F2A30000}"/>
    <cellStyle name="Output 2 3 32 6" xfId="41973" xr:uid="{00000000-0005-0000-0000-0000F3A30000}"/>
    <cellStyle name="Output 2 3 33" xfId="41974" xr:uid="{00000000-0005-0000-0000-0000F4A30000}"/>
    <cellStyle name="Output 2 3 33 2" xfId="41975" xr:uid="{00000000-0005-0000-0000-0000F5A30000}"/>
    <cellStyle name="Output 2 3 33 2 2" xfId="41976" xr:uid="{00000000-0005-0000-0000-0000F6A30000}"/>
    <cellStyle name="Output 2 3 33 2 3" xfId="41977" xr:uid="{00000000-0005-0000-0000-0000F7A30000}"/>
    <cellStyle name="Output 2 3 33 2 4" xfId="41978" xr:uid="{00000000-0005-0000-0000-0000F8A30000}"/>
    <cellStyle name="Output 2 3 33 2 5" xfId="41979" xr:uid="{00000000-0005-0000-0000-0000F9A30000}"/>
    <cellStyle name="Output 2 3 33 3" xfId="41980" xr:uid="{00000000-0005-0000-0000-0000FAA30000}"/>
    <cellStyle name="Output 2 3 33 4" xfId="41981" xr:uid="{00000000-0005-0000-0000-0000FBA30000}"/>
    <cellStyle name="Output 2 3 33 5" xfId="41982" xr:uid="{00000000-0005-0000-0000-0000FCA30000}"/>
    <cellStyle name="Output 2 3 33 6" xfId="41983" xr:uid="{00000000-0005-0000-0000-0000FDA30000}"/>
    <cellStyle name="Output 2 3 34" xfId="41984" xr:uid="{00000000-0005-0000-0000-0000FEA30000}"/>
    <cellStyle name="Output 2 3 34 2" xfId="41985" xr:uid="{00000000-0005-0000-0000-0000FFA30000}"/>
    <cellStyle name="Output 2 3 34 2 2" xfId="41986" xr:uid="{00000000-0005-0000-0000-000000A40000}"/>
    <cellStyle name="Output 2 3 34 2 3" xfId="41987" xr:uid="{00000000-0005-0000-0000-000001A40000}"/>
    <cellStyle name="Output 2 3 34 2 4" xfId="41988" xr:uid="{00000000-0005-0000-0000-000002A40000}"/>
    <cellStyle name="Output 2 3 34 2 5" xfId="41989" xr:uid="{00000000-0005-0000-0000-000003A40000}"/>
    <cellStyle name="Output 2 3 34 3" xfId="41990" xr:uid="{00000000-0005-0000-0000-000004A40000}"/>
    <cellStyle name="Output 2 3 34 4" xfId="41991" xr:uid="{00000000-0005-0000-0000-000005A40000}"/>
    <cellStyle name="Output 2 3 34 5" xfId="41992" xr:uid="{00000000-0005-0000-0000-000006A40000}"/>
    <cellStyle name="Output 2 3 34 6" xfId="41993" xr:uid="{00000000-0005-0000-0000-000007A40000}"/>
    <cellStyle name="Output 2 3 35" xfId="41994" xr:uid="{00000000-0005-0000-0000-000008A40000}"/>
    <cellStyle name="Output 2 3 35 2" xfId="41995" xr:uid="{00000000-0005-0000-0000-000009A40000}"/>
    <cellStyle name="Output 2 3 35 2 2" xfId="41996" xr:uid="{00000000-0005-0000-0000-00000AA40000}"/>
    <cellStyle name="Output 2 3 35 2 3" xfId="41997" xr:uid="{00000000-0005-0000-0000-00000BA40000}"/>
    <cellStyle name="Output 2 3 35 2 4" xfId="41998" xr:uid="{00000000-0005-0000-0000-00000CA40000}"/>
    <cellStyle name="Output 2 3 35 2 5" xfId="41999" xr:uid="{00000000-0005-0000-0000-00000DA40000}"/>
    <cellStyle name="Output 2 3 35 3" xfId="42000" xr:uid="{00000000-0005-0000-0000-00000EA40000}"/>
    <cellStyle name="Output 2 3 35 4" xfId="42001" xr:uid="{00000000-0005-0000-0000-00000FA40000}"/>
    <cellStyle name="Output 2 3 35 5" xfId="42002" xr:uid="{00000000-0005-0000-0000-000010A40000}"/>
    <cellStyle name="Output 2 3 35 6" xfId="42003" xr:uid="{00000000-0005-0000-0000-000011A40000}"/>
    <cellStyle name="Output 2 3 36" xfId="42004" xr:uid="{00000000-0005-0000-0000-000012A40000}"/>
    <cellStyle name="Output 2 3 36 2" xfId="42005" xr:uid="{00000000-0005-0000-0000-000013A40000}"/>
    <cellStyle name="Output 2 3 36 2 2" xfId="42006" xr:uid="{00000000-0005-0000-0000-000014A40000}"/>
    <cellStyle name="Output 2 3 36 2 3" xfId="42007" xr:uid="{00000000-0005-0000-0000-000015A40000}"/>
    <cellStyle name="Output 2 3 36 2 4" xfId="42008" xr:uid="{00000000-0005-0000-0000-000016A40000}"/>
    <cellStyle name="Output 2 3 36 2 5" xfId="42009" xr:uid="{00000000-0005-0000-0000-000017A40000}"/>
    <cellStyle name="Output 2 3 36 3" xfId="42010" xr:uid="{00000000-0005-0000-0000-000018A40000}"/>
    <cellStyle name="Output 2 3 36 4" xfId="42011" xr:uid="{00000000-0005-0000-0000-000019A40000}"/>
    <cellStyle name="Output 2 3 36 5" xfId="42012" xr:uid="{00000000-0005-0000-0000-00001AA40000}"/>
    <cellStyle name="Output 2 3 36 6" xfId="42013" xr:uid="{00000000-0005-0000-0000-00001BA40000}"/>
    <cellStyle name="Output 2 3 37" xfId="42014" xr:uid="{00000000-0005-0000-0000-00001CA40000}"/>
    <cellStyle name="Output 2 3 37 2" xfId="42015" xr:uid="{00000000-0005-0000-0000-00001DA40000}"/>
    <cellStyle name="Output 2 3 37 2 2" xfId="42016" xr:uid="{00000000-0005-0000-0000-00001EA40000}"/>
    <cellStyle name="Output 2 3 37 2 3" xfId="42017" xr:uid="{00000000-0005-0000-0000-00001FA40000}"/>
    <cellStyle name="Output 2 3 37 2 4" xfId="42018" xr:uid="{00000000-0005-0000-0000-000020A40000}"/>
    <cellStyle name="Output 2 3 37 2 5" xfId="42019" xr:uid="{00000000-0005-0000-0000-000021A40000}"/>
    <cellStyle name="Output 2 3 37 3" xfId="42020" xr:uid="{00000000-0005-0000-0000-000022A40000}"/>
    <cellStyle name="Output 2 3 37 4" xfId="42021" xr:uid="{00000000-0005-0000-0000-000023A40000}"/>
    <cellStyle name="Output 2 3 37 5" xfId="42022" xr:uid="{00000000-0005-0000-0000-000024A40000}"/>
    <cellStyle name="Output 2 3 37 6" xfId="42023" xr:uid="{00000000-0005-0000-0000-000025A40000}"/>
    <cellStyle name="Output 2 3 38" xfId="42024" xr:uid="{00000000-0005-0000-0000-000026A40000}"/>
    <cellStyle name="Output 2 3 38 2" xfId="42025" xr:uid="{00000000-0005-0000-0000-000027A40000}"/>
    <cellStyle name="Output 2 3 38 2 2" xfId="42026" xr:uid="{00000000-0005-0000-0000-000028A40000}"/>
    <cellStyle name="Output 2 3 38 2 3" xfId="42027" xr:uid="{00000000-0005-0000-0000-000029A40000}"/>
    <cellStyle name="Output 2 3 38 2 4" xfId="42028" xr:uid="{00000000-0005-0000-0000-00002AA40000}"/>
    <cellStyle name="Output 2 3 38 2 5" xfId="42029" xr:uid="{00000000-0005-0000-0000-00002BA40000}"/>
    <cellStyle name="Output 2 3 38 3" xfId="42030" xr:uid="{00000000-0005-0000-0000-00002CA40000}"/>
    <cellStyle name="Output 2 3 38 4" xfId="42031" xr:uid="{00000000-0005-0000-0000-00002DA40000}"/>
    <cellStyle name="Output 2 3 38 5" xfId="42032" xr:uid="{00000000-0005-0000-0000-00002EA40000}"/>
    <cellStyle name="Output 2 3 38 6" xfId="42033" xr:uid="{00000000-0005-0000-0000-00002FA40000}"/>
    <cellStyle name="Output 2 3 39" xfId="42034" xr:uid="{00000000-0005-0000-0000-000030A40000}"/>
    <cellStyle name="Output 2 3 39 2" xfId="42035" xr:uid="{00000000-0005-0000-0000-000031A40000}"/>
    <cellStyle name="Output 2 3 39 2 2" xfId="42036" xr:uid="{00000000-0005-0000-0000-000032A40000}"/>
    <cellStyle name="Output 2 3 39 2 3" xfId="42037" xr:uid="{00000000-0005-0000-0000-000033A40000}"/>
    <cellStyle name="Output 2 3 39 2 4" xfId="42038" xr:uid="{00000000-0005-0000-0000-000034A40000}"/>
    <cellStyle name="Output 2 3 39 2 5" xfId="42039" xr:uid="{00000000-0005-0000-0000-000035A40000}"/>
    <cellStyle name="Output 2 3 39 3" xfId="42040" xr:uid="{00000000-0005-0000-0000-000036A40000}"/>
    <cellStyle name="Output 2 3 39 4" xfId="42041" xr:uid="{00000000-0005-0000-0000-000037A40000}"/>
    <cellStyle name="Output 2 3 39 5" xfId="42042" xr:uid="{00000000-0005-0000-0000-000038A40000}"/>
    <cellStyle name="Output 2 3 39 6" xfId="42043" xr:uid="{00000000-0005-0000-0000-000039A40000}"/>
    <cellStyle name="Output 2 3 4" xfId="42044" xr:uid="{00000000-0005-0000-0000-00003AA40000}"/>
    <cellStyle name="Output 2 3 4 2" xfId="42045" xr:uid="{00000000-0005-0000-0000-00003BA40000}"/>
    <cellStyle name="Output 2 3 4 2 2" xfId="42046" xr:uid="{00000000-0005-0000-0000-00003CA40000}"/>
    <cellStyle name="Output 2 3 4 2 2 2" xfId="42047" xr:uid="{00000000-0005-0000-0000-00003DA40000}"/>
    <cellStyle name="Output 2 3 4 2 2 3" xfId="42048" xr:uid="{00000000-0005-0000-0000-00003EA40000}"/>
    <cellStyle name="Output 2 3 4 2 2 4" xfId="42049" xr:uid="{00000000-0005-0000-0000-00003FA40000}"/>
    <cellStyle name="Output 2 3 4 2 2 5" xfId="42050" xr:uid="{00000000-0005-0000-0000-000040A40000}"/>
    <cellStyle name="Output 2 3 4 2 2 6" xfId="42051" xr:uid="{00000000-0005-0000-0000-000041A40000}"/>
    <cellStyle name="Output 2 3 4 2 3" xfId="42052" xr:uid="{00000000-0005-0000-0000-000042A40000}"/>
    <cellStyle name="Output 2 3 4 2 3 2" xfId="42053" xr:uid="{00000000-0005-0000-0000-000043A40000}"/>
    <cellStyle name="Output 2 3 4 2 3 3" xfId="42054" xr:uid="{00000000-0005-0000-0000-000044A40000}"/>
    <cellStyle name="Output 2 3 4 2 3 4" xfId="42055" xr:uid="{00000000-0005-0000-0000-000045A40000}"/>
    <cellStyle name="Output 2 3 4 2 3 5" xfId="42056" xr:uid="{00000000-0005-0000-0000-000046A40000}"/>
    <cellStyle name="Output 2 3 4 2 4" xfId="42057" xr:uid="{00000000-0005-0000-0000-000047A40000}"/>
    <cellStyle name="Output 2 3 4 2 5" xfId="42058" xr:uid="{00000000-0005-0000-0000-000048A40000}"/>
    <cellStyle name="Output 2 3 4 2 6" xfId="42059" xr:uid="{00000000-0005-0000-0000-000049A40000}"/>
    <cellStyle name="Output 2 3 4 2 7" xfId="42060" xr:uid="{00000000-0005-0000-0000-00004AA40000}"/>
    <cellStyle name="Output 2 3 4 3" xfId="42061" xr:uid="{00000000-0005-0000-0000-00004BA40000}"/>
    <cellStyle name="Output 2 3 4 3 2" xfId="42062" xr:uid="{00000000-0005-0000-0000-00004CA40000}"/>
    <cellStyle name="Output 2 3 4 3 2 2" xfId="42063" xr:uid="{00000000-0005-0000-0000-00004DA40000}"/>
    <cellStyle name="Output 2 3 4 3 2 3" xfId="42064" xr:uid="{00000000-0005-0000-0000-00004EA40000}"/>
    <cellStyle name="Output 2 3 4 3 2 4" xfId="42065" xr:uid="{00000000-0005-0000-0000-00004FA40000}"/>
    <cellStyle name="Output 2 3 4 3 2 5" xfId="42066" xr:uid="{00000000-0005-0000-0000-000050A40000}"/>
    <cellStyle name="Output 2 3 4 3 2 6" xfId="42067" xr:uid="{00000000-0005-0000-0000-000051A40000}"/>
    <cellStyle name="Output 2 3 4 3 3" xfId="42068" xr:uid="{00000000-0005-0000-0000-000052A40000}"/>
    <cellStyle name="Output 2 3 4 3 4" xfId="42069" xr:uid="{00000000-0005-0000-0000-000053A40000}"/>
    <cellStyle name="Output 2 3 4 3 5" xfId="42070" xr:uid="{00000000-0005-0000-0000-000054A40000}"/>
    <cellStyle name="Output 2 3 4 3 6" xfId="42071" xr:uid="{00000000-0005-0000-0000-000055A40000}"/>
    <cellStyle name="Output 2 3 4 4" xfId="42072" xr:uid="{00000000-0005-0000-0000-000056A40000}"/>
    <cellStyle name="Output 2 3 4 4 2" xfId="42073" xr:uid="{00000000-0005-0000-0000-000057A40000}"/>
    <cellStyle name="Output 2 3 4 4 3" xfId="42074" xr:uid="{00000000-0005-0000-0000-000058A40000}"/>
    <cellStyle name="Output 2 3 4 4 4" xfId="42075" xr:uid="{00000000-0005-0000-0000-000059A40000}"/>
    <cellStyle name="Output 2 3 4 4 5" xfId="42076" xr:uid="{00000000-0005-0000-0000-00005AA40000}"/>
    <cellStyle name="Output 2 3 4 4 6" xfId="42077" xr:uid="{00000000-0005-0000-0000-00005BA40000}"/>
    <cellStyle name="Output 2 3 4 5" xfId="42078" xr:uid="{00000000-0005-0000-0000-00005CA40000}"/>
    <cellStyle name="Output 2 3 4 5 2" xfId="42079" xr:uid="{00000000-0005-0000-0000-00005DA40000}"/>
    <cellStyle name="Output 2 3 4 5 3" xfId="42080" xr:uid="{00000000-0005-0000-0000-00005EA40000}"/>
    <cellStyle name="Output 2 3 4 5 4" xfId="42081" xr:uid="{00000000-0005-0000-0000-00005FA40000}"/>
    <cellStyle name="Output 2 3 4 5 5" xfId="42082" xr:uid="{00000000-0005-0000-0000-000060A40000}"/>
    <cellStyle name="Output 2 3 4 6" xfId="42083" xr:uid="{00000000-0005-0000-0000-000061A40000}"/>
    <cellStyle name="Output 2 3 4 7" xfId="42084" xr:uid="{00000000-0005-0000-0000-000062A40000}"/>
    <cellStyle name="Output 2 3 4 8" xfId="42085" xr:uid="{00000000-0005-0000-0000-000063A40000}"/>
    <cellStyle name="Output 2 3 4 9" xfId="42086" xr:uid="{00000000-0005-0000-0000-000064A40000}"/>
    <cellStyle name="Output 2 3 40" xfId="42087" xr:uid="{00000000-0005-0000-0000-000065A40000}"/>
    <cellStyle name="Output 2 3 40 2" xfId="42088" xr:uid="{00000000-0005-0000-0000-000066A40000}"/>
    <cellStyle name="Output 2 3 40 2 2" xfId="42089" xr:uid="{00000000-0005-0000-0000-000067A40000}"/>
    <cellStyle name="Output 2 3 40 2 3" xfId="42090" xr:uid="{00000000-0005-0000-0000-000068A40000}"/>
    <cellStyle name="Output 2 3 40 2 4" xfId="42091" xr:uid="{00000000-0005-0000-0000-000069A40000}"/>
    <cellStyle name="Output 2 3 40 2 5" xfId="42092" xr:uid="{00000000-0005-0000-0000-00006AA40000}"/>
    <cellStyle name="Output 2 3 40 3" xfId="42093" xr:uid="{00000000-0005-0000-0000-00006BA40000}"/>
    <cellStyle name="Output 2 3 40 4" xfId="42094" xr:uid="{00000000-0005-0000-0000-00006CA40000}"/>
    <cellStyle name="Output 2 3 40 5" xfId="42095" xr:uid="{00000000-0005-0000-0000-00006DA40000}"/>
    <cellStyle name="Output 2 3 40 6" xfId="42096" xr:uid="{00000000-0005-0000-0000-00006EA40000}"/>
    <cellStyle name="Output 2 3 41" xfId="42097" xr:uid="{00000000-0005-0000-0000-00006FA40000}"/>
    <cellStyle name="Output 2 3 41 2" xfId="42098" xr:uid="{00000000-0005-0000-0000-000070A40000}"/>
    <cellStyle name="Output 2 3 41 2 2" xfId="42099" xr:uid="{00000000-0005-0000-0000-000071A40000}"/>
    <cellStyle name="Output 2 3 41 2 3" xfId="42100" xr:uid="{00000000-0005-0000-0000-000072A40000}"/>
    <cellStyle name="Output 2 3 41 2 4" xfId="42101" xr:uid="{00000000-0005-0000-0000-000073A40000}"/>
    <cellStyle name="Output 2 3 41 2 5" xfId="42102" xr:uid="{00000000-0005-0000-0000-000074A40000}"/>
    <cellStyle name="Output 2 3 41 3" xfId="42103" xr:uid="{00000000-0005-0000-0000-000075A40000}"/>
    <cellStyle name="Output 2 3 41 4" xfId="42104" xr:uid="{00000000-0005-0000-0000-000076A40000}"/>
    <cellStyle name="Output 2 3 41 5" xfId="42105" xr:uid="{00000000-0005-0000-0000-000077A40000}"/>
    <cellStyle name="Output 2 3 41 6" xfId="42106" xr:uid="{00000000-0005-0000-0000-000078A40000}"/>
    <cellStyle name="Output 2 3 42" xfId="42107" xr:uid="{00000000-0005-0000-0000-000079A40000}"/>
    <cellStyle name="Output 2 3 42 2" xfId="42108" xr:uid="{00000000-0005-0000-0000-00007AA40000}"/>
    <cellStyle name="Output 2 3 42 3" xfId="42109" xr:uid="{00000000-0005-0000-0000-00007BA40000}"/>
    <cellStyle name="Output 2 3 42 4" xfId="42110" xr:uid="{00000000-0005-0000-0000-00007CA40000}"/>
    <cellStyle name="Output 2 3 42 5" xfId="42111" xr:uid="{00000000-0005-0000-0000-00007DA40000}"/>
    <cellStyle name="Output 2 3 43" xfId="42112" xr:uid="{00000000-0005-0000-0000-00007EA40000}"/>
    <cellStyle name="Output 2 3 43 2" xfId="42113" xr:uid="{00000000-0005-0000-0000-00007FA40000}"/>
    <cellStyle name="Output 2 3 43 3" xfId="42114" xr:uid="{00000000-0005-0000-0000-000080A40000}"/>
    <cellStyle name="Output 2 3 43 4" xfId="42115" xr:uid="{00000000-0005-0000-0000-000081A40000}"/>
    <cellStyle name="Output 2 3 43 5" xfId="42116" xr:uid="{00000000-0005-0000-0000-000082A40000}"/>
    <cellStyle name="Output 2 3 44" xfId="42117" xr:uid="{00000000-0005-0000-0000-000083A40000}"/>
    <cellStyle name="Output 2 3 45" xfId="42118" xr:uid="{00000000-0005-0000-0000-000084A40000}"/>
    <cellStyle name="Output 2 3 46" xfId="42119" xr:uid="{00000000-0005-0000-0000-000085A40000}"/>
    <cellStyle name="Output 2 3 47" xfId="42120" xr:uid="{00000000-0005-0000-0000-000086A40000}"/>
    <cellStyle name="Output 2 3 5" xfId="42121" xr:uid="{00000000-0005-0000-0000-000087A40000}"/>
    <cellStyle name="Output 2 3 5 2" xfId="42122" xr:uid="{00000000-0005-0000-0000-000088A40000}"/>
    <cellStyle name="Output 2 3 5 2 2" xfId="42123" xr:uid="{00000000-0005-0000-0000-000089A40000}"/>
    <cellStyle name="Output 2 3 5 2 2 2" xfId="42124" xr:uid="{00000000-0005-0000-0000-00008AA40000}"/>
    <cellStyle name="Output 2 3 5 2 2 3" xfId="42125" xr:uid="{00000000-0005-0000-0000-00008BA40000}"/>
    <cellStyle name="Output 2 3 5 2 2 4" xfId="42126" xr:uid="{00000000-0005-0000-0000-00008CA40000}"/>
    <cellStyle name="Output 2 3 5 2 2 5" xfId="42127" xr:uid="{00000000-0005-0000-0000-00008DA40000}"/>
    <cellStyle name="Output 2 3 5 2 2 6" xfId="42128" xr:uid="{00000000-0005-0000-0000-00008EA40000}"/>
    <cellStyle name="Output 2 3 5 2 3" xfId="42129" xr:uid="{00000000-0005-0000-0000-00008FA40000}"/>
    <cellStyle name="Output 2 3 5 2 3 2" xfId="42130" xr:uid="{00000000-0005-0000-0000-000090A40000}"/>
    <cellStyle name="Output 2 3 5 2 3 3" xfId="42131" xr:uid="{00000000-0005-0000-0000-000091A40000}"/>
    <cellStyle name="Output 2 3 5 2 3 4" xfId="42132" xr:uid="{00000000-0005-0000-0000-000092A40000}"/>
    <cellStyle name="Output 2 3 5 2 3 5" xfId="42133" xr:uid="{00000000-0005-0000-0000-000093A40000}"/>
    <cellStyle name="Output 2 3 5 2 4" xfId="42134" xr:uid="{00000000-0005-0000-0000-000094A40000}"/>
    <cellStyle name="Output 2 3 5 2 5" xfId="42135" xr:uid="{00000000-0005-0000-0000-000095A40000}"/>
    <cellStyle name="Output 2 3 5 2 6" xfId="42136" xr:uid="{00000000-0005-0000-0000-000096A40000}"/>
    <cellStyle name="Output 2 3 5 2 7" xfId="42137" xr:uid="{00000000-0005-0000-0000-000097A40000}"/>
    <cellStyle name="Output 2 3 5 3" xfId="42138" xr:uid="{00000000-0005-0000-0000-000098A40000}"/>
    <cellStyle name="Output 2 3 5 3 2" xfId="42139" xr:uid="{00000000-0005-0000-0000-000099A40000}"/>
    <cellStyle name="Output 2 3 5 3 2 2" xfId="42140" xr:uid="{00000000-0005-0000-0000-00009AA40000}"/>
    <cellStyle name="Output 2 3 5 3 2 3" xfId="42141" xr:uid="{00000000-0005-0000-0000-00009BA40000}"/>
    <cellStyle name="Output 2 3 5 3 2 4" xfId="42142" xr:uid="{00000000-0005-0000-0000-00009CA40000}"/>
    <cellStyle name="Output 2 3 5 3 2 5" xfId="42143" xr:uid="{00000000-0005-0000-0000-00009DA40000}"/>
    <cellStyle name="Output 2 3 5 3 2 6" xfId="42144" xr:uid="{00000000-0005-0000-0000-00009EA40000}"/>
    <cellStyle name="Output 2 3 5 3 3" xfId="42145" xr:uid="{00000000-0005-0000-0000-00009FA40000}"/>
    <cellStyle name="Output 2 3 5 3 4" xfId="42146" xr:uid="{00000000-0005-0000-0000-0000A0A40000}"/>
    <cellStyle name="Output 2 3 5 3 5" xfId="42147" xr:uid="{00000000-0005-0000-0000-0000A1A40000}"/>
    <cellStyle name="Output 2 3 5 3 6" xfId="42148" xr:uid="{00000000-0005-0000-0000-0000A2A40000}"/>
    <cellStyle name="Output 2 3 5 4" xfId="42149" xr:uid="{00000000-0005-0000-0000-0000A3A40000}"/>
    <cellStyle name="Output 2 3 5 4 2" xfId="42150" xr:uid="{00000000-0005-0000-0000-0000A4A40000}"/>
    <cellStyle name="Output 2 3 5 4 3" xfId="42151" xr:uid="{00000000-0005-0000-0000-0000A5A40000}"/>
    <cellStyle name="Output 2 3 5 4 4" xfId="42152" xr:uid="{00000000-0005-0000-0000-0000A6A40000}"/>
    <cellStyle name="Output 2 3 5 4 5" xfId="42153" xr:uid="{00000000-0005-0000-0000-0000A7A40000}"/>
    <cellStyle name="Output 2 3 5 4 6" xfId="42154" xr:uid="{00000000-0005-0000-0000-0000A8A40000}"/>
    <cellStyle name="Output 2 3 5 5" xfId="42155" xr:uid="{00000000-0005-0000-0000-0000A9A40000}"/>
    <cellStyle name="Output 2 3 5 5 2" xfId="42156" xr:uid="{00000000-0005-0000-0000-0000AAA40000}"/>
    <cellStyle name="Output 2 3 5 5 3" xfId="42157" xr:uid="{00000000-0005-0000-0000-0000ABA40000}"/>
    <cellStyle name="Output 2 3 5 5 4" xfId="42158" xr:uid="{00000000-0005-0000-0000-0000ACA40000}"/>
    <cellStyle name="Output 2 3 5 5 5" xfId="42159" xr:uid="{00000000-0005-0000-0000-0000ADA40000}"/>
    <cellStyle name="Output 2 3 5 6" xfId="42160" xr:uid="{00000000-0005-0000-0000-0000AEA40000}"/>
    <cellStyle name="Output 2 3 5 7" xfId="42161" xr:uid="{00000000-0005-0000-0000-0000AFA40000}"/>
    <cellStyle name="Output 2 3 5 8" xfId="42162" xr:uid="{00000000-0005-0000-0000-0000B0A40000}"/>
    <cellStyle name="Output 2 3 5 9" xfId="42163" xr:uid="{00000000-0005-0000-0000-0000B1A40000}"/>
    <cellStyle name="Output 2 3 6" xfId="42164" xr:uid="{00000000-0005-0000-0000-0000B2A40000}"/>
    <cellStyle name="Output 2 3 6 2" xfId="42165" xr:uid="{00000000-0005-0000-0000-0000B3A40000}"/>
    <cellStyle name="Output 2 3 6 2 2" xfId="42166" xr:uid="{00000000-0005-0000-0000-0000B4A40000}"/>
    <cellStyle name="Output 2 3 6 2 2 2" xfId="42167" xr:uid="{00000000-0005-0000-0000-0000B5A40000}"/>
    <cellStyle name="Output 2 3 6 2 2 3" xfId="42168" xr:uid="{00000000-0005-0000-0000-0000B6A40000}"/>
    <cellStyle name="Output 2 3 6 2 2 4" xfId="42169" xr:uid="{00000000-0005-0000-0000-0000B7A40000}"/>
    <cellStyle name="Output 2 3 6 2 2 5" xfId="42170" xr:uid="{00000000-0005-0000-0000-0000B8A40000}"/>
    <cellStyle name="Output 2 3 6 2 2 6" xfId="42171" xr:uid="{00000000-0005-0000-0000-0000B9A40000}"/>
    <cellStyle name="Output 2 3 6 2 3" xfId="42172" xr:uid="{00000000-0005-0000-0000-0000BAA40000}"/>
    <cellStyle name="Output 2 3 6 2 3 2" xfId="42173" xr:uid="{00000000-0005-0000-0000-0000BBA40000}"/>
    <cellStyle name="Output 2 3 6 2 3 3" xfId="42174" xr:uid="{00000000-0005-0000-0000-0000BCA40000}"/>
    <cellStyle name="Output 2 3 6 2 3 4" xfId="42175" xr:uid="{00000000-0005-0000-0000-0000BDA40000}"/>
    <cellStyle name="Output 2 3 6 2 3 5" xfId="42176" xr:uid="{00000000-0005-0000-0000-0000BEA40000}"/>
    <cellStyle name="Output 2 3 6 2 4" xfId="42177" xr:uid="{00000000-0005-0000-0000-0000BFA40000}"/>
    <cellStyle name="Output 2 3 6 2 5" xfId="42178" xr:uid="{00000000-0005-0000-0000-0000C0A40000}"/>
    <cellStyle name="Output 2 3 6 2 6" xfId="42179" xr:uid="{00000000-0005-0000-0000-0000C1A40000}"/>
    <cellStyle name="Output 2 3 6 2 7" xfId="42180" xr:uid="{00000000-0005-0000-0000-0000C2A40000}"/>
    <cellStyle name="Output 2 3 6 3" xfId="42181" xr:uid="{00000000-0005-0000-0000-0000C3A40000}"/>
    <cellStyle name="Output 2 3 6 3 2" xfId="42182" xr:uid="{00000000-0005-0000-0000-0000C4A40000}"/>
    <cellStyle name="Output 2 3 6 3 2 2" xfId="42183" xr:uid="{00000000-0005-0000-0000-0000C5A40000}"/>
    <cellStyle name="Output 2 3 6 3 2 3" xfId="42184" xr:uid="{00000000-0005-0000-0000-0000C6A40000}"/>
    <cellStyle name="Output 2 3 6 3 2 4" xfId="42185" xr:uid="{00000000-0005-0000-0000-0000C7A40000}"/>
    <cellStyle name="Output 2 3 6 3 2 5" xfId="42186" xr:uid="{00000000-0005-0000-0000-0000C8A40000}"/>
    <cellStyle name="Output 2 3 6 3 2 6" xfId="42187" xr:uid="{00000000-0005-0000-0000-0000C9A40000}"/>
    <cellStyle name="Output 2 3 6 3 3" xfId="42188" xr:uid="{00000000-0005-0000-0000-0000CAA40000}"/>
    <cellStyle name="Output 2 3 6 3 4" xfId="42189" xr:uid="{00000000-0005-0000-0000-0000CBA40000}"/>
    <cellStyle name="Output 2 3 6 3 5" xfId="42190" xr:uid="{00000000-0005-0000-0000-0000CCA40000}"/>
    <cellStyle name="Output 2 3 6 3 6" xfId="42191" xr:uid="{00000000-0005-0000-0000-0000CDA40000}"/>
    <cellStyle name="Output 2 3 6 4" xfId="42192" xr:uid="{00000000-0005-0000-0000-0000CEA40000}"/>
    <cellStyle name="Output 2 3 6 4 2" xfId="42193" xr:uid="{00000000-0005-0000-0000-0000CFA40000}"/>
    <cellStyle name="Output 2 3 6 4 3" xfId="42194" xr:uid="{00000000-0005-0000-0000-0000D0A40000}"/>
    <cellStyle name="Output 2 3 6 4 4" xfId="42195" xr:uid="{00000000-0005-0000-0000-0000D1A40000}"/>
    <cellStyle name="Output 2 3 6 4 5" xfId="42196" xr:uid="{00000000-0005-0000-0000-0000D2A40000}"/>
    <cellStyle name="Output 2 3 6 4 6" xfId="42197" xr:uid="{00000000-0005-0000-0000-0000D3A40000}"/>
    <cellStyle name="Output 2 3 6 5" xfId="42198" xr:uid="{00000000-0005-0000-0000-0000D4A40000}"/>
    <cellStyle name="Output 2 3 6 5 2" xfId="42199" xr:uid="{00000000-0005-0000-0000-0000D5A40000}"/>
    <cellStyle name="Output 2 3 6 5 3" xfId="42200" xr:uid="{00000000-0005-0000-0000-0000D6A40000}"/>
    <cellStyle name="Output 2 3 6 5 4" xfId="42201" xr:uid="{00000000-0005-0000-0000-0000D7A40000}"/>
    <cellStyle name="Output 2 3 6 5 5" xfId="42202" xr:uid="{00000000-0005-0000-0000-0000D8A40000}"/>
    <cellStyle name="Output 2 3 6 6" xfId="42203" xr:uid="{00000000-0005-0000-0000-0000D9A40000}"/>
    <cellStyle name="Output 2 3 6 7" xfId="42204" xr:uid="{00000000-0005-0000-0000-0000DAA40000}"/>
    <cellStyle name="Output 2 3 6 8" xfId="42205" xr:uid="{00000000-0005-0000-0000-0000DBA40000}"/>
    <cellStyle name="Output 2 3 6 9" xfId="42206" xr:uid="{00000000-0005-0000-0000-0000DCA40000}"/>
    <cellStyle name="Output 2 3 7" xfId="42207" xr:uid="{00000000-0005-0000-0000-0000DDA40000}"/>
    <cellStyle name="Output 2 3 7 2" xfId="42208" xr:uid="{00000000-0005-0000-0000-0000DEA40000}"/>
    <cellStyle name="Output 2 3 7 2 2" xfId="42209" xr:uid="{00000000-0005-0000-0000-0000DFA40000}"/>
    <cellStyle name="Output 2 3 7 2 2 2" xfId="42210" xr:uid="{00000000-0005-0000-0000-0000E0A40000}"/>
    <cellStyle name="Output 2 3 7 2 2 3" xfId="42211" xr:uid="{00000000-0005-0000-0000-0000E1A40000}"/>
    <cellStyle name="Output 2 3 7 2 2 4" xfId="42212" xr:uid="{00000000-0005-0000-0000-0000E2A40000}"/>
    <cellStyle name="Output 2 3 7 2 2 5" xfId="42213" xr:uid="{00000000-0005-0000-0000-0000E3A40000}"/>
    <cellStyle name="Output 2 3 7 2 2 6" xfId="42214" xr:uid="{00000000-0005-0000-0000-0000E4A40000}"/>
    <cellStyle name="Output 2 3 7 2 3" xfId="42215" xr:uid="{00000000-0005-0000-0000-0000E5A40000}"/>
    <cellStyle name="Output 2 3 7 2 3 2" xfId="42216" xr:uid="{00000000-0005-0000-0000-0000E6A40000}"/>
    <cellStyle name="Output 2 3 7 2 3 3" xfId="42217" xr:uid="{00000000-0005-0000-0000-0000E7A40000}"/>
    <cellStyle name="Output 2 3 7 2 3 4" xfId="42218" xr:uid="{00000000-0005-0000-0000-0000E8A40000}"/>
    <cellStyle name="Output 2 3 7 2 3 5" xfId="42219" xr:uid="{00000000-0005-0000-0000-0000E9A40000}"/>
    <cellStyle name="Output 2 3 7 2 4" xfId="42220" xr:uid="{00000000-0005-0000-0000-0000EAA40000}"/>
    <cellStyle name="Output 2 3 7 2 5" xfId="42221" xr:uid="{00000000-0005-0000-0000-0000EBA40000}"/>
    <cellStyle name="Output 2 3 7 2 6" xfId="42222" xr:uid="{00000000-0005-0000-0000-0000ECA40000}"/>
    <cellStyle name="Output 2 3 7 2 7" xfId="42223" xr:uid="{00000000-0005-0000-0000-0000EDA40000}"/>
    <cellStyle name="Output 2 3 7 3" xfId="42224" xr:uid="{00000000-0005-0000-0000-0000EEA40000}"/>
    <cellStyle name="Output 2 3 7 3 2" xfId="42225" xr:uid="{00000000-0005-0000-0000-0000EFA40000}"/>
    <cellStyle name="Output 2 3 7 3 2 2" xfId="42226" xr:uid="{00000000-0005-0000-0000-0000F0A40000}"/>
    <cellStyle name="Output 2 3 7 3 2 3" xfId="42227" xr:uid="{00000000-0005-0000-0000-0000F1A40000}"/>
    <cellStyle name="Output 2 3 7 3 2 4" xfId="42228" xr:uid="{00000000-0005-0000-0000-0000F2A40000}"/>
    <cellStyle name="Output 2 3 7 3 2 5" xfId="42229" xr:uid="{00000000-0005-0000-0000-0000F3A40000}"/>
    <cellStyle name="Output 2 3 7 3 2 6" xfId="42230" xr:uid="{00000000-0005-0000-0000-0000F4A40000}"/>
    <cellStyle name="Output 2 3 7 3 3" xfId="42231" xr:uid="{00000000-0005-0000-0000-0000F5A40000}"/>
    <cellStyle name="Output 2 3 7 3 4" xfId="42232" xr:uid="{00000000-0005-0000-0000-0000F6A40000}"/>
    <cellStyle name="Output 2 3 7 3 5" xfId="42233" xr:uid="{00000000-0005-0000-0000-0000F7A40000}"/>
    <cellStyle name="Output 2 3 7 3 6" xfId="42234" xr:uid="{00000000-0005-0000-0000-0000F8A40000}"/>
    <cellStyle name="Output 2 3 7 4" xfId="42235" xr:uid="{00000000-0005-0000-0000-0000F9A40000}"/>
    <cellStyle name="Output 2 3 7 4 2" xfId="42236" xr:uid="{00000000-0005-0000-0000-0000FAA40000}"/>
    <cellStyle name="Output 2 3 7 4 3" xfId="42237" xr:uid="{00000000-0005-0000-0000-0000FBA40000}"/>
    <cellStyle name="Output 2 3 7 4 4" xfId="42238" xr:uid="{00000000-0005-0000-0000-0000FCA40000}"/>
    <cellStyle name="Output 2 3 7 4 5" xfId="42239" xr:uid="{00000000-0005-0000-0000-0000FDA40000}"/>
    <cellStyle name="Output 2 3 7 4 6" xfId="42240" xr:uid="{00000000-0005-0000-0000-0000FEA40000}"/>
    <cellStyle name="Output 2 3 7 5" xfId="42241" xr:uid="{00000000-0005-0000-0000-0000FFA40000}"/>
    <cellStyle name="Output 2 3 7 5 2" xfId="42242" xr:uid="{00000000-0005-0000-0000-000000A50000}"/>
    <cellStyle name="Output 2 3 7 5 3" xfId="42243" xr:uid="{00000000-0005-0000-0000-000001A50000}"/>
    <cellStyle name="Output 2 3 7 5 4" xfId="42244" xr:uid="{00000000-0005-0000-0000-000002A50000}"/>
    <cellStyle name="Output 2 3 7 5 5" xfId="42245" xr:uid="{00000000-0005-0000-0000-000003A50000}"/>
    <cellStyle name="Output 2 3 7 6" xfId="42246" xr:uid="{00000000-0005-0000-0000-000004A50000}"/>
    <cellStyle name="Output 2 3 7 7" xfId="42247" xr:uid="{00000000-0005-0000-0000-000005A50000}"/>
    <cellStyle name="Output 2 3 7 8" xfId="42248" xr:uid="{00000000-0005-0000-0000-000006A50000}"/>
    <cellStyle name="Output 2 3 7 9" xfId="42249" xr:uid="{00000000-0005-0000-0000-000007A50000}"/>
    <cellStyle name="Output 2 3 8" xfId="42250" xr:uid="{00000000-0005-0000-0000-000008A50000}"/>
    <cellStyle name="Output 2 3 8 2" xfId="42251" xr:uid="{00000000-0005-0000-0000-000009A50000}"/>
    <cellStyle name="Output 2 3 8 2 2" xfId="42252" xr:uid="{00000000-0005-0000-0000-00000AA50000}"/>
    <cellStyle name="Output 2 3 8 2 2 2" xfId="42253" xr:uid="{00000000-0005-0000-0000-00000BA50000}"/>
    <cellStyle name="Output 2 3 8 2 2 3" xfId="42254" xr:uid="{00000000-0005-0000-0000-00000CA50000}"/>
    <cellStyle name="Output 2 3 8 2 2 4" xfId="42255" xr:uid="{00000000-0005-0000-0000-00000DA50000}"/>
    <cellStyle name="Output 2 3 8 2 2 5" xfId="42256" xr:uid="{00000000-0005-0000-0000-00000EA50000}"/>
    <cellStyle name="Output 2 3 8 2 3" xfId="42257" xr:uid="{00000000-0005-0000-0000-00000FA50000}"/>
    <cellStyle name="Output 2 3 8 2 4" xfId="42258" xr:uid="{00000000-0005-0000-0000-000010A50000}"/>
    <cellStyle name="Output 2 3 8 2 5" xfId="42259" xr:uid="{00000000-0005-0000-0000-000011A50000}"/>
    <cellStyle name="Output 2 3 8 2 6" xfId="42260" xr:uid="{00000000-0005-0000-0000-000012A50000}"/>
    <cellStyle name="Output 2 3 8 2 7" xfId="42261" xr:uid="{00000000-0005-0000-0000-000013A50000}"/>
    <cellStyle name="Output 2 3 8 3" xfId="42262" xr:uid="{00000000-0005-0000-0000-000014A50000}"/>
    <cellStyle name="Output 2 3 8 3 2" xfId="42263" xr:uid="{00000000-0005-0000-0000-000015A50000}"/>
    <cellStyle name="Output 2 3 8 3 3" xfId="42264" xr:uid="{00000000-0005-0000-0000-000016A50000}"/>
    <cellStyle name="Output 2 3 8 3 4" xfId="42265" xr:uid="{00000000-0005-0000-0000-000017A50000}"/>
    <cellStyle name="Output 2 3 8 3 5" xfId="42266" xr:uid="{00000000-0005-0000-0000-000018A50000}"/>
    <cellStyle name="Output 2 3 8 4" xfId="42267" xr:uid="{00000000-0005-0000-0000-000019A50000}"/>
    <cellStyle name="Output 2 3 8 5" xfId="42268" xr:uid="{00000000-0005-0000-0000-00001AA50000}"/>
    <cellStyle name="Output 2 3 8 6" xfId="42269" xr:uid="{00000000-0005-0000-0000-00001BA50000}"/>
    <cellStyle name="Output 2 3 8 7" xfId="42270" xr:uid="{00000000-0005-0000-0000-00001CA50000}"/>
    <cellStyle name="Output 2 3 9" xfId="42271" xr:uid="{00000000-0005-0000-0000-00001DA50000}"/>
    <cellStyle name="Output 2 3 9 2" xfId="42272" xr:uid="{00000000-0005-0000-0000-00001EA50000}"/>
    <cellStyle name="Output 2 3 9 2 2" xfId="42273" xr:uid="{00000000-0005-0000-0000-00001FA50000}"/>
    <cellStyle name="Output 2 3 9 2 2 2" xfId="42274" xr:uid="{00000000-0005-0000-0000-000020A50000}"/>
    <cellStyle name="Output 2 3 9 2 2 3" xfId="42275" xr:uid="{00000000-0005-0000-0000-000021A50000}"/>
    <cellStyle name="Output 2 3 9 2 2 4" xfId="42276" xr:uid="{00000000-0005-0000-0000-000022A50000}"/>
    <cellStyle name="Output 2 3 9 2 2 5" xfId="42277" xr:uid="{00000000-0005-0000-0000-000023A50000}"/>
    <cellStyle name="Output 2 3 9 2 3" xfId="42278" xr:uid="{00000000-0005-0000-0000-000024A50000}"/>
    <cellStyle name="Output 2 3 9 2 4" xfId="42279" xr:uid="{00000000-0005-0000-0000-000025A50000}"/>
    <cellStyle name="Output 2 3 9 2 5" xfId="42280" xr:uid="{00000000-0005-0000-0000-000026A50000}"/>
    <cellStyle name="Output 2 3 9 2 6" xfId="42281" xr:uid="{00000000-0005-0000-0000-000027A50000}"/>
    <cellStyle name="Output 2 3 9 2 7" xfId="42282" xr:uid="{00000000-0005-0000-0000-000028A50000}"/>
    <cellStyle name="Output 2 3 9 3" xfId="42283" xr:uid="{00000000-0005-0000-0000-000029A50000}"/>
    <cellStyle name="Output 2 3 9 3 2" xfId="42284" xr:uid="{00000000-0005-0000-0000-00002AA50000}"/>
    <cellStyle name="Output 2 3 9 3 3" xfId="42285" xr:uid="{00000000-0005-0000-0000-00002BA50000}"/>
    <cellStyle name="Output 2 3 9 3 4" xfId="42286" xr:uid="{00000000-0005-0000-0000-00002CA50000}"/>
    <cellStyle name="Output 2 3 9 3 5" xfId="42287" xr:uid="{00000000-0005-0000-0000-00002DA50000}"/>
    <cellStyle name="Output 2 3 9 4" xfId="42288" xr:uid="{00000000-0005-0000-0000-00002EA50000}"/>
    <cellStyle name="Output 2 3 9 5" xfId="42289" xr:uid="{00000000-0005-0000-0000-00002FA50000}"/>
    <cellStyle name="Output 2 3 9 6" xfId="42290" xr:uid="{00000000-0005-0000-0000-000030A50000}"/>
    <cellStyle name="Output 2 3 9 7" xfId="42291" xr:uid="{00000000-0005-0000-0000-000031A50000}"/>
    <cellStyle name="Output 2 30" xfId="42292" xr:uid="{00000000-0005-0000-0000-000032A50000}"/>
    <cellStyle name="Output 2 30 2" xfId="42293" xr:uid="{00000000-0005-0000-0000-000033A50000}"/>
    <cellStyle name="Output 2 30 2 2" xfId="42294" xr:uid="{00000000-0005-0000-0000-000034A50000}"/>
    <cellStyle name="Output 2 30 2 3" xfId="42295" xr:uid="{00000000-0005-0000-0000-000035A50000}"/>
    <cellStyle name="Output 2 30 2 4" xfId="42296" xr:uid="{00000000-0005-0000-0000-000036A50000}"/>
    <cellStyle name="Output 2 30 2 5" xfId="42297" xr:uid="{00000000-0005-0000-0000-000037A50000}"/>
    <cellStyle name="Output 2 30 3" xfId="42298" xr:uid="{00000000-0005-0000-0000-000038A50000}"/>
    <cellStyle name="Output 2 30 4" xfId="42299" xr:uid="{00000000-0005-0000-0000-000039A50000}"/>
    <cellStyle name="Output 2 30 5" xfId="42300" xr:uid="{00000000-0005-0000-0000-00003AA50000}"/>
    <cellStyle name="Output 2 30 6" xfId="42301" xr:uid="{00000000-0005-0000-0000-00003BA50000}"/>
    <cellStyle name="Output 2 31" xfId="42302" xr:uid="{00000000-0005-0000-0000-00003CA50000}"/>
    <cellStyle name="Output 2 31 2" xfId="42303" xr:uid="{00000000-0005-0000-0000-00003DA50000}"/>
    <cellStyle name="Output 2 31 2 2" xfId="42304" xr:uid="{00000000-0005-0000-0000-00003EA50000}"/>
    <cellStyle name="Output 2 31 2 3" xfId="42305" xr:uid="{00000000-0005-0000-0000-00003FA50000}"/>
    <cellStyle name="Output 2 31 2 4" xfId="42306" xr:uid="{00000000-0005-0000-0000-000040A50000}"/>
    <cellStyle name="Output 2 31 2 5" xfId="42307" xr:uid="{00000000-0005-0000-0000-000041A50000}"/>
    <cellStyle name="Output 2 31 3" xfId="42308" xr:uid="{00000000-0005-0000-0000-000042A50000}"/>
    <cellStyle name="Output 2 31 4" xfId="42309" xr:uid="{00000000-0005-0000-0000-000043A50000}"/>
    <cellStyle name="Output 2 31 5" xfId="42310" xr:uid="{00000000-0005-0000-0000-000044A50000}"/>
    <cellStyle name="Output 2 31 6" xfId="42311" xr:uid="{00000000-0005-0000-0000-000045A50000}"/>
    <cellStyle name="Output 2 32" xfId="42312" xr:uid="{00000000-0005-0000-0000-000046A50000}"/>
    <cellStyle name="Output 2 32 2" xfId="42313" xr:uid="{00000000-0005-0000-0000-000047A50000}"/>
    <cellStyle name="Output 2 32 2 2" xfId="42314" xr:uid="{00000000-0005-0000-0000-000048A50000}"/>
    <cellStyle name="Output 2 32 2 3" xfId="42315" xr:uid="{00000000-0005-0000-0000-000049A50000}"/>
    <cellStyle name="Output 2 32 2 4" xfId="42316" xr:uid="{00000000-0005-0000-0000-00004AA50000}"/>
    <cellStyle name="Output 2 32 2 5" xfId="42317" xr:uid="{00000000-0005-0000-0000-00004BA50000}"/>
    <cellStyle name="Output 2 32 3" xfId="42318" xr:uid="{00000000-0005-0000-0000-00004CA50000}"/>
    <cellStyle name="Output 2 32 4" xfId="42319" xr:uid="{00000000-0005-0000-0000-00004DA50000}"/>
    <cellStyle name="Output 2 32 5" xfId="42320" xr:uid="{00000000-0005-0000-0000-00004EA50000}"/>
    <cellStyle name="Output 2 32 6" xfId="42321" xr:uid="{00000000-0005-0000-0000-00004FA50000}"/>
    <cellStyle name="Output 2 33" xfId="42322" xr:uid="{00000000-0005-0000-0000-000050A50000}"/>
    <cellStyle name="Output 2 33 2" xfId="42323" xr:uid="{00000000-0005-0000-0000-000051A50000}"/>
    <cellStyle name="Output 2 33 2 2" xfId="42324" xr:uid="{00000000-0005-0000-0000-000052A50000}"/>
    <cellStyle name="Output 2 33 2 3" xfId="42325" xr:uid="{00000000-0005-0000-0000-000053A50000}"/>
    <cellStyle name="Output 2 33 2 4" xfId="42326" xr:uid="{00000000-0005-0000-0000-000054A50000}"/>
    <cellStyle name="Output 2 33 2 5" xfId="42327" xr:uid="{00000000-0005-0000-0000-000055A50000}"/>
    <cellStyle name="Output 2 33 3" xfId="42328" xr:uid="{00000000-0005-0000-0000-000056A50000}"/>
    <cellStyle name="Output 2 33 4" xfId="42329" xr:uid="{00000000-0005-0000-0000-000057A50000}"/>
    <cellStyle name="Output 2 33 5" xfId="42330" xr:uid="{00000000-0005-0000-0000-000058A50000}"/>
    <cellStyle name="Output 2 33 6" xfId="42331" xr:uid="{00000000-0005-0000-0000-000059A50000}"/>
    <cellStyle name="Output 2 34" xfId="42332" xr:uid="{00000000-0005-0000-0000-00005AA50000}"/>
    <cellStyle name="Output 2 34 2" xfId="42333" xr:uid="{00000000-0005-0000-0000-00005BA50000}"/>
    <cellStyle name="Output 2 34 2 2" xfId="42334" xr:uid="{00000000-0005-0000-0000-00005CA50000}"/>
    <cellStyle name="Output 2 34 2 3" xfId="42335" xr:uid="{00000000-0005-0000-0000-00005DA50000}"/>
    <cellStyle name="Output 2 34 2 4" xfId="42336" xr:uid="{00000000-0005-0000-0000-00005EA50000}"/>
    <cellStyle name="Output 2 34 2 5" xfId="42337" xr:uid="{00000000-0005-0000-0000-00005FA50000}"/>
    <cellStyle name="Output 2 34 3" xfId="42338" xr:uid="{00000000-0005-0000-0000-000060A50000}"/>
    <cellStyle name="Output 2 34 4" xfId="42339" xr:uid="{00000000-0005-0000-0000-000061A50000}"/>
    <cellStyle name="Output 2 34 5" xfId="42340" xr:uid="{00000000-0005-0000-0000-000062A50000}"/>
    <cellStyle name="Output 2 34 6" xfId="42341" xr:uid="{00000000-0005-0000-0000-000063A50000}"/>
    <cellStyle name="Output 2 35" xfId="42342" xr:uid="{00000000-0005-0000-0000-000064A50000}"/>
    <cellStyle name="Output 2 35 2" xfId="42343" xr:uid="{00000000-0005-0000-0000-000065A50000}"/>
    <cellStyle name="Output 2 35 2 2" xfId="42344" xr:uid="{00000000-0005-0000-0000-000066A50000}"/>
    <cellStyle name="Output 2 35 2 3" xfId="42345" xr:uid="{00000000-0005-0000-0000-000067A50000}"/>
    <cellStyle name="Output 2 35 2 4" xfId="42346" xr:uid="{00000000-0005-0000-0000-000068A50000}"/>
    <cellStyle name="Output 2 35 2 5" xfId="42347" xr:uid="{00000000-0005-0000-0000-000069A50000}"/>
    <cellStyle name="Output 2 35 3" xfId="42348" xr:uid="{00000000-0005-0000-0000-00006AA50000}"/>
    <cellStyle name="Output 2 35 4" xfId="42349" xr:uid="{00000000-0005-0000-0000-00006BA50000}"/>
    <cellStyle name="Output 2 35 5" xfId="42350" xr:uid="{00000000-0005-0000-0000-00006CA50000}"/>
    <cellStyle name="Output 2 35 6" xfId="42351" xr:uid="{00000000-0005-0000-0000-00006DA50000}"/>
    <cellStyle name="Output 2 36" xfId="42352" xr:uid="{00000000-0005-0000-0000-00006EA50000}"/>
    <cellStyle name="Output 2 36 2" xfId="42353" xr:uid="{00000000-0005-0000-0000-00006FA50000}"/>
    <cellStyle name="Output 2 36 2 2" xfId="42354" xr:uid="{00000000-0005-0000-0000-000070A50000}"/>
    <cellStyle name="Output 2 36 2 3" xfId="42355" xr:uid="{00000000-0005-0000-0000-000071A50000}"/>
    <cellStyle name="Output 2 36 2 4" xfId="42356" xr:uid="{00000000-0005-0000-0000-000072A50000}"/>
    <cellStyle name="Output 2 36 2 5" xfId="42357" xr:uid="{00000000-0005-0000-0000-000073A50000}"/>
    <cellStyle name="Output 2 36 3" xfId="42358" xr:uid="{00000000-0005-0000-0000-000074A50000}"/>
    <cellStyle name="Output 2 36 4" xfId="42359" xr:uid="{00000000-0005-0000-0000-000075A50000}"/>
    <cellStyle name="Output 2 36 5" xfId="42360" xr:uid="{00000000-0005-0000-0000-000076A50000}"/>
    <cellStyle name="Output 2 36 6" xfId="42361" xr:uid="{00000000-0005-0000-0000-000077A50000}"/>
    <cellStyle name="Output 2 37" xfId="42362" xr:uid="{00000000-0005-0000-0000-000078A50000}"/>
    <cellStyle name="Output 2 37 2" xfId="42363" xr:uid="{00000000-0005-0000-0000-000079A50000}"/>
    <cellStyle name="Output 2 37 2 2" xfId="42364" xr:uid="{00000000-0005-0000-0000-00007AA50000}"/>
    <cellStyle name="Output 2 37 2 3" xfId="42365" xr:uid="{00000000-0005-0000-0000-00007BA50000}"/>
    <cellStyle name="Output 2 37 2 4" xfId="42366" xr:uid="{00000000-0005-0000-0000-00007CA50000}"/>
    <cellStyle name="Output 2 37 2 5" xfId="42367" xr:uid="{00000000-0005-0000-0000-00007DA50000}"/>
    <cellStyle name="Output 2 37 3" xfId="42368" xr:uid="{00000000-0005-0000-0000-00007EA50000}"/>
    <cellStyle name="Output 2 37 4" xfId="42369" xr:uid="{00000000-0005-0000-0000-00007FA50000}"/>
    <cellStyle name="Output 2 37 5" xfId="42370" xr:uid="{00000000-0005-0000-0000-000080A50000}"/>
    <cellStyle name="Output 2 37 6" xfId="42371" xr:uid="{00000000-0005-0000-0000-000081A50000}"/>
    <cellStyle name="Output 2 38" xfId="42372" xr:uid="{00000000-0005-0000-0000-000082A50000}"/>
    <cellStyle name="Output 2 38 2" xfId="42373" xr:uid="{00000000-0005-0000-0000-000083A50000}"/>
    <cellStyle name="Output 2 38 2 2" xfId="42374" xr:uid="{00000000-0005-0000-0000-000084A50000}"/>
    <cellStyle name="Output 2 38 2 3" xfId="42375" xr:uid="{00000000-0005-0000-0000-000085A50000}"/>
    <cellStyle name="Output 2 38 2 4" xfId="42376" xr:uid="{00000000-0005-0000-0000-000086A50000}"/>
    <cellStyle name="Output 2 38 2 5" xfId="42377" xr:uid="{00000000-0005-0000-0000-000087A50000}"/>
    <cellStyle name="Output 2 38 3" xfId="42378" xr:uid="{00000000-0005-0000-0000-000088A50000}"/>
    <cellStyle name="Output 2 38 4" xfId="42379" xr:uid="{00000000-0005-0000-0000-000089A50000}"/>
    <cellStyle name="Output 2 38 5" xfId="42380" xr:uid="{00000000-0005-0000-0000-00008AA50000}"/>
    <cellStyle name="Output 2 38 6" xfId="42381" xr:uid="{00000000-0005-0000-0000-00008BA50000}"/>
    <cellStyle name="Output 2 39" xfId="42382" xr:uid="{00000000-0005-0000-0000-00008CA50000}"/>
    <cellStyle name="Output 2 39 2" xfId="42383" xr:uid="{00000000-0005-0000-0000-00008DA50000}"/>
    <cellStyle name="Output 2 39 2 2" xfId="42384" xr:uid="{00000000-0005-0000-0000-00008EA50000}"/>
    <cellStyle name="Output 2 39 2 3" xfId="42385" xr:uid="{00000000-0005-0000-0000-00008FA50000}"/>
    <cellStyle name="Output 2 39 2 4" xfId="42386" xr:uid="{00000000-0005-0000-0000-000090A50000}"/>
    <cellStyle name="Output 2 39 2 5" xfId="42387" xr:uid="{00000000-0005-0000-0000-000091A50000}"/>
    <cellStyle name="Output 2 39 3" xfId="42388" xr:uid="{00000000-0005-0000-0000-000092A50000}"/>
    <cellStyle name="Output 2 39 4" xfId="42389" xr:uid="{00000000-0005-0000-0000-000093A50000}"/>
    <cellStyle name="Output 2 39 5" xfId="42390" xr:uid="{00000000-0005-0000-0000-000094A50000}"/>
    <cellStyle name="Output 2 39 6" xfId="42391" xr:uid="{00000000-0005-0000-0000-000095A50000}"/>
    <cellStyle name="Output 2 4" xfId="42392" xr:uid="{00000000-0005-0000-0000-000096A50000}"/>
    <cellStyle name="Output 2 4 2" xfId="42393" xr:uid="{00000000-0005-0000-0000-000097A50000}"/>
    <cellStyle name="Output 2 4 2 2" xfId="42394" xr:uid="{00000000-0005-0000-0000-000098A50000}"/>
    <cellStyle name="Output 2 4 2 3" xfId="42395" xr:uid="{00000000-0005-0000-0000-000099A50000}"/>
    <cellStyle name="Output 2 4 2 4" xfId="42396" xr:uid="{00000000-0005-0000-0000-00009AA50000}"/>
    <cellStyle name="Output 2 4 2 5" xfId="42397" xr:uid="{00000000-0005-0000-0000-00009BA50000}"/>
    <cellStyle name="Output 2 4 3" xfId="42398" xr:uid="{00000000-0005-0000-0000-00009CA50000}"/>
    <cellStyle name="Output 2 4 3 2" xfId="42399" xr:uid="{00000000-0005-0000-0000-00009DA50000}"/>
    <cellStyle name="Output 2 4 3 3" xfId="42400" xr:uid="{00000000-0005-0000-0000-00009EA50000}"/>
    <cellStyle name="Output 2 4 3 4" xfId="42401" xr:uid="{00000000-0005-0000-0000-00009FA50000}"/>
    <cellStyle name="Output 2 4 3 5" xfId="42402" xr:uid="{00000000-0005-0000-0000-0000A0A50000}"/>
    <cellStyle name="Output 2 4 4" xfId="42403" xr:uid="{00000000-0005-0000-0000-0000A1A50000}"/>
    <cellStyle name="Output 2 4 5" xfId="42404" xr:uid="{00000000-0005-0000-0000-0000A2A50000}"/>
    <cellStyle name="Output 2 4 6" xfId="42405" xr:uid="{00000000-0005-0000-0000-0000A3A50000}"/>
    <cellStyle name="Output 2 4 7" xfId="42406" xr:uid="{00000000-0005-0000-0000-0000A4A50000}"/>
    <cellStyle name="Output 2 4 8" xfId="42407" xr:uid="{00000000-0005-0000-0000-0000A5A50000}"/>
    <cellStyle name="Output 2 40" xfId="42408" xr:uid="{00000000-0005-0000-0000-0000A6A50000}"/>
    <cellStyle name="Output 2 40 2" xfId="42409" xr:uid="{00000000-0005-0000-0000-0000A7A50000}"/>
    <cellStyle name="Output 2 40 2 2" xfId="42410" xr:uid="{00000000-0005-0000-0000-0000A8A50000}"/>
    <cellStyle name="Output 2 40 2 3" xfId="42411" xr:uid="{00000000-0005-0000-0000-0000A9A50000}"/>
    <cellStyle name="Output 2 40 2 4" xfId="42412" xr:uid="{00000000-0005-0000-0000-0000AAA50000}"/>
    <cellStyle name="Output 2 40 2 5" xfId="42413" xr:uid="{00000000-0005-0000-0000-0000ABA50000}"/>
    <cellStyle name="Output 2 40 3" xfId="42414" xr:uid="{00000000-0005-0000-0000-0000ACA50000}"/>
    <cellStyle name="Output 2 40 4" xfId="42415" xr:uid="{00000000-0005-0000-0000-0000ADA50000}"/>
    <cellStyle name="Output 2 40 5" xfId="42416" xr:uid="{00000000-0005-0000-0000-0000AEA50000}"/>
    <cellStyle name="Output 2 40 6" xfId="42417" xr:uid="{00000000-0005-0000-0000-0000AFA50000}"/>
    <cellStyle name="Output 2 41" xfId="42418" xr:uid="{00000000-0005-0000-0000-0000B0A50000}"/>
    <cellStyle name="Output 2 41 2" xfId="42419" xr:uid="{00000000-0005-0000-0000-0000B1A50000}"/>
    <cellStyle name="Output 2 41 2 2" xfId="42420" xr:uid="{00000000-0005-0000-0000-0000B2A50000}"/>
    <cellStyle name="Output 2 41 2 3" xfId="42421" xr:uid="{00000000-0005-0000-0000-0000B3A50000}"/>
    <cellStyle name="Output 2 41 2 4" xfId="42422" xr:uid="{00000000-0005-0000-0000-0000B4A50000}"/>
    <cellStyle name="Output 2 41 2 5" xfId="42423" xr:uid="{00000000-0005-0000-0000-0000B5A50000}"/>
    <cellStyle name="Output 2 41 3" xfId="42424" xr:uid="{00000000-0005-0000-0000-0000B6A50000}"/>
    <cellStyle name="Output 2 41 4" xfId="42425" xr:uid="{00000000-0005-0000-0000-0000B7A50000}"/>
    <cellStyle name="Output 2 41 5" xfId="42426" xr:uid="{00000000-0005-0000-0000-0000B8A50000}"/>
    <cellStyle name="Output 2 41 6" xfId="42427" xr:uid="{00000000-0005-0000-0000-0000B9A50000}"/>
    <cellStyle name="Output 2 42" xfId="42428" xr:uid="{00000000-0005-0000-0000-0000BAA50000}"/>
    <cellStyle name="Output 2 42 2" xfId="42429" xr:uid="{00000000-0005-0000-0000-0000BBA50000}"/>
    <cellStyle name="Output 2 42 2 2" xfId="42430" xr:uid="{00000000-0005-0000-0000-0000BCA50000}"/>
    <cellStyle name="Output 2 42 2 3" xfId="42431" xr:uid="{00000000-0005-0000-0000-0000BDA50000}"/>
    <cellStyle name="Output 2 42 2 4" xfId="42432" xr:uid="{00000000-0005-0000-0000-0000BEA50000}"/>
    <cellStyle name="Output 2 42 2 5" xfId="42433" xr:uid="{00000000-0005-0000-0000-0000BFA50000}"/>
    <cellStyle name="Output 2 42 3" xfId="42434" xr:uid="{00000000-0005-0000-0000-0000C0A50000}"/>
    <cellStyle name="Output 2 42 4" xfId="42435" xr:uid="{00000000-0005-0000-0000-0000C1A50000}"/>
    <cellStyle name="Output 2 42 5" xfId="42436" xr:uid="{00000000-0005-0000-0000-0000C2A50000}"/>
    <cellStyle name="Output 2 42 6" xfId="42437" xr:uid="{00000000-0005-0000-0000-0000C3A50000}"/>
    <cellStyle name="Output 2 43" xfId="42438" xr:uid="{00000000-0005-0000-0000-0000C4A50000}"/>
    <cellStyle name="Output 2 43 2" xfId="42439" xr:uid="{00000000-0005-0000-0000-0000C5A50000}"/>
    <cellStyle name="Output 2 43 2 2" xfId="42440" xr:uid="{00000000-0005-0000-0000-0000C6A50000}"/>
    <cellStyle name="Output 2 43 2 3" xfId="42441" xr:uid="{00000000-0005-0000-0000-0000C7A50000}"/>
    <cellStyle name="Output 2 43 2 4" xfId="42442" xr:uid="{00000000-0005-0000-0000-0000C8A50000}"/>
    <cellStyle name="Output 2 43 2 5" xfId="42443" xr:uid="{00000000-0005-0000-0000-0000C9A50000}"/>
    <cellStyle name="Output 2 43 3" xfId="42444" xr:uid="{00000000-0005-0000-0000-0000CAA50000}"/>
    <cellStyle name="Output 2 43 4" xfId="42445" xr:uid="{00000000-0005-0000-0000-0000CBA50000}"/>
    <cellStyle name="Output 2 43 5" xfId="42446" xr:uid="{00000000-0005-0000-0000-0000CCA50000}"/>
    <cellStyle name="Output 2 43 6" xfId="42447" xr:uid="{00000000-0005-0000-0000-0000CDA50000}"/>
    <cellStyle name="Output 2 44" xfId="42448" xr:uid="{00000000-0005-0000-0000-0000CEA50000}"/>
    <cellStyle name="Output 2 44 2" xfId="42449" xr:uid="{00000000-0005-0000-0000-0000CFA50000}"/>
    <cellStyle name="Output 2 44 3" xfId="42450" xr:uid="{00000000-0005-0000-0000-0000D0A50000}"/>
    <cellStyle name="Output 2 44 4" xfId="42451" xr:uid="{00000000-0005-0000-0000-0000D1A50000}"/>
    <cellStyle name="Output 2 44 5" xfId="42452" xr:uid="{00000000-0005-0000-0000-0000D2A50000}"/>
    <cellStyle name="Output 2 45" xfId="42453" xr:uid="{00000000-0005-0000-0000-0000D3A50000}"/>
    <cellStyle name="Output 2 46" xfId="42454" xr:uid="{00000000-0005-0000-0000-0000D4A50000}"/>
    <cellStyle name="Output 2 47" xfId="42455" xr:uid="{00000000-0005-0000-0000-0000D5A50000}"/>
    <cellStyle name="Output 2 48" xfId="42456" xr:uid="{00000000-0005-0000-0000-0000D6A50000}"/>
    <cellStyle name="Output 2 5" xfId="42457" xr:uid="{00000000-0005-0000-0000-0000D7A50000}"/>
    <cellStyle name="Output 2 5 2" xfId="42458" xr:uid="{00000000-0005-0000-0000-0000D8A50000}"/>
    <cellStyle name="Output 2 5 2 2" xfId="42459" xr:uid="{00000000-0005-0000-0000-0000D9A50000}"/>
    <cellStyle name="Output 2 5 2 3" xfId="42460" xr:uid="{00000000-0005-0000-0000-0000DAA50000}"/>
    <cellStyle name="Output 2 5 2 4" xfId="42461" xr:uid="{00000000-0005-0000-0000-0000DBA50000}"/>
    <cellStyle name="Output 2 5 2 5" xfId="42462" xr:uid="{00000000-0005-0000-0000-0000DCA50000}"/>
    <cellStyle name="Output 2 5 3" xfId="42463" xr:uid="{00000000-0005-0000-0000-0000DDA50000}"/>
    <cellStyle name="Output 2 5 4" xfId="42464" xr:uid="{00000000-0005-0000-0000-0000DEA50000}"/>
    <cellStyle name="Output 2 5 5" xfId="42465" xr:uid="{00000000-0005-0000-0000-0000DFA50000}"/>
    <cellStyle name="Output 2 5 6" xfId="42466" xr:uid="{00000000-0005-0000-0000-0000E0A50000}"/>
    <cellStyle name="Output 2 6" xfId="42467" xr:uid="{00000000-0005-0000-0000-0000E1A50000}"/>
    <cellStyle name="Output 2 6 2" xfId="42468" xr:uid="{00000000-0005-0000-0000-0000E2A50000}"/>
    <cellStyle name="Output 2 6 2 2" xfId="42469" xr:uid="{00000000-0005-0000-0000-0000E3A50000}"/>
    <cellStyle name="Output 2 6 2 3" xfId="42470" xr:uid="{00000000-0005-0000-0000-0000E4A50000}"/>
    <cellStyle name="Output 2 6 2 4" xfId="42471" xr:uid="{00000000-0005-0000-0000-0000E5A50000}"/>
    <cellStyle name="Output 2 6 2 5" xfId="42472" xr:uid="{00000000-0005-0000-0000-0000E6A50000}"/>
    <cellStyle name="Output 2 6 3" xfId="42473" xr:uid="{00000000-0005-0000-0000-0000E7A50000}"/>
    <cellStyle name="Output 2 6 4" xfId="42474" xr:uid="{00000000-0005-0000-0000-0000E8A50000}"/>
    <cellStyle name="Output 2 6 5" xfId="42475" xr:uid="{00000000-0005-0000-0000-0000E9A50000}"/>
    <cellStyle name="Output 2 6 6" xfId="42476" xr:uid="{00000000-0005-0000-0000-0000EAA50000}"/>
    <cellStyle name="Output 2 7" xfId="42477" xr:uid="{00000000-0005-0000-0000-0000EBA50000}"/>
    <cellStyle name="Output 2 7 2" xfId="42478" xr:uid="{00000000-0005-0000-0000-0000ECA50000}"/>
    <cellStyle name="Output 2 7 2 2" xfId="42479" xr:uid="{00000000-0005-0000-0000-0000EDA50000}"/>
    <cellStyle name="Output 2 7 2 3" xfId="42480" xr:uid="{00000000-0005-0000-0000-0000EEA50000}"/>
    <cellStyle name="Output 2 7 2 4" xfId="42481" xr:uid="{00000000-0005-0000-0000-0000EFA50000}"/>
    <cellStyle name="Output 2 7 2 5" xfId="42482" xr:uid="{00000000-0005-0000-0000-0000F0A50000}"/>
    <cellStyle name="Output 2 7 3" xfId="42483" xr:uid="{00000000-0005-0000-0000-0000F1A50000}"/>
    <cellStyle name="Output 2 7 4" xfId="42484" xr:uid="{00000000-0005-0000-0000-0000F2A50000}"/>
    <cellStyle name="Output 2 7 5" xfId="42485" xr:uid="{00000000-0005-0000-0000-0000F3A50000}"/>
    <cellStyle name="Output 2 7 6" xfId="42486" xr:uid="{00000000-0005-0000-0000-0000F4A50000}"/>
    <cellStyle name="Output 2 8" xfId="42487" xr:uid="{00000000-0005-0000-0000-0000F5A50000}"/>
    <cellStyle name="Output 2 8 2" xfId="42488" xr:uid="{00000000-0005-0000-0000-0000F6A50000}"/>
    <cellStyle name="Output 2 8 2 2" xfId="42489" xr:uid="{00000000-0005-0000-0000-0000F7A50000}"/>
    <cellStyle name="Output 2 8 2 3" xfId="42490" xr:uid="{00000000-0005-0000-0000-0000F8A50000}"/>
    <cellStyle name="Output 2 8 2 4" xfId="42491" xr:uid="{00000000-0005-0000-0000-0000F9A50000}"/>
    <cellStyle name="Output 2 8 2 5" xfId="42492" xr:uid="{00000000-0005-0000-0000-0000FAA50000}"/>
    <cellStyle name="Output 2 8 3" xfId="42493" xr:uid="{00000000-0005-0000-0000-0000FBA50000}"/>
    <cellStyle name="Output 2 8 4" xfId="42494" xr:uid="{00000000-0005-0000-0000-0000FCA50000}"/>
    <cellStyle name="Output 2 8 5" xfId="42495" xr:uid="{00000000-0005-0000-0000-0000FDA50000}"/>
    <cellStyle name="Output 2 8 6" xfId="42496" xr:uid="{00000000-0005-0000-0000-0000FEA50000}"/>
    <cellStyle name="Output 2 9" xfId="42497" xr:uid="{00000000-0005-0000-0000-0000FFA50000}"/>
    <cellStyle name="Output 2 9 2" xfId="42498" xr:uid="{00000000-0005-0000-0000-000000A60000}"/>
    <cellStyle name="Output 2 9 2 2" xfId="42499" xr:uid="{00000000-0005-0000-0000-000001A60000}"/>
    <cellStyle name="Output 2 9 2 3" xfId="42500" xr:uid="{00000000-0005-0000-0000-000002A60000}"/>
    <cellStyle name="Output 2 9 2 4" xfId="42501" xr:uid="{00000000-0005-0000-0000-000003A60000}"/>
    <cellStyle name="Output 2 9 2 5" xfId="42502" xr:uid="{00000000-0005-0000-0000-000004A60000}"/>
    <cellStyle name="Output 2 9 3" xfId="42503" xr:uid="{00000000-0005-0000-0000-000005A60000}"/>
    <cellStyle name="Output 2 9 4" xfId="42504" xr:uid="{00000000-0005-0000-0000-000006A60000}"/>
    <cellStyle name="Output 2 9 5" xfId="42505" xr:uid="{00000000-0005-0000-0000-000007A60000}"/>
    <cellStyle name="Output 2 9 6" xfId="42506" xr:uid="{00000000-0005-0000-0000-000008A60000}"/>
    <cellStyle name="Output 3" xfId="42507" xr:uid="{00000000-0005-0000-0000-000009A60000}"/>
    <cellStyle name="Output 3 10" xfId="42508" xr:uid="{00000000-0005-0000-0000-00000AA60000}"/>
    <cellStyle name="Output 3 10 2" xfId="42509" xr:uid="{00000000-0005-0000-0000-00000BA60000}"/>
    <cellStyle name="Output 3 10 2 2" xfId="42510" xr:uid="{00000000-0005-0000-0000-00000CA60000}"/>
    <cellStyle name="Output 3 10 2 3" xfId="42511" xr:uid="{00000000-0005-0000-0000-00000DA60000}"/>
    <cellStyle name="Output 3 10 2 4" xfId="42512" xr:uid="{00000000-0005-0000-0000-00000EA60000}"/>
    <cellStyle name="Output 3 10 2 5" xfId="42513" xr:uid="{00000000-0005-0000-0000-00000FA60000}"/>
    <cellStyle name="Output 3 10 3" xfId="42514" xr:uid="{00000000-0005-0000-0000-000010A60000}"/>
    <cellStyle name="Output 3 10 4" xfId="42515" xr:uid="{00000000-0005-0000-0000-000011A60000}"/>
    <cellStyle name="Output 3 10 5" xfId="42516" xr:uid="{00000000-0005-0000-0000-000012A60000}"/>
    <cellStyle name="Output 3 10 6" xfId="42517" xr:uid="{00000000-0005-0000-0000-000013A60000}"/>
    <cellStyle name="Output 3 11" xfId="42518" xr:uid="{00000000-0005-0000-0000-000014A60000}"/>
    <cellStyle name="Output 3 11 2" xfId="42519" xr:uid="{00000000-0005-0000-0000-000015A60000}"/>
    <cellStyle name="Output 3 11 2 2" xfId="42520" xr:uid="{00000000-0005-0000-0000-000016A60000}"/>
    <cellStyle name="Output 3 11 2 3" xfId="42521" xr:uid="{00000000-0005-0000-0000-000017A60000}"/>
    <cellStyle name="Output 3 11 2 4" xfId="42522" xr:uid="{00000000-0005-0000-0000-000018A60000}"/>
    <cellStyle name="Output 3 11 2 5" xfId="42523" xr:uid="{00000000-0005-0000-0000-000019A60000}"/>
    <cellStyle name="Output 3 11 3" xfId="42524" xr:uid="{00000000-0005-0000-0000-00001AA60000}"/>
    <cellStyle name="Output 3 11 4" xfId="42525" xr:uid="{00000000-0005-0000-0000-00001BA60000}"/>
    <cellStyle name="Output 3 11 5" xfId="42526" xr:uid="{00000000-0005-0000-0000-00001CA60000}"/>
    <cellStyle name="Output 3 11 6" xfId="42527" xr:uid="{00000000-0005-0000-0000-00001DA60000}"/>
    <cellStyle name="Output 3 12" xfId="42528" xr:uid="{00000000-0005-0000-0000-00001EA60000}"/>
    <cellStyle name="Output 3 12 2" xfId="42529" xr:uid="{00000000-0005-0000-0000-00001FA60000}"/>
    <cellStyle name="Output 3 12 2 2" xfId="42530" xr:uid="{00000000-0005-0000-0000-000020A60000}"/>
    <cellStyle name="Output 3 12 2 3" xfId="42531" xr:uid="{00000000-0005-0000-0000-000021A60000}"/>
    <cellStyle name="Output 3 12 2 4" xfId="42532" xr:uid="{00000000-0005-0000-0000-000022A60000}"/>
    <cellStyle name="Output 3 12 2 5" xfId="42533" xr:uid="{00000000-0005-0000-0000-000023A60000}"/>
    <cellStyle name="Output 3 12 3" xfId="42534" xr:uid="{00000000-0005-0000-0000-000024A60000}"/>
    <cellStyle name="Output 3 12 4" xfId="42535" xr:uid="{00000000-0005-0000-0000-000025A60000}"/>
    <cellStyle name="Output 3 12 5" xfId="42536" xr:uid="{00000000-0005-0000-0000-000026A60000}"/>
    <cellStyle name="Output 3 12 6" xfId="42537" xr:uid="{00000000-0005-0000-0000-000027A60000}"/>
    <cellStyle name="Output 3 13" xfId="42538" xr:uid="{00000000-0005-0000-0000-000028A60000}"/>
    <cellStyle name="Output 3 13 2" xfId="42539" xr:uid="{00000000-0005-0000-0000-000029A60000}"/>
    <cellStyle name="Output 3 13 2 2" xfId="42540" xr:uid="{00000000-0005-0000-0000-00002AA60000}"/>
    <cellStyle name="Output 3 13 2 3" xfId="42541" xr:uid="{00000000-0005-0000-0000-00002BA60000}"/>
    <cellStyle name="Output 3 13 2 4" xfId="42542" xr:uid="{00000000-0005-0000-0000-00002CA60000}"/>
    <cellStyle name="Output 3 13 2 5" xfId="42543" xr:uid="{00000000-0005-0000-0000-00002DA60000}"/>
    <cellStyle name="Output 3 13 3" xfId="42544" xr:uid="{00000000-0005-0000-0000-00002EA60000}"/>
    <cellStyle name="Output 3 13 4" xfId="42545" xr:uid="{00000000-0005-0000-0000-00002FA60000}"/>
    <cellStyle name="Output 3 13 5" xfId="42546" xr:uid="{00000000-0005-0000-0000-000030A60000}"/>
    <cellStyle name="Output 3 13 6" xfId="42547" xr:uid="{00000000-0005-0000-0000-000031A60000}"/>
    <cellStyle name="Output 3 14" xfId="42548" xr:uid="{00000000-0005-0000-0000-000032A60000}"/>
    <cellStyle name="Output 3 14 2" xfId="42549" xr:uid="{00000000-0005-0000-0000-000033A60000}"/>
    <cellStyle name="Output 3 14 2 2" xfId="42550" xr:uid="{00000000-0005-0000-0000-000034A60000}"/>
    <cellStyle name="Output 3 14 2 3" xfId="42551" xr:uid="{00000000-0005-0000-0000-000035A60000}"/>
    <cellStyle name="Output 3 14 2 4" xfId="42552" xr:uid="{00000000-0005-0000-0000-000036A60000}"/>
    <cellStyle name="Output 3 14 2 5" xfId="42553" xr:uid="{00000000-0005-0000-0000-000037A60000}"/>
    <cellStyle name="Output 3 14 3" xfId="42554" xr:uid="{00000000-0005-0000-0000-000038A60000}"/>
    <cellStyle name="Output 3 14 4" xfId="42555" xr:uid="{00000000-0005-0000-0000-000039A60000}"/>
    <cellStyle name="Output 3 14 5" xfId="42556" xr:uid="{00000000-0005-0000-0000-00003AA60000}"/>
    <cellStyle name="Output 3 14 6" xfId="42557" xr:uid="{00000000-0005-0000-0000-00003BA60000}"/>
    <cellStyle name="Output 3 15" xfId="42558" xr:uid="{00000000-0005-0000-0000-00003CA60000}"/>
    <cellStyle name="Output 3 15 2" xfId="42559" xr:uid="{00000000-0005-0000-0000-00003DA60000}"/>
    <cellStyle name="Output 3 15 2 2" xfId="42560" xr:uid="{00000000-0005-0000-0000-00003EA60000}"/>
    <cellStyle name="Output 3 15 2 3" xfId="42561" xr:uid="{00000000-0005-0000-0000-00003FA60000}"/>
    <cellStyle name="Output 3 15 2 4" xfId="42562" xr:uid="{00000000-0005-0000-0000-000040A60000}"/>
    <cellStyle name="Output 3 15 2 5" xfId="42563" xr:uid="{00000000-0005-0000-0000-000041A60000}"/>
    <cellStyle name="Output 3 15 3" xfId="42564" xr:uid="{00000000-0005-0000-0000-000042A60000}"/>
    <cellStyle name="Output 3 15 4" xfId="42565" xr:uid="{00000000-0005-0000-0000-000043A60000}"/>
    <cellStyle name="Output 3 15 5" xfId="42566" xr:uid="{00000000-0005-0000-0000-000044A60000}"/>
    <cellStyle name="Output 3 15 6" xfId="42567" xr:uid="{00000000-0005-0000-0000-000045A60000}"/>
    <cellStyle name="Output 3 16" xfId="42568" xr:uid="{00000000-0005-0000-0000-000046A60000}"/>
    <cellStyle name="Output 3 16 2" xfId="42569" xr:uid="{00000000-0005-0000-0000-000047A60000}"/>
    <cellStyle name="Output 3 16 2 2" xfId="42570" xr:uid="{00000000-0005-0000-0000-000048A60000}"/>
    <cellStyle name="Output 3 16 2 3" xfId="42571" xr:uid="{00000000-0005-0000-0000-000049A60000}"/>
    <cellStyle name="Output 3 16 2 4" xfId="42572" xr:uid="{00000000-0005-0000-0000-00004AA60000}"/>
    <cellStyle name="Output 3 16 2 5" xfId="42573" xr:uid="{00000000-0005-0000-0000-00004BA60000}"/>
    <cellStyle name="Output 3 16 3" xfId="42574" xr:uid="{00000000-0005-0000-0000-00004CA60000}"/>
    <cellStyle name="Output 3 16 4" xfId="42575" xr:uid="{00000000-0005-0000-0000-00004DA60000}"/>
    <cellStyle name="Output 3 16 5" xfId="42576" xr:uid="{00000000-0005-0000-0000-00004EA60000}"/>
    <cellStyle name="Output 3 16 6" xfId="42577" xr:uid="{00000000-0005-0000-0000-00004FA60000}"/>
    <cellStyle name="Output 3 17" xfId="42578" xr:uid="{00000000-0005-0000-0000-000050A60000}"/>
    <cellStyle name="Output 3 17 2" xfId="42579" xr:uid="{00000000-0005-0000-0000-000051A60000}"/>
    <cellStyle name="Output 3 17 2 2" xfId="42580" xr:uid="{00000000-0005-0000-0000-000052A60000}"/>
    <cellStyle name="Output 3 17 2 3" xfId="42581" xr:uid="{00000000-0005-0000-0000-000053A60000}"/>
    <cellStyle name="Output 3 17 2 4" xfId="42582" xr:uid="{00000000-0005-0000-0000-000054A60000}"/>
    <cellStyle name="Output 3 17 2 5" xfId="42583" xr:uid="{00000000-0005-0000-0000-000055A60000}"/>
    <cellStyle name="Output 3 17 3" xfId="42584" xr:uid="{00000000-0005-0000-0000-000056A60000}"/>
    <cellStyle name="Output 3 17 4" xfId="42585" xr:uid="{00000000-0005-0000-0000-000057A60000}"/>
    <cellStyle name="Output 3 17 5" xfId="42586" xr:uid="{00000000-0005-0000-0000-000058A60000}"/>
    <cellStyle name="Output 3 17 6" xfId="42587" xr:uid="{00000000-0005-0000-0000-000059A60000}"/>
    <cellStyle name="Output 3 18" xfId="42588" xr:uid="{00000000-0005-0000-0000-00005AA60000}"/>
    <cellStyle name="Output 3 18 2" xfId="42589" xr:uid="{00000000-0005-0000-0000-00005BA60000}"/>
    <cellStyle name="Output 3 18 2 2" xfId="42590" xr:uid="{00000000-0005-0000-0000-00005CA60000}"/>
    <cellStyle name="Output 3 18 2 3" xfId="42591" xr:uid="{00000000-0005-0000-0000-00005DA60000}"/>
    <cellStyle name="Output 3 18 2 4" xfId="42592" xr:uid="{00000000-0005-0000-0000-00005EA60000}"/>
    <cellStyle name="Output 3 18 2 5" xfId="42593" xr:uid="{00000000-0005-0000-0000-00005FA60000}"/>
    <cellStyle name="Output 3 18 3" xfId="42594" xr:uid="{00000000-0005-0000-0000-000060A60000}"/>
    <cellStyle name="Output 3 18 4" xfId="42595" xr:uid="{00000000-0005-0000-0000-000061A60000}"/>
    <cellStyle name="Output 3 18 5" xfId="42596" xr:uid="{00000000-0005-0000-0000-000062A60000}"/>
    <cellStyle name="Output 3 18 6" xfId="42597" xr:uid="{00000000-0005-0000-0000-000063A60000}"/>
    <cellStyle name="Output 3 19" xfId="42598" xr:uid="{00000000-0005-0000-0000-000064A60000}"/>
    <cellStyle name="Output 3 19 2" xfId="42599" xr:uid="{00000000-0005-0000-0000-000065A60000}"/>
    <cellStyle name="Output 3 19 2 2" xfId="42600" xr:uid="{00000000-0005-0000-0000-000066A60000}"/>
    <cellStyle name="Output 3 19 2 3" xfId="42601" xr:uid="{00000000-0005-0000-0000-000067A60000}"/>
    <cellStyle name="Output 3 19 2 4" xfId="42602" xr:uid="{00000000-0005-0000-0000-000068A60000}"/>
    <cellStyle name="Output 3 19 2 5" xfId="42603" xr:uid="{00000000-0005-0000-0000-000069A60000}"/>
    <cellStyle name="Output 3 19 3" xfId="42604" xr:uid="{00000000-0005-0000-0000-00006AA60000}"/>
    <cellStyle name="Output 3 19 4" xfId="42605" xr:uid="{00000000-0005-0000-0000-00006BA60000}"/>
    <cellStyle name="Output 3 19 5" xfId="42606" xr:uid="{00000000-0005-0000-0000-00006CA60000}"/>
    <cellStyle name="Output 3 19 6" xfId="42607" xr:uid="{00000000-0005-0000-0000-00006DA60000}"/>
    <cellStyle name="Output 3 2" xfId="42608" xr:uid="{00000000-0005-0000-0000-00006EA60000}"/>
    <cellStyle name="Output 3 2 10" xfId="42609" xr:uid="{00000000-0005-0000-0000-00006FA60000}"/>
    <cellStyle name="Output 3 2 10 2" xfId="42610" xr:uid="{00000000-0005-0000-0000-000070A60000}"/>
    <cellStyle name="Output 3 2 10 2 2" xfId="42611" xr:uid="{00000000-0005-0000-0000-000071A60000}"/>
    <cellStyle name="Output 3 2 10 2 3" xfId="42612" xr:uid="{00000000-0005-0000-0000-000072A60000}"/>
    <cellStyle name="Output 3 2 10 2 4" xfId="42613" xr:uid="{00000000-0005-0000-0000-000073A60000}"/>
    <cellStyle name="Output 3 2 10 2 5" xfId="42614" xr:uid="{00000000-0005-0000-0000-000074A60000}"/>
    <cellStyle name="Output 3 2 10 3" xfId="42615" xr:uid="{00000000-0005-0000-0000-000075A60000}"/>
    <cellStyle name="Output 3 2 10 3 2" xfId="42616" xr:uid="{00000000-0005-0000-0000-000076A60000}"/>
    <cellStyle name="Output 3 2 10 3 3" xfId="42617" xr:uid="{00000000-0005-0000-0000-000077A60000}"/>
    <cellStyle name="Output 3 2 10 3 4" xfId="42618" xr:uid="{00000000-0005-0000-0000-000078A60000}"/>
    <cellStyle name="Output 3 2 10 3 5" xfId="42619" xr:uid="{00000000-0005-0000-0000-000079A60000}"/>
    <cellStyle name="Output 3 2 10 4" xfId="42620" xr:uid="{00000000-0005-0000-0000-00007AA60000}"/>
    <cellStyle name="Output 3 2 10 5" xfId="42621" xr:uid="{00000000-0005-0000-0000-00007BA60000}"/>
    <cellStyle name="Output 3 2 10 6" xfId="42622" xr:uid="{00000000-0005-0000-0000-00007CA60000}"/>
    <cellStyle name="Output 3 2 10 7" xfId="42623" xr:uid="{00000000-0005-0000-0000-00007DA60000}"/>
    <cellStyle name="Output 3 2 10 8" xfId="42624" xr:uid="{00000000-0005-0000-0000-00007EA60000}"/>
    <cellStyle name="Output 3 2 11" xfId="42625" xr:uid="{00000000-0005-0000-0000-00007FA60000}"/>
    <cellStyle name="Output 3 2 11 2" xfId="42626" xr:uid="{00000000-0005-0000-0000-000080A60000}"/>
    <cellStyle name="Output 3 2 11 2 2" xfId="42627" xr:uid="{00000000-0005-0000-0000-000081A60000}"/>
    <cellStyle name="Output 3 2 11 2 3" xfId="42628" xr:uid="{00000000-0005-0000-0000-000082A60000}"/>
    <cellStyle name="Output 3 2 11 2 4" xfId="42629" xr:uid="{00000000-0005-0000-0000-000083A60000}"/>
    <cellStyle name="Output 3 2 11 2 5" xfId="42630" xr:uid="{00000000-0005-0000-0000-000084A60000}"/>
    <cellStyle name="Output 3 2 11 3" xfId="42631" xr:uid="{00000000-0005-0000-0000-000085A60000}"/>
    <cellStyle name="Output 3 2 11 4" xfId="42632" xr:uid="{00000000-0005-0000-0000-000086A60000}"/>
    <cellStyle name="Output 3 2 11 5" xfId="42633" xr:uid="{00000000-0005-0000-0000-000087A60000}"/>
    <cellStyle name="Output 3 2 11 6" xfId="42634" xr:uid="{00000000-0005-0000-0000-000088A60000}"/>
    <cellStyle name="Output 3 2 12" xfId="42635" xr:uid="{00000000-0005-0000-0000-000089A60000}"/>
    <cellStyle name="Output 3 2 12 2" xfId="42636" xr:uid="{00000000-0005-0000-0000-00008AA60000}"/>
    <cellStyle name="Output 3 2 12 2 2" xfId="42637" xr:uid="{00000000-0005-0000-0000-00008BA60000}"/>
    <cellStyle name="Output 3 2 12 2 3" xfId="42638" xr:uid="{00000000-0005-0000-0000-00008CA60000}"/>
    <cellStyle name="Output 3 2 12 2 4" xfId="42639" xr:uid="{00000000-0005-0000-0000-00008DA60000}"/>
    <cellStyle name="Output 3 2 12 2 5" xfId="42640" xr:uid="{00000000-0005-0000-0000-00008EA60000}"/>
    <cellStyle name="Output 3 2 12 3" xfId="42641" xr:uid="{00000000-0005-0000-0000-00008FA60000}"/>
    <cellStyle name="Output 3 2 12 4" xfId="42642" xr:uid="{00000000-0005-0000-0000-000090A60000}"/>
    <cellStyle name="Output 3 2 12 5" xfId="42643" xr:uid="{00000000-0005-0000-0000-000091A60000}"/>
    <cellStyle name="Output 3 2 12 6" xfId="42644" xr:uid="{00000000-0005-0000-0000-000092A60000}"/>
    <cellStyle name="Output 3 2 13" xfId="42645" xr:uid="{00000000-0005-0000-0000-000093A60000}"/>
    <cellStyle name="Output 3 2 13 2" xfId="42646" xr:uid="{00000000-0005-0000-0000-000094A60000}"/>
    <cellStyle name="Output 3 2 13 2 2" xfId="42647" xr:uid="{00000000-0005-0000-0000-000095A60000}"/>
    <cellStyle name="Output 3 2 13 2 3" xfId="42648" xr:uid="{00000000-0005-0000-0000-000096A60000}"/>
    <cellStyle name="Output 3 2 13 2 4" xfId="42649" xr:uid="{00000000-0005-0000-0000-000097A60000}"/>
    <cellStyle name="Output 3 2 13 2 5" xfId="42650" xr:uid="{00000000-0005-0000-0000-000098A60000}"/>
    <cellStyle name="Output 3 2 13 3" xfId="42651" xr:uid="{00000000-0005-0000-0000-000099A60000}"/>
    <cellStyle name="Output 3 2 13 4" xfId="42652" xr:uid="{00000000-0005-0000-0000-00009AA60000}"/>
    <cellStyle name="Output 3 2 13 5" xfId="42653" xr:uid="{00000000-0005-0000-0000-00009BA60000}"/>
    <cellStyle name="Output 3 2 13 6" xfId="42654" xr:uid="{00000000-0005-0000-0000-00009CA60000}"/>
    <cellStyle name="Output 3 2 14" xfId="42655" xr:uid="{00000000-0005-0000-0000-00009DA60000}"/>
    <cellStyle name="Output 3 2 14 2" xfId="42656" xr:uid="{00000000-0005-0000-0000-00009EA60000}"/>
    <cellStyle name="Output 3 2 14 2 2" xfId="42657" xr:uid="{00000000-0005-0000-0000-00009FA60000}"/>
    <cellStyle name="Output 3 2 14 2 3" xfId="42658" xr:uid="{00000000-0005-0000-0000-0000A0A60000}"/>
    <cellStyle name="Output 3 2 14 2 4" xfId="42659" xr:uid="{00000000-0005-0000-0000-0000A1A60000}"/>
    <cellStyle name="Output 3 2 14 2 5" xfId="42660" xr:uid="{00000000-0005-0000-0000-0000A2A60000}"/>
    <cellStyle name="Output 3 2 14 3" xfId="42661" xr:uid="{00000000-0005-0000-0000-0000A3A60000}"/>
    <cellStyle name="Output 3 2 14 4" xfId="42662" xr:uid="{00000000-0005-0000-0000-0000A4A60000}"/>
    <cellStyle name="Output 3 2 14 5" xfId="42663" xr:uid="{00000000-0005-0000-0000-0000A5A60000}"/>
    <cellStyle name="Output 3 2 14 6" xfId="42664" xr:uid="{00000000-0005-0000-0000-0000A6A60000}"/>
    <cellStyle name="Output 3 2 15" xfId="42665" xr:uid="{00000000-0005-0000-0000-0000A7A60000}"/>
    <cellStyle name="Output 3 2 15 2" xfId="42666" xr:uid="{00000000-0005-0000-0000-0000A8A60000}"/>
    <cellStyle name="Output 3 2 15 2 2" xfId="42667" xr:uid="{00000000-0005-0000-0000-0000A9A60000}"/>
    <cellStyle name="Output 3 2 15 2 3" xfId="42668" xr:uid="{00000000-0005-0000-0000-0000AAA60000}"/>
    <cellStyle name="Output 3 2 15 2 4" xfId="42669" xr:uid="{00000000-0005-0000-0000-0000ABA60000}"/>
    <cellStyle name="Output 3 2 15 2 5" xfId="42670" xr:uid="{00000000-0005-0000-0000-0000ACA60000}"/>
    <cellStyle name="Output 3 2 15 3" xfId="42671" xr:uid="{00000000-0005-0000-0000-0000ADA60000}"/>
    <cellStyle name="Output 3 2 15 4" xfId="42672" xr:uid="{00000000-0005-0000-0000-0000AEA60000}"/>
    <cellStyle name="Output 3 2 15 5" xfId="42673" xr:uid="{00000000-0005-0000-0000-0000AFA60000}"/>
    <cellStyle name="Output 3 2 15 6" xfId="42674" xr:uid="{00000000-0005-0000-0000-0000B0A60000}"/>
    <cellStyle name="Output 3 2 16" xfId="42675" xr:uid="{00000000-0005-0000-0000-0000B1A60000}"/>
    <cellStyle name="Output 3 2 16 2" xfId="42676" xr:uid="{00000000-0005-0000-0000-0000B2A60000}"/>
    <cellStyle name="Output 3 2 16 2 2" xfId="42677" xr:uid="{00000000-0005-0000-0000-0000B3A60000}"/>
    <cellStyle name="Output 3 2 16 2 3" xfId="42678" xr:uid="{00000000-0005-0000-0000-0000B4A60000}"/>
    <cellStyle name="Output 3 2 16 2 4" xfId="42679" xr:uid="{00000000-0005-0000-0000-0000B5A60000}"/>
    <cellStyle name="Output 3 2 16 2 5" xfId="42680" xr:uid="{00000000-0005-0000-0000-0000B6A60000}"/>
    <cellStyle name="Output 3 2 16 3" xfId="42681" xr:uid="{00000000-0005-0000-0000-0000B7A60000}"/>
    <cellStyle name="Output 3 2 16 4" xfId="42682" xr:uid="{00000000-0005-0000-0000-0000B8A60000}"/>
    <cellStyle name="Output 3 2 16 5" xfId="42683" xr:uid="{00000000-0005-0000-0000-0000B9A60000}"/>
    <cellStyle name="Output 3 2 16 6" xfId="42684" xr:uid="{00000000-0005-0000-0000-0000BAA60000}"/>
    <cellStyle name="Output 3 2 17" xfId="42685" xr:uid="{00000000-0005-0000-0000-0000BBA60000}"/>
    <cellStyle name="Output 3 2 17 2" xfId="42686" xr:uid="{00000000-0005-0000-0000-0000BCA60000}"/>
    <cellStyle name="Output 3 2 17 2 2" xfId="42687" xr:uid="{00000000-0005-0000-0000-0000BDA60000}"/>
    <cellStyle name="Output 3 2 17 2 3" xfId="42688" xr:uid="{00000000-0005-0000-0000-0000BEA60000}"/>
    <cellStyle name="Output 3 2 17 2 4" xfId="42689" xr:uid="{00000000-0005-0000-0000-0000BFA60000}"/>
    <cellStyle name="Output 3 2 17 2 5" xfId="42690" xr:uid="{00000000-0005-0000-0000-0000C0A60000}"/>
    <cellStyle name="Output 3 2 17 3" xfId="42691" xr:uid="{00000000-0005-0000-0000-0000C1A60000}"/>
    <cellStyle name="Output 3 2 17 4" xfId="42692" xr:uid="{00000000-0005-0000-0000-0000C2A60000}"/>
    <cellStyle name="Output 3 2 17 5" xfId="42693" xr:uid="{00000000-0005-0000-0000-0000C3A60000}"/>
    <cellStyle name="Output 3 2 17 6" xfId="42694" xr:uid="{00000000-0005-0000-0000-0000C4A60000}"/>
    <cellStyle name="Output 3 2 18" xfId="42695" xr:uid="{00000000-0005-0000-0000-0000C5A60000}"/>
    <cellStyle name="Output 3 2 18 2" xfId="42696" xr:uid="{00000000-0005-0000-0000-0000C6A60000}"/>
    <cellStyle name="Output 3 2 18 2 2" xfId="42697" xr:uid="{00000000-0005-0000-0000-0000C7A60000}"/>
    <cellStyle name="Output 3 2 18 2 3" xfId="42698" xr:uid="{00000000-0005-0000-0000-0000C8A60000}"/>
    <cellStyle name="Output 3 2 18 2 4" xfId="42699" xr:uid="{00000000-0005-0000-0000-0000C9A60000}"/>
    <cellStyle name="Output 3 2 18 2 5" xfId="42700" xr:uid="{00000000-0005-0000-0000-0000CAA60000}"/>
    <cellStyle name="Output 3 2 18 3" xfId="42701" xr:uid="{00000000-0005-0000-0000-0000CBA60000}"/>
    <cellStyle name="Output 3 2 18 4" xfId="42702" xr:uid="{00000000-0005-0000-0000-0000CCA60000}"/>
    <cellStyle name="Output 3 2 18 5" xfId="42703" xr:uid="{00000000-0005-0000-0000-0000CDA60000}"/>
    <cellStyle name="Output 3 2 18 6" xfId="42704" xr:uid="{00000000-0005-0000-0000-0000CEA60000}"/>
    <cellStyle name="Output 3 2 19" xfId="42705" xr:uid="{00000000-0005-0000-0000-0000CFA60000}"/>
    <cellStyle name="Output 3 2 19 2" xfId="42706" xr:uid="{00000000-0005-0000-0000-0000D0A60000}"/>
    <cellStyle name="Output 3 2 19 2 2" xfId="42707" xr:uid="{00000000-0005-0000-0000-0000D1A60000}"/>
    <cellStyle name="Output 3 2 19 2 3" xfId="42708" xr:uid="{00000000-0005-0000-0000-0000D2A60000}"/>
    <cellStyle name="Output 3 2 19 2 4" xfId="42709" xr:uid="{00000000-0005-0000-0000-0000D3A60000}"/>
    <cellStyle name="Output 3 2 19 2 5" xfId="42710" xr:uid="{00000000-0005-0000-0000-0000D4A60000}"/>
    <cellStyle name="Output 3 2 19 3" xfId="42711" xr:uid="{00000000-0005-0000-0000-0000D5A60000}"/>
    <cellStyle name="Output 3 2 19 4" xfId="42712" xr:uid="{00000000-0005-0000-0000-0000D6A60000}"/>
    <cellStyle name="Output 3 2 19 5" xfId="42713" xr:uid="{00000000-0005-0000-0000-0000D7A60000}"/>
    <cellStyle name="Output 3 2 19 6" xfId="42714" xr:uid="{00000000-0005-0000-0000-0000D8A60000}"/>
    <cellStyle name="Output 3 2 2" xfId="42715" xr:uid="{00000000-0005-0000-0000-0000D9A60000}"/>
    <cellStyle name="Output 3 2 2 10" xfId="42716" xr:uid="{00000000-0005-0000-0000-0000DAA60000}"/>
    <cellStyle name="Output 3 2 2 2" xfId="42717" xr:uid="{00000000-0005-0000-0000-0000DBA60000}"/>
    <cellStyle name="Output 3 2 2 2 2" xfId="42718" xr:uid="{00000000-0005-0000-0000-0000DCA60000}"/>
    <cellStyle name="Output 3 2 2 2 2 2" xfId="42719" xr:uid="{00000000-0005-0000-0000-0000DDA60000}"/>
    <cellStyle name="Output 3 2 2 2 2 2 2" xfId="42720" xr:uid="{00000000-0005-0000-0000-0000DEA60000}"/>
    <cellStyle name="Output 3 2 2 2 2 2 3" xfId="42721" xr:uid="{00000000-0005-0000-0000-0000DFA60000}"/>
    <cellStyle name="Output 3 2 2 2 2 2 4" xfId="42722" xr:uid="{00000000-0005-0000-0000-0000E0A60000}"/>
    <cellStyle name="Output 3 2 2 2 2 2 5" xfId="42723" xr:uid="{00000000-0005-0000-0000-0000E1A60000}"/>
    <cellStyle name="Output 3 2 2 2 2 2 6" xfId="42724" xr:uid="{00000000-0005-0000-0000-0000E2A60000}"/>
    <cellStyle name="Output 3 2 2 2 2 3" xfId="42725" xr:uid="{00000000-0005-0000-0000-0000E3A60000}"/>
    <cellStyle name="Output 3 2 2 2 2 4" xfId="42726" xr:uid="{00000000-0005-0000-0000-0000E4A60000}"/>
    <cellStyle name="Output 3 2 2 2 2 5" xfId="42727" xr:uid="{00000000-0005-0000-0000-0000E5A60000}"/>
    <cellStyle name="Output 3 2 2 2 2 6" xfId="42728" xr:uid="{00000000-0005-0000-0000-0000E6A60000}"/>
    <cellStyle name="Output 3 2 2 2 3" xfId="42729" xr:uid="{00000000-0005-0000-0000-0000E7A60000}"/>
    <cellStyle name="Output 3 2 2 2 3 2" xfId="42730" xr:uid="{00000000-0005-0000-0000-0000E8A60000}"/>
    <cellStyle name="Output 3 2 2 2 3 2 2" xfId="42731" xr:uid="{00000000-0005-0000-0000-0000E9A60000}"/>
    <cellStyle name="Output 3 2 2 2 3 2 3" xfId="42732" xr:uid="{00000000-0005-0000-0000-0000EAA60000}"/>
    <cellStyle name="Output 3 2 2 2 3 2 4" xfId="42733" xr:uid="{00000000-0005-0000-0000-0000EBA60000}"/>
    <cellStyle name="Output 3 2 2 2 3 2 5" xfId="42734" xr:uid="{00000000-0005-0000-0000-0000ECA60000}"/>
    <cellStyle name="Output 3 2 2 2 3 2 6" xfId="42735" xr:uid="{00000000-0005-0000-0000-0000EDA60000}"/>
    <cellStyle name="Output 3 2 2 2 3 3" xfId="42736" xr:uid="{00000000-0005-0000-0000-0000EEA60000}"/>
    <cellStyle name="Output 3 2 2 2 3 4" xfId="42737" xr:uid="{00000000-0005-0000-0000-0000EFA60000}"/>
    <cellStyle name="Output 3 2 2 2 3 5" xfId="42738" xr:uid="{00000000-0005-0000-0000-0000F0A60000}"/>
    <cellStyle name="Output 3 2 2 2 3 6" xfId="42739" xr:uid="{00000000-0005-0000-0000-0000F1A60000}"/>
    <cellStyle name="Output 3 2 2 2 4" xfId="42740" xr:uid="{00000000-0005-0000-0000-0000F2A60000}"/>
    <cellStyle name="Output 3 2 2 2 4 2" xfId="42741" xr:uid="{00000000-0005-0000-0000-0000F3A60000}"/>
    <cellStyle name="Output 3 2 2 2 4 3" xfId="42742" xr:uid="{00000000-0005-0000-0000-0000F4A60000}"/>
    <cellStyle name="Output 3 2 2 2 4 4" xfId="42743" xr:uid="{00000000-0005-0000-0000-0000F5A60000}"/>
    <cellStyle name="Output 3 2 2 2 4 5" xfId="42744" xr:uid="{00000000-0005-0000-0000-0000F6A60000}"/>
    <cellStyle name="Output 3 2 2 2 4 6" xfId="42745" xr:uid="{00000000-0005-0000-0000-0000F7A60000}"/>
    <cellStyle name="Output 3 2 2 2 5" xfId="42746" xr:uid="{00000000-0005-0000-0000-0000F8A60000}"/>
    <cellStyle name="Output 3 2 2 2 5 2" xfId="42747" xr:uid="{00000000-0005-0000-0000-0000F9A60000}"/>
    <cellStyle name="Output 3 2 2 2 5 3" xfId="42748" xr:uid="{00000000-0005-0000-0000-0000FAA60000}"/>
    <cellStyle name="Output 3 2 2 2 5 4" xfId="42749" xr:uid="{00000000-0005-0000-0000-0000FBA60000}"/>
    <cellStyle name="Output 3 2 2 2 5 5" xfId="42750" xr:uid="{00000000-0005-0000-0000-0000FCA60000}"/>
    <cellStyle name="Output 3 2 2 2 6" xfId="42751" xr:uid="{00000000-0005-0000-0000-0000FDA60000}"/>
    <cellStyle name="Output 3 2 2 2 7" xfId="42752" xr:uid="{00000000-0005-0000-0000-0000FEA60000}"/>
    <cellStyle name="Output 3 2 2 2 8" xfId="42753" xr:uid="{00000000-0005-0000-0000-0000FFA60000}"/>
    <cellStyle name="Output 3 2 2 2 9" xfId="42754" xr:uid="{00000000-0005-0000-0000-000000A70000}"/>
    <cellStyle name="Output 3 2 2 3" xfId="42755" xr:uid="{00000000-0005-0000-0000-000001A70000}"/>
    <cellStyle name="Output 3 2 2 3 2" xfId="42756" xr:uid="{00000000-0005-0000-0000-000002A70000}"/>
    <cellStyle name="Output 3 2 2 3 2 2" xfId="42757" xr:uid="{00000000-0005-0000-0000-000003A70000}"/>
    <cellStyle name="Output 3 2 2 3 2 3" xfId="42758" xr:uid="{00000000-0005-0000-0000-000004A70000}"/>
    <cellStyle name="Output 3 2 2 3 2 4" xfId="42759" xr:uid="{00000000-0005-0000-0000-000005A70000}"/>
    <cellStyle name="Output 3 2 2 3 2 5" xfId="42760" xr:uid="{00000000-0005-0000-0000-000006A70000}"/>
    <cellStyle name="Output 3 2 2 3 2 6" xfId="42761" xr:uid="{00000000-0005-0000-0000-000007A70000}"/>
    <cellStyle name="Output 3 2 2 3 3" xfId="42762" xr:uid="{00000000-0005-0000-0000-000008A70000}"/>
    <cellStyle name="Output 3 2 2 3 4" xfId="42763" xr:uid="{00000000-0005-0000-0000-000009A70000}"/>
    <cellStyle name="Output 3 2 2 3 5" xfId="42764" xr:uid="{00000000-0005-0000-0000-00000AA70000}"/>
    <cellStyle name="Output 3 2 2 3 6" xfId="42765" xr:uid="{00000000-0005-0000-0000-00000BA70000}"/>
    <cellStyle name="Output 3 2 2 4" xfId="42766" xr:uid="{00000000-0005-0000-0000-00000CA70000}"/>
    <cellStyle name="Output 3 2 2 4 2" xfId="42767" xr:uid="{00000000-0005-0000-0000-00000DA70000}"/>
    <cellStyle name="Output 3 2 2 4 2 2" xfId="42768" xr:uid="{00000000-0005-0000-0000-00000EA70000}"/>
    <cellStyle name="Output 3 2 2 4 2 3" xfId="42769" xr:uid="{00000000-0005-0000-0000-00000FA70000}"/>
    <cellStyle name="Output 3 2 2 4 2 4" xfId="42770" xr:uid="{00000000-0005-0000-0000-000010A70000}"/>
    <cellStyle name="Output 3 2 2 4 2 5" xfId="42771" xr:uid="{00000000-0005-0000-0000-000011A70000}"/>
    <cellStyle name="Output 3 2 2 4 2 6" xfId="42772" xr:uid="{00000000-0005-0000-0000-000012A70000}"/>
    <cellStyle name="Output 3 2 2 4 3" xfId="42773" xr:uid="{00000000-0005-0000-0000-000013A70000}"/>
    <cellStyle name="Output 3 2 2 4 4" xfId="42774" xr:uid="{00000000-0005-0000-0000-000014A70000}"/>
    <cellStyle name="Output 3 2 2 4 5" xfId="42775" xr:uid="{00000000-0005-0000-0000-000015A70000}"/>
    <cellStyle name="Output 3 2 2 4 6" xfId="42776" xr:uid="{00000000-0005-0000-0000-000016A70000}"/>
    <cellStyle name="Output 3 2 2 5" xfId="42777" xr:uid="{00000000-0005-0000-0000-000017A70000}"/>
    <cellStyle name="Output 3 2 2 5 2" xfId="42778" xr:uid="{00000000-0005-0000-0000-000018A70000}"/>
    <cellStyle name="Output 3 2 2 5 3" xfId="42779" xr:uid="{00000000-0005-0000-0000-000019A70000}"/>
    <cellStyle name="Output 3 2 2 5 4" xfId="42780" xr:uid="{00000000-0005-0000-0000-00001AA70000}"/>
    <cellStyle name="Output 3 2 2 5 5" xfId="42781" xr:uid="{00000000-0005-0000-0000-00001BA70000}"/>
    <cellStyle name="Output 3 2 2 5 6" xfId="42782" xr:uid="{00000000-0005-0000-0000-00001CA70000}"/>
    <cellStyle name="Output 3 2 2 6" xfId="42783" xr:uid="{00000000-0005-0000-0000-00001DA70000}"/>
    <cellStyle name="Output 3 2 2 6 2" xfId="42784" xr:uid="{00000000-0005-0000-0000-00001EA70000}"/>
    <cellStyle name="Output 3 2 2 6 3" xfId="42785" xr:uid="{00000000-0005-0000-0000-00001FA70000}"/>
    <cellStyle name="Output 3 2 2 6 4" xfId="42786" xr:uid="{00000000-0005-0000-0000-000020A70000}"/>
    <cellStyle name="Output 3 2 2 6 5" xfId="42787" xr:uid="{00000000-0005-0000-0000-000021A70000}"/>
    <cellStyle name="Output 3 2 2 7" xfId="42788" xr:uid="{00000000-0005-0000-0000-000022A70000}"/>
    <cellStyle name="Output 3 2 2 8" xfId="42789" xr:uid="{00000000-0005-0000-0000-000023A70000}"/>
    <cellStyle name="Output 3 2 2 9" xfId="42790" xr:uid="{00000000-0005-0000-0000-000024A70000}"/>
    <cellStyle name="Output 3 2 20" xfId="42791" xr:uid="{00000000-0005-0000-0000-000025A70000}"/>
    <cellStyle name="Output 3 2 20 2" xfId="42792" xr:uid="{00000000-0005-0000-0000-000026A70000}"/>
    <cellStyle name="Output 3 2 20 2 2" xfId="42793" xr:uid="{00000000-0005-0000-0000-000027A70000}"/>
    <cellStyle name="Output 3 2 20 2 3" xfId="42794" xr:uid="{00000000-0005-0000-0000-000028A70000}"/>
    <cellStyle name="Output 3 2 20 2 4" xfId="42795" xr:uid="{00000000-0005-0000-0000-000029A70000}"/>
    <cellStyle name="Output 3 2 20 2 5" xfId="42796" xr:uid="{00000000-0005-0000-0000-00002AA70000}"/>
    <cellStyle name="Output 3 2 20 3" xfId="42797" xr:uid="{00000000-0005-0000-0000-00002BA70000}"/>
    <cellStyle name="Output 3 2 20 4" xfId="42798" xr:uid="{00000000-0005-0000-0000-00002CA70000}"/>
    <cellStyle name="Output 3 2 20 5" xfId="42799" xr:uid="{00000000-0005-0000-0000-00002DA70000}"/>
    <cellStyle name="Output 3 2 20 6" xfId="42800" xr:uid="{00000000-0005-0000-0000-00002EA70000}"/>
    <cellStyle name="Output 3 2 21" xfId="42801" xr:uid="{00000000-0005-0000-0000-00002FA70000}"/>
    <cellStyle name="Output 3 2 21 2" xfId="42802" xr:uid="{00000000-0005-0000-0000-000030A70000}"/>
    <cellStyle name="Output 3 2 21 2 2" xfId="42803" xr:uid="{00000000-0005-0000-0000-000031A70000}"/>
    <cellStyle name="Output 3 2 21 2 3" xfId="42804" xr:uid="{00000000-0005-0000-0000-000032A70000}"/>
    <cellStyle name="Output 3 2 21 2 4" xfId="42805" xr:uid="{00000000-0005-0000-0000-000033A70000}"/>
    <cellStyle name="Output 3 2 21 2 5" xfId="42806" xr:uid="{00000000-0005-0000-0000-000034A70000}"/>
    <cellStyle name="Output 3 2 21 3" xfId="42807" xr:uid="{00000000-0005-0000-0000-000035A70000}"/>
    <cellStyle name="Output 3 2 21 4" xfId="42808" xr:uid="{00000000-0005-0000-0000-000036A70000}"/>
    <cellStyle name="Output 3 2 21 5" xfId="42809" xr:uid="{00000000-0005-0000-0000-000037A70000}"/>
    <cellStyle name="Output 3 2 21 6" xfId="42810" xr:uid="{00000000-0005-0000-0000-000038A70000}"/>
    <cellStyle name="Output 3 2 22" xfId="42811" xr:uid="{00000000-0005-0000-0000-000039A70000}"/>
    <cellStyle name="Output 3 2 22 2" xfId="42812" xr:uid="{00000000-0005-0000-0000-00003AA70000}"/>
    <cellStyle name="Output 3 2 22 2 2" xfId="42813" xr:uid="{00000000-0005-0000-0000-00003BA70000}"/>
    <cellStyle name="Output 3 2 22 2 3" xfId="42814" xr:uid="{00000000-0005-0000-0000-00003CA70000}"/>
    <cellStyle name="Output 3 2 22 2 4" xfId="42815" xr:uid="{00000000-0005-0000-0000-00003DA70000}"/>
    <cellStyle name="Output 3 2 22 2 5" xfId="42816" xr:uid="{00000000-0005-0000-0000-00003EA70000}"/>
    <cellStyle name="Output 3 2 22 3" xfId="42817" xr:uid="{00000000-0005-0000-0000-00003FA70000}"/>
    <cellStyle name="Output 3 2 22 4" xfId="42818" xr:uid="{00000000-0005-0000-0000-000040A70000}"/>
    <cellStyle name="Output 3 2 22 5" xfId="42819" xr:uid="{00000000-0005-0000-0000-000041A70000}"/>
    <cellStyle name="Output 3 2 22 6" xfId="42820" xr:uid="{00000000-0005-0000-0000-000042A70000}"/>
    <cellStyle name="Output 3 2 23" xfId="42821" xr:uid="{00000000-0005-0000-0000-000043A70000}"/>
    <cellStyle name="Output 3 2 23 2" xfId="42822" xr:uid="{00000000-0005-0000-0000-000044A70000}"/>
    <cellStyle name="Output 3 2 23 2 2" xfId="42823" xr:uid="{00000000-0005-0000-0000-000045A70000}"/>
    <cellStyle name="Output 3 2 23 2 3" xfId="42824" xr:uid="{00000000-0005-0000-0000-000046A70000}"/>
    <cellStyle name="Output 3 2 23 2 4" xfId="42825" xr:uid="{00000000-0005-0000-0000-000047A70000}"/>
    <cellStyle name="Output 3 2 23 2 5" xfId="42826" xr:uid="{00000000-0005-0000-0000-000048A70000}"/>
    <cellStyle name="Output 3 2 23 3" xfId="42827" xr:uid="{00000000-0005-0000-0000-000049A70000}"/>
    <cellStyle name="Output 3 2 23 4" xfId="42828" xr:uid="{00000000-0005-0000-0000-00004AA70000}"/>
    <cellStyle name="Output 3 2 23 5" xfId="42829" xr:uid="{00000000-0005-0000-0000-00004BA70000}"/>
    <cellStyle name="Output 3 2 23 6" xfId="42830" xr:uid="{00000000-0005-0000-0000-00004CA70000}"/>
    <cellStyle name="Output 3 2 24" xfId="42831" xr:uid="{00000000-0005-0000-0000-00004DA70000}"/>
    <cellStyle name="Output 3 2 24 2" xfId="42832" xr:uid="{00000000-0005-0000-0000-00004EA70000}"/>
    <cellStyle name="Output 3 2 24 2 2" xfId="42833" xr:uid="{00000000-0005-0000-0000-00004FA70000}"/>
    <cellStyle name="Output 3 2 24 2 3" xfId="42834" xr:uid="{00000000-0005-0000-0000-000050A70000}"/>
    <cellStyle name="Output 3 2 24 2 4" xfId="42835" xr:uid="{00000000-0005-0000-0000-000051A70000}"/>
    <cellStyle name="Output 3 2 24 2 5" xfId="42836" xr:uid="{00000000-0005-0000-0000-000052A70000}"/>
    <cellStyle name="Output 3 2 24 3" xfId="42837" xr:uid="{00000000-0005-0000-0000-000053A70000}"/>
    <cellStyle name="Output 3 2 24 4" xfId="42838" xr:uid="{00000000-0005-0000-0000-000054A70000}"/>
    <cellStyle name="Output 3 2 24 5" xfId="42839" xr:uid="{00000000-0005-0000-0000-000055A70000}"/>
    <cellStyle name="Output 3 2 24 6" xfId="42840" xr:uid="{00000000-0005-0000-0000-000056A70000}"/>
    <cellStyle name="Output 3 2 25" xfId="42841" xr:uid="{00000000-0005-0000-0000-000057A70000}"/>
    <cellStyle name="Output 3 2 25 2" xfId="42842" xr:uid="{00000000-0005-0000-0000-000058A70000}"/>
    <cellStyle name="Output 3 2 25 2 2" xfId="42843" xr:uid="{00000000-0005-0000-0000-000059A70000}"/>
    <cellStyle name="Output 3 2 25 2 3" xfId="42844" xr:uid="{00000000-0005-0000-0000-00005AA70000}"/>
    <cellStyle name="Output 3 2 25 2 4" xfId="42845" xr:uid="{00000000-0005-0000-0000-00005BA70000}"/>
    <cellStyle name="Output 3 2 25 2 5" xfId="42846" xr:uid="{00000000-0005-0000-0000-00005CA70000}"/>
    <cellStyle name="Output 3 2 25 3" xfId="42847" xr:uid="{00000000-0005-0000-0000-00005DA70000}"/>
    <cellStyle name="Output 3 2 25 4" xfId="42848" xr:uid="{00000000-0005-0000-0000-00005EA70000}"/>
    <cellStyle name="Output 3 2 25 5" xfId="42849" xr:uid="{00000000-0005-0000-0000-00005FA70000}"/>
    <cellStyle name="Output 3 2 25 6" xfId="42850" xr:uid="{00000000-0005-0000-0000-000060A70000}"/>
    <cellStyle name="Output 3 2 26" xfId="42851" xr:uid="{00000000-0005-0000-0000-000061A70000}"/>
    <cellStyle name="Output 3 2 26 2" xfId="42852" xr:uid="{00000000-0005-0000-0000-000062A70000}"/>
    <cellStyle name="Output 3 2 26 2 2" xfId="42853" xr:uid="{00000000-0005-0000-0000-000063A70000}"/>
    <cellStyle name="Output 3 2 26 2 3" xfId="42854" xr:uid="{00000000-0005-0000-0000-000064A70000}"/>
    <cellStyle name="Output 3 2 26 2 4" xfId="42855" xr:uid="{00000000-0005-0000-0000-000065A70000}"/>
    <cellStyle name="Output 3 2 26 2 5" xfId="42856" xr:uid="{00000000-0005-0000-0000-000066A70000}"/>
    <cellStyle name="Output 3 2 26 3" xfId="42857" xr:uid="{00000000-0005-0000-0000-000067A70000}"/>
    <cellStyle name="Output 3 2 26 4" xfId="42858" xr:uid="{00000000-0005-0000-0000-000068A70000}"/>
    <cellStyle name="Output 3 2 26 5" xfId="42859" xr:uid="{00000000-0005-0000-0000-000069A70000}"/>
    <cellStyle name="Output 3 2 26 6" xfId="42860" xr:uid="{00000000-0005-0000-0000-00006AA70000}"/>
    <cellStyle name="Output 3 2 27" xfId="42861" xr:uid="{00000000-0005-0000-0000-00006BA70000}"/>
    <cellStyle name="Output 3 2 27 2" xfId="42862" xr:uid="{00000000-0005-0000-0000-00006CA70000}"/>
    <cellStyle name="Output 3 2 27 2 2" xfId="42863" xr:uid="{00000000-0005-0000-0000-00006DA70000}"/>
    <cellStyle name="Output 3 2 27 2 3" xfId="42864" xr:uid="{00000000-0005-0000-0000-00006EA70000}"/>
    <cellStyle name="Output 3 2 27 2 4" xfId="42865" xr:uid="{00000000-0005-0000-0000-00006FA70000}"/>
    <cellStyle name="Output 3 2 27 2 5" xfId="42866" xr:uid="{00000000-0005-0000-0000-000070A70000}"/>
    <cellStyle name="Output 3 2 27 3" xfId="42867" xr:uid="{00000000-0005-0000-0000-000071A70000}"/>
    <cellStyle name="Output 3 2 27 4" xfId="42868" xr:uid="{00000000-0005-0000-0000-000072A70000}"/>
    <cellStyle name="Output 3 2 27 5" xfId="42869" xr:uid="{00000000-0005-0000-0000-000073A70000}"/>
    <cellStyle name="Output 3 2 27 6" xfId="42870" xr:uid="{00000000-0005-0000-0000-000074A70000}"/>
    <cellStyle name="Output 3 2 28" xfId="42871" xr:uid="{00000000-0005-0000-0000-000075A70000}"/>
    <cellStyle name="Output 3 2 28 2" xfId="42872" xr:uid="{00000000-0005-0000-0000-000076A70000}"/>
    <cellStyle name="Output 3 2 28 2 2" xfId="42873" xr:uid="{00000000-0005-0000-0000-000077A70000}"/>
    <cellStyle name="Output 3 2 28 2 3" xfId="42874" xr:uid="{00000000-0005-0000-0000-000078A70000}"/>
    <cellStyle name="Output 3 2 28 2 4" xfId="42875" xr:uid="{00000000-0005-0000-0000-000079A70000}"/>
    <cellStyle name="Output 3 2 28 2 5" xfId="42876" xr:uid="{00000000-0005-0000-0000-00007AA70000}"/>
    <cellStyle name="Output 3 2 28 3" xfId="42877" xr:uid="{00000000-0005-0000-0000-00007BA70000}"/>
    <cellStyle name="Output 3 2 28 4" xfId="42878" xr:uid="{00000000-0005-0000-0000-00007CA70000}"/>
    <cellStyle name="Output 3 2 28 5" xfId="42879" xr:uid="{00000000-0005-0000-0000-00007DA70000}"/>
    <cellStyle name="Output 3 2 28 6" xfId="42880" xr:uid="{00000000-0005-0000-0000-00007EA70000}"/>
    <cellStyle name="Output 3 2 29" xfId="42881" xr:uid="{00000000-0005-0000-0000-00007FA70000}"/>
    <cellStyle name="Output 3 2 29 2" xfId="42882" xr:uid="{00000000-0005-0000-0000-000080A70000}"/>
    <cellStyle name="Output 3 2 29 2 2" xfId="42883" xr:uid="{00000000-0005-0000-0000-000081A70000}"/>
    <cellStyle name="Output 3 2 29 2 3" xfId="42884" xr:uid="{00000000-0005-0000-0000-000082A70000}"/>
    <cellStyle name="Output 3 2 29 2 4" xfId="42885" xr:uid="{00000000-0005-0000-0000-000083A70000}"/>
    <cellStyle name="Output 3 2 29 2 5" xfId="42886" xr:uid="{00000000-0005-0000-0000-000084A70000}"/>
    <cellStyle name="Output 3 2 29 3" xfId="42887" xr:uid="{00000000-0005-0000-0000-000085A70000}"/>
    <cellStyle name="Output 3 2 29 4" xfId="42888" xr:uid="{00000000-0005-0000-0000-000086A70000}"/>
    <cellStyle name="Output 3 2 29 5" xfId="42889" xr:uid="{00000000-0005-0000-0000-000087A70000}"/>
    <cellStyle name="Output 3 2 29 6" xfId="42890" xr:uid="{00000000-0005-0000-0000-000088A70000}"/>
    <cellStyle name="Output 3 2 3" xfId="42891" xr:uid="{00000000-0005-0000-0000-000089A70000}"/>
    <cellStyle name="Output 3 2 3 2" xfId="42892" xr:uid="{00000000-0005-0000-0000-00008AA70000}"/>
    <cellStyle name="Output 3 2 3 2 2" xfId="42893" xr:uid="{00000000-0005-0000-0000-00008BA70000}"/>
    <cellStyle name="Output 3 2 3 2 2 2" xfId="42894" xr:uid="{00000000-0005-0000-0000-00008CA70000}"/>
    <cellStyle name="Output 3 2 3 2 2 3" xfId="42895" xr:uid="{00000000-0005-0000-0000-00008DA70000}"/>
    <cellStyle name="Output 3 2 3 2 2 4" xfId="42896" xr:uid="{00000000-0005-0000-0000-00008EA70000}"/>
    <cellStyle name="Output 3 2 3 2 2 5" xfId="42897" xr:uid="{00000000-0005-0000-0000-00008FA70000}"/>
    <cellStyle name="Output 3 2 3 2 2 6" xfId="42898" xr:uid="{00000000-0005-0000-0000-000090A70000}"/>
    <cellStyle name="Output 3 2 3 2 3" xfId="42899" xr:uid="{00000000-0005-0000-0000-000091A70000}"/>
    <cellStyle name="Output 3 2 3 2 3 2" xfId="42900" xr:uid="{00000000-0005-0000-0000-000092A70000}"/>
    <cellStyle name="Output 3 2 3 2 3 3" xfId="42901" xr:uid="{00000000-0005-0000-0000-000093A70000}"/>
    <cellStyle name="Output 3 2 3 2 3 4" xfId="42902" xr:uid="{00000000-0005-0000-0000-000094A70000}"/>
    <cellStyle name="Output 3 2 3 2 3 5" xfId="42903" xr:uid="{00000000-0005-0000-0000-000095A70000}"/>
    <cellStyle name="Output 3 2 3 2 4" xfId="42904" xr:uid="{00000000-0005-0000-0000-000096A70000}"/>
    <cellStyle name="Output 3 2 3 2 5" xfId="42905" xr:uid="{00000000-0005-0000-0000-000097A70000}"/>
    <cellStyle name="Output 3 2 3 2 6" xfId="42906" xr:uid="{00000000-0005-0000-0000-000098A70000}"/>
    <cellStyle name="Output 3 2 3 2 7" xfId="42907" xr:uid="{00000000-0005-0000-0000-000099A70000}"/>
    <cellStyle name="Output 3 2 3 3" xfId="42908" xr:uid="{00000000-0005-0000-0000-00009AA70000}"/>
    <cellStyle name="Output 3 2 3 3 2" xfId="42909" xr:uid="{00000000-0005-0000-0000-00009BA70000}"/>
    <cellStyle name="Output 3 2 3 3 2 2" xfId="42910" xr:uid="{00000000-0005-0000-0000-00009CA70000}"/>
    <cellStyle name="Output 3 2 3 3 2 3" xfId="42911" xr:uid="{00000000-0005-0000-0000-00009DA70000}"/>
    <cellStyle name="Output 3 2 3 3 2 4" xfId="42912" xr:uid="{00000000-0005-0000-0000-00009EA70000}"/>
    <cellStyle name="Output 3 2 3 3 2 5" xfId="42913" xr:uid="{00000000-0005-0000-0000-00009FA70000}"/>
    <cellStyle name="Output 3 2 3 3 2 6" xfId="42914" xr:uid="{00000000-0005-0000-0000-0000A0A70000}"/>
    <cellStyle name="Output 3 2 3 3 3" xfId="42915" xr:uid="{00000000-0005-0000-0000-0000A1A70000}"/>
    <cellStyle name="Output 3 2 3 3 4" xfId="42916" xr:uid="{00000000-0005-0000-0000-0000A2A70000}"/>
    <cellStyle name="Output 3 2 3 3 5" xfId="42917" xr:uid="{00000000-0005-0000-0000-0000A3A70000}"/>
    <cellStyle name="Output 3 2 3 3 6" xfId="42918" xr:uid="{00000000-0005-0000-0000-0000A4A70000}"/>
    <cellStyle name="Output 3 2 3 4" xfId="42919" xr:uid="{00000000-0005-0000-0000-0000A5A70000}"/>
    <cellStyle name="Output 3 2 3 4 2" xfId="42920" xr:uid="{00000000-0005-0000-0000-0000A6A70000}"/>
    <cellStyle name="Output 3 2 3 4 3" xfId="42921" xr:uid="{00000000-0005-0000-0000-0000A7A70000}"/>
    <cellStyle name="Output 3 2 3 4 4" xfId="42922" xr:uid="{00000000-0005-0000-0000-0000A8A70000}"/>
    <cellStyle name="Output 3 2 3 4 5" xfId="42923" xr:uid="{00000000-0005-0000-0000-0000A9A70000}"/>
    <cellStyle name="Output 3 2 3 4 6" xfId="42924" xr:uid="{00000000-0005-0000-0000-0000AAA70000}"/>
    <cellStyle name="Output 3 2 3 5" xfId="42925" xr:uid="{00000000-0005-0000-0000-0000ABA70000}"/>
    <cellStyle name="Output 3 2 3 5 2" xfId="42926" xr:uid="{00000000-0005-0000-0000-0000ACA70000}"/>
    <cellStyle name="Output 3 2 3 5 3" xfId="42927" xr:uid="{00000000-0005-0000-0000-0000ADA70000}"/>
    <cellStyle name="Output 3 2 3 5 4" xfId="42928" xr:uid="{00000000-0005-0000-0000-0000AEA70000}"/>
    <cellStyle name="Output 3 2 3 5 5" xfId="42929" xr:uid="{00000000-0005-0000-0000-0000AFA70000}"/>
    <cellStyle name="Output 3 2 3 6" xfId="42930" xr:uid="{00000000-0005-0000-0000-0000B0A70000}"/>
    <cellStyle name="Output 3 2 3 7" xfId="42931" xr:uid="{00000000-0005-0000-0000-0000B1A70000}"/>
    <cellStyle name="Output 3 2 3 8" xfId="42932" xr:uid="{00000000-0005-0000-0000-0000B2A70000}"/>
    <cellStyle name="Output 3 2 3 9" xfId="42933" xr:uid="{00000000-0005-0000-0000-0000B3A70000}"/>
    <cellStyle name="Output 3 2 30" xfId="42934" xr:uid="{00000000-0005-0000-0000-0000B4A70000}"/>
    <cellStyle name="Output 3 2 30 2" xfId="42935" xr:uid="{00000000-0005-0000-0000-0000B5A70000}"/>
    <cellStyle name="Output 3 2 30 2 2" xfId="42936" xr:uid="{00000000-0005-0000-0000-0000B6A70000}"/>
    <cellStyle name="Output 3 2 30 2 3" xfId="42937" xr:uid="{00000000-0005-0000-0000-0000B7A70000}"/>
    <cellStyle name="Output 3 2 30 2 4" xfId="42938" xr:uid="{00000000-0005-0000-0000-0000B8A70000}"/>
    <cellStyle name="Output 3 2 30 2 5" xfId="42939" xr:uid="{00000000-0005-0000-0000-0000B9A70000}"/>
    <cellStyle name="Output 3 2 30 3" xfId="42940" xr:uid="{00000000-0005-0000-0000-0000BAA70000}"/>
    <cellStyle name="Output 3 2 30 4" xfId="42941" xr:uid="{00000000-0005-0000-0000-0000BBA70000}"/>
    <cellStyle name="Output 3 2 30 5" xfId="42942" xr:uid="{00000000-0005-0000-0000-0000BCA70000}"/>
    <cellStyle name="Output 3 2 30 6" xfId="42943" xr:uid="{00000000-0005-0000-0000-0000BDA70000}"/>
    <cellStyle name="Output 3 2 31" xfId="42944" xr:uid="{00000000-0005-0000-0000-0000BEA70000}"/>
    <cellStyle name="Output 3 2 31 2" xfId="42945" xr:uid="{00000000-0005-0000-0000-0000BFA70000}"/>
    <cellStyle name="Output 3 2 31 2 2" xfId="42946" xr:uid="{00000000-0005-0000-0000-0000C0A70000}"/>
    <cellStyle name="Output 3 2 31 2 3" xfId="42947" xr:uid="{00000000-0005-0000-0000-0000C1A70000}"/>
    <cellStyle name="Output 3 2 31 2 4" xfId="42948" xr:uid="{00000000-0005-0000-0000-0000C2A70000}"/>
    <cellStyle name="Output 3 2 31 2 5" xfId="42949" xr:uid="{00000000-0005-0000-0000-0000C3A70000}"/>
    <cellStyle name="Output 3 2 31 3" xfId="42950" xr:uid="{00000000-0005-0000-0000-0000C4A70000}"/>
    <cellStyle name="Output 3 2 31 4" xfId="42951" xr:uid="{00000000-0005-0000-0000-0000C5A70000}"/>
    <cellStyle name="Output 3 2 31 5" xfId="42952" xr:uid="{00000000-0005-0000-0000-0000C6A70000}"/>
    <cellStyle name="Output 3 2 31 6" xfId="42953" xr:uid="{00000000-0005-0000-0000-0000C7A70000}"/>
    <cellStyle name="Output 3 2 32" xfId="42954" xr:uid="{00000000-0005-0000-0000-0000C8A70000}"/>
    <cellStyle name="Output 3 2 32 2" xfId="42955" xr:uid="{00000000-0005-0000-0000-0000C9A70000}"/>
    <cellStyle name="Output 3 2 32 2 2" xfId="42956" xr:uid="{00000000-0005-0000-0000-0000CAA70000}"/>
    <cellStyle name="Output 3 2 32 2 3" xfId="42957" xr:uid="{00000000-0005-0000-0000-0000CBA70000}"/>
    <cellStyle name="Output 3 2 32 2 4" xfId="42958" xr:uid="{00000000-0005-0000-0000-0000CCA70000}"/>
    <cellStyle name="Output 3 2 32 2 5" xfId="42959" xr:uid="{00000000-0005-0000-0000-0000CDA70000}"/>
    <cellStyle name="Output 3 2 32 3" xfId="42960" xr:uid="{00000000-0005-0000-0000-0000CEA70000}"/>
    <cellStyle name="Output 3 2 32 4" xfId="42961" xr:uid="{00000000-0005-0000-0000-0000CFA70000}"/>
    <cellStyle name="Output 3 2 32 5" xfId="42962" xr:uid="{00000000-0005-0000-0000-0000D0A70000}"/>
    <cellStyle name="Output 3 2 32 6" xfId="42963" xr:uid="{00000000-0005-0000-0000-0000D1A70000}"/>
    <cellStyle name="Output 3 2 33" xfId="42964" xr:uid="{00000000-0005-0000-0000-0000D2A70000}"/>
    <cellStyle name="Output 3 2 33 2" xfId="42965" xr:uid="{00000000-0005-0000-0000-0000D3A70000}"/>
    <cellStyle name="Output 3 2 33 2 2" xfId="42966" xr:uid="{00000000-0005-0000-0000-0000D4A70000}"/>
    <cellStyle name="Output 3 2 33 2 3" xfId="42967" xr:uid="{00000000-0005-0000-0000-0000D5A70000}"/>
    <cellStyle name="Output 3 2 33 2 4" xfId="42968" xr:uid="{00000000-0005-0000-0000-0000D6A70000}"/>
    <cellStyle name="Output 3 2 33 2 5" xfId="42969" xr:uid="{00000000-0005-0000-0000-0000D7A70000}"/>
    <cellStyle name="Output 3 2 33 3" xfId="42970" xr:uid="{00000000-0005-0000-0000-0000D8A70000}"/>
    <cellStyle name="Output 3 2 33 4" xfId="42971" xr:uid="{00000000-0005-0000-0000-0000D9A70000}"/>
    <cellStyle name="Output 3 2 33 5" xfId="42972" xr:uid="{00000000-0005-0000-0000-0000DAA70000}"/>
    <cellStyle name="Output 3 2 33 6" xfId="42973" xr:uid="{00000000-0005-0000-0000-0000DBA70000}"/>
    <cellStyle name="Output 3 2 34" xfId="42974" xr:uid="{00000000-0005-0000-0000-0000DCA70000}"/>
    <cellStyle name="Output 3 2 34 2" xfId="42975" xr:uid="{00000000-0005-0000-0000-0000DDA70000}"/>
    <cellStyle name="Output 3 2 34 2 2" xfId="42976" xr:uid="{00000000-0005-0000-0000-0000DEA70000}"/>
    <cellStyle name="Output 3 2 34 2 3" xfId="42977" xr:uid="{00000000-0005-0000-0000-0000DFA70000}"/>
    <cellStyle name="Output 3 2 34 2 4" xfId="42978" xr:uid="{00000000-0005-0000-0000-0000E0A70000}"/>
    <cellStyle name="Output 3 2 34 2 5" xfId="42979" xr:uid="{00000000-0005-0000-0000-0000E1A70000}"/>
    <cellStyle name="Output 3 2 34 3" xfId="42980" xr:uid="{00000000-0005-0000-0000-0000E2A70000}"/>
    <cellStyle name="Output 3 2 34 4" xfId="42981" xr:uid="{00000000-0005-0000-0000-0000E3A70000}"/>
    <cellStyle name="Output 3 2 34 5" xfId="42982" xr:uid="{00000000-0005-0000-0000-0000E4A70000}"/>
    <cellStyle name="Output 3 2 34 6" xfId="42983" xr:uid="{00000000-0005-0000-0000-0000E5A70000}"/>
    <cellStyle name="Output 3 2 35" xfId="42984" xr:uid="{00000000-0005-0000-0000-0000E6A70000}"/>
    <cellStyle name="Output 3 2 35 2" xfId="42985" xr:uid="{00000000-0005-0000-0000-0000E7A70000}"/>
    <cellStyle name="Output 3 2 35 2 2" xfId="42986" xr:uid="{00000000-0005-0000-0000-0000E8A70000}"/>
    <cellStyle name="Output 3 2 35 2 3" xfId="42987" xr:uid="{00000000-0005-0000-0000-0000E9A70000}"/>
    <cellStyle name="Output 3 2 35 2 4" xfId="42988" xr:uid="{00000000-0005-0000-0000-0000EAA70000}"/>
    <cellStyle name="Output 3 2 35 2 5" xfId="42989" xr:uid="{00000000-0005-0000-0000-0000EBA70000}"/>
    <cellStyle name="Output 3 2 35 3" xfId="42990" xr:uid="{00000000-0005-0000-0000-0000ECA70000}"/>
    <cellStyle name="Output 3 2 35 4" xfId="42991" xr:uid="{00000000-0005-0000-0000-0000EDA70000}"/>
    <cellStyle name="Output 3 2 35 5" xfId="42992" xr:uid="{00000000-0005-0000-0000-0000EEA70000}"/>
    <cellStyle name="Output 3 2 35 6" xfId="42993" xr:uid="{00000000-0005-0000-0000-0000EFA70000}"/>
    <cellStyle name="Output 3 2 36" xfId="42994" xr:uid="{00000000-0005-0000-0000-0000F0A70000}"/>
    <cellStyle name="Output 3 2 36 2" xfId="42995" xr:uid="{00000000-0005-0000-0000-0000F1A70000}"/>
    <cellStyle name="Output 3 2 36 2 2" xfId="42996" xr:uid="{00000000-0005-0000-0000-0000F2A70000}"/>
    <cellStyle name="Output 3 2 36 2 3" xfId="42997" xr:uid="{00000000-0005-0000-0000-0000F3A70000}"/>
    <cellStyle name="Output 3 2 36 2 4" xfId="42998" xr:uid="{00000000-0005-0000-0000-0000F4A70000}"/>
    <cellStyle name="Output 3 2 36 2 5" xfId="42999" xr:uid="{00000000-0005-0000-0000-0000F5A70000}"/>
    <cellStyle name="Output 3 2 36 3" xfId="43000" xr:uid="{00000000-0005-0000-0000-0000F6A70000}"/>
    <cellStyle name="Output 3 2 36 4" xfId="43001" xr:uid="{00000000-0005-0000-0000-0000F7A70000}"/>
    <cellStyle name="Output 3 2 36 5" xfId="43002" xr:uid="{00000000-0005-0000-0000-0000F8A70000}"/>
    <cellStyle name="Output 3 2 36 6" xfId="43003" xr:uid="{00000000-0005-0000-0000-0000F9A70000}"/>
    <cellStyle name="Output 3 2 37" xfId="43004" xr:uid="{00000000-0005-0000-0000-0000FAA70000}"/>
    <cellStyle name="Output 3 2 37 2" xfId="43005" xr:uid="{00000000-0005-0000-0000-0000FBA70000}"/>
    <cellStyle name="Output 3 2 37 2 2" xfId="43006" xr:uid="{00000000-0005-0000-0000-0000FCA70000}"/>
    <cellStyle name="Output 3 2 37 2 3" xfId="43007" xr:uid="{00000000-0005-0000-0000-0000FDA70000}"/>
    <cellStyle name="Output 3 2 37 2 4" xfId="43008" xr:uid="{00000000-0005-0000-0000-0000FEA70000}"/>
    <cellStyle name="Output 3 2 37 2 5" xfId="43009" xr:uid="{00000000-0005-0000-0000-0000FFA70000}"/>
    <cellStyle name="Output 3 2 37 3" xfId="43010" xr:uid="{00000000-0005-0000-0000-000000A80000}"/>
    <cellStyle name="Output 3 2 37 4" xfId="43011" xr:uid="{00000000-0005-0000-0000-000001A80000}"/>
    <cellStyle name="Output 3 2 37 5" xfId="43012" xr:uid="{00000000-0005-0000-0000-000002A80000}"/>
    <cellStyle name="Output 3 2 37 6" xfId="43013" xr:uid="{00000000-0005-0000-0000-000003A80000}"/>
    <cellStyle name="Output 3 2 38" xfId="43014" xr:uid="{00000000-0005-0000-0000-000004A80000}"/>
    <cellStyle name="Output 3 2 38 2" xfId="43015" xr:uid="{00000000-0005-0000-0000-000005A80000}"/>
    <cellStyle name="Output 3 2 38 2 2" xfId="43016" xr:uid="{00000000-0005-0000-0000-000006A80000}"/>
    <cellStyle name="Output 3 2 38 2 3" xfId="43017" xr:uid="{00000000-0005-0000-0000-000007A80000}"/>
    <cellStyle name="Output 3 2 38 2 4" xfId="43018" xr:uid="{00000000-0005-0000-0000-000008A80000}"/>
    <cellStyle name="Output 3 2 38 2 5" xfId="43019" xr:uid="{00000000-0005-0000-0000-000009A80000}"/>
    <cellStyle name="Output 3 2 38 3" xfId="43020" xr:uid="{00000000-0005-0000-0000-00000AA80000}"/>
    <cellStyle name="Output 3 2 38 4" xfId="43021" xr:uid="{00000000-0005-0000-0000-00000BA80000}"/>
    <cellStyle name="Output 3 2 38 5" xfId="43022" xr:uid="{00000000-0005-0000-0000-00000CA80000}"/>
    <cellStyle name="Output 3 2 38 6" xfId="43023" xr:uid="{00000000-0005-0000-0000-00000DA80000}"/>
    <cellStyle name="Output 3 2 39" xfId="43024" xr:uid="{00000000-0005-0000-0000-00000EA80000}"/>
    <cellStyle name="Output 3 2 39 2" xfId="43025" xr:uid="{00000000-0005-0000-0000-00000FA80000}"/>
    <cellStyle name="Output 3 2 39 2 2" xfId="43026" xr:uid="{00000000-0005-0000-0000-000010A80000}"/>
    <cellStyle name="Output 3 2 39 2 3" xfId="43027" xr:uid="{00000000-0005-0000-0000-000011A80000}"/>
    <cellStyle name="Output 3 2 39 2 4" xfId="43028" xr:uid="{00000000-0005-0000-0000-000012A80000}"/>
    <cellStyle name="Output 3 2 39 2 5" xfId="43029" xr:uid="{00000000-0005-0000-0000-000013A80000}"/>
    <cellStyle name="Output 3 2 39 3" xfId="43030" xr:uid="{00000000-0005-0000-0000-000014A80000}"/>
    <cellStyle name="Output 3 2 39 4" xfId="43031" xr:uid="{00000000-0005-0000-0000-000015A80000}"/>
    <cellStyle name="Output 3 2 39 5" xfId="43032" xr:uid="{00000000-0005-0000-0000-000016A80000}"/>
    <cellStyle name="Output 3 2 39 6" xfId="43033" xr:uid="{00000000-0005-0000-0000-000017A80000}"/>
    <cellStyle name="Output 3 2 4" xfId="43034" xr:uid="{00000000-0005-0000-0000-000018A80000}"/>
    <cellStyle name="Output 3 2 4 2" xfId="43035" xr:uid="{00000000-0005-0000-0000-000019A80000}"/>
    <cellStyle name="Output 3 2 4 2 2" xfId="43036" xr:uid="{00000000-0005-0000-0000-00001AA80000}"/>
    <cellStyle name="Output 3 2 4 2 2 2" xfId="43037" xr:uid="{00000000-0005-0000-0000-00001BA80000}"/>
    <cellStyle name="Output 3 2 4 2 2 3" xfId="43038" xr:uid="{00000000-0005-0000-0000-00001CA80000}"/>
    <cellStyle name="Output 3 2 4 2 2 4" xfId="43039" xr:uid="{00000000-0005-0000-0000-00001DA80000}"/>
    <cellStyle name="Output 3 2 4 2 2 5" xfId="43040" xr:uid="{00000000-0005-0000-0000-00001EA80000}"/>
    <cellStyle name="Output 3 2 4 2 2 6" xfId="43041" xr:uid="{00000000-0005-0000-0000-00001FA80000}"/>
    <cellStyle name="Output 3 2 4 2 3" xfId="43042" xr:uid="{00000000-0005-0000-0000-000020A80000}"/>
    <cellStyle name="Output 3 2 4 2 3 2" xfId="43043" xr:uid="{00000000-0005-0000-0000-000021A80000}"/>
    <cellStyle name="Output 3 2 4 2 3 3" xfId="43044" xr:uid="{00000000-0005-0000-0000-000022A80000}"/>
    <cellStyle name="Output 3 2 4 2 3 4" xfId="43045" xr:uid="{00000000-0005-0000-0000-000023A80000}"/>
    <cellStyle name="Output 3 2 4 2 3 5" xfId="43046" xr:uid="{00000000-0005-0000-0000-000024A80000}"/>
    <cellStyle name="Output 3 2 4 2 4" xfId="43047" xr:uid="{00000000-0005-0000-0000-000025A80000}"/>
    <cellStyle name="Output 3 2 4 2 5" xfId="43048" xr:uid="{00000000-0005-0000-0000-000026A80000}"/>
    <cellStyle name="Output 3 2 4 2 6" xfId="43049" xr:uid="{00000000-0005-0000-0000-000027A80000}"/>
    <cellStyle name="Output 3 2 4 2 7" xfId="43050" xr:uid="{00000000-0005-0000-0000-000028A80000}"/>
    <cellStyle name="Output 3 2 4 3" xfId="43051" xr:uid="{00000000-0005-0000-0000-000029A80000}"/>
    <cellStyle name="Output 3 2 4 3 2" xfId="43052" xr:uid="{00000000-0005-0000-0000-00002AA80000}"/>
    <cellStyle name="Output 3 2 4 3 2 2" xfId="43053" xr:uid="{00000000-0005-0000-0000-00002BA80000}"/>
    <cellStyle name="Output 3 2 4 3 2 3" xfId="43054" xr:uid="{00000000-0005-0000-0000-00002CA80000}"/>
    <cellStyle name="Output 3 2 4 3 2 4" xfId="43055" xr:uid="{00000000-0005-0000-0000-00002DA80000}"/>
    <cellStyle name="Output 3 2 4 3 2 5" xfId="43056" xr:uid="{00000000-0005-0000-0000-00002EA80000}"/>
    <cellStyle name="Output 3 2 4 3 2 6" xfId="43057" xr:uid="{00000000-0005-0000-0000-00002FA80000}"/>
    <cellStyle name="Output 3 2 4 3 3" xfId="43058" xr:uid="{00000000-0005-0000-0000-000030A80000}"/>
    <cellStyle name="Output 3 2 4 3 4" xfId="43059" xr:uid="{00000000-0005-0000-0000-000031A80000}"/>
    <cellStyle name="Output 3 2 4 3 5" xfId="43060" xr:uid="{00000000-0005-0000-0000-000032A80000}"/>
    <cellStyle name="Output 3 2 4 3 6" xfId="43061" xr:uid="{00000000-0005-0000-0000-000033A80000}"/>
    <cellStyle name="Output 3 2 4 4" xfId="43062" xr:uid="{00000000-0005-0000-0000-000034A80000}"/>
    <cellStyle name="Output 3 2 4 4 2" xfId="43063" xr:uid="{00000000-0005-0000-0000-000035A80000}"/>
    <cellStyle name="Output 3 2 4 4 3" xfId="43064" xr:uid="{00000000-0005-0000-0000-000036A80000}"/>
    <cellStyle name="Output 3 2 4 4 4" xfId="43065" xr:uid="{00000000-0005-0000-0000-000037A80000}"/>
    <cellStyle name="Output 3 2 4 4 5" xfId="43066" xr:uid="{00000000-0005-0000-0000-000038A80000}"/>
    <cellStyle name="Output 3 2 4 4 6" xfId="43067" xr:uid="{00000000-0005-0000-0000-000039A80000}"/>
    <cellStyle name="Output 3 2 4 5" xfId="43068" xr:uid="{00000000-0005-0000-0000-00003AA80000}"/>
    <cellStyle name="Output 3 2 4 5 2" xfId="43069" xr:uid="{00000000-0005-0000-0000-00003BA80000}"/>
    <cellStyle name="Output 3 2 4 5 3" xfId="43070" xr:uid="{00000000-0005-0000-0000-00003CA80000}"/>
    <cellStyle name="Output 3 2 4 5 4" xfId="43071" xr:uid="{00000000-0005-0000-0000-00003DA80000}"/>
    <cellStyle name="Output 3 2 4 5 5" xfId="43072" xr:uid="{00000000-0005-0000-0000-00003EA80000}"/>
    <cellStyle name="Output 3 2 4 6" xfId="43073" xr:uid="{00000000-0005-0000-0000-00003FA80000}"/>
    <cellStyle name="Output 3 2 4 7" xfId="43074" xr:uid="{00000000-0005-0000-0000-000040A80000}"/>
    <cellStyle name="Output 3 2 4 8" xfId="43075" xr:uid="{00000000-0005-0000-0000-000041A80000}"/>
    <cellStyle name="Output 3 2 4 9" xfId="43076" xr:uid="{00000000-0005-0000-0000-000042A80000}"/>
    <cellStyle name="Output 3 2 40" xfId="43077" xr:uid="{00000000-0005-0000-0000-000043A80000}"/>
    <cellStyle name="Output 3 2 40 2" xfId="43078" xr:uid="{00000000-0005-0000-0000-000044A80000}"/>
    <cellStyle name="Output 3 2 40 2 2" xfId="43079" xr:uid="{00000000-0005-0000-0000-000045A80000}"/>
    <cellStyle name="Output 3 2 40 2 3" xfId="43080" xr:uid="{00000000-0005-0000-0000-000046A80000}"/>
    <cellStyle name="Output 3 2 40 2 4" xfId="43081" xr:uid="{00000000-0005-0000-0000-000047A80000}"/>
    <cellStyle name="Output 3 2 40 2 5" xfId="43082" xr:uid="{00000000-0005-0000-0000-000048A80000}"/>
    <cellStyle name="Output 3 2 40 3" xfId="43083" xr:uid="{00000000-0005-0000-0000-000049A80000}"/>
    <cellStyle name="Output 3 2 40 4" xfId="43084" xr:uid="{00000000-0005-0000-0000-00004AA80000}"/>
    <cellStyle name="Output 3 2 40 5" xfId="43085" xr:uid="{00000000-0005-0000-0000-00004BA80000}"/>
    <cellStyle name="Output 3 2 40 6" xfId="43086" xr:uid="{00000000-0005-0000-0000-00004CA80000}"/>
    <cellStyle name="Output 3 2 41" xfId="43087" xr:uid="{00000000-0005-0000-0000-00004DA80000}"/>
    <cellStyle name="Output 3 2 41 2" xfId="43088" xr:uid="{00000000-0005-0000-0000-00004EA80000}"/>
    <cellStyle name="Output 3 2 41 2 2" xfId="43089" xr:uid="{00000000-0005-0000-0000-00004FA80000}"/>
    <cellStyle name="Output 3 2 41 2 3" xfId="43090" xr:uid="{00000000-0005-0000-0000-000050A80000}"/>
    <cellStyle name="Output 3 2 41 2 4" xfId="43091" xr:uid="{00000000-0005-0000-0000-000051A80000}"/>
    <cellStyle name="Output 3 2 41 2 5" xfId="43092" xr:uid="{00000000-0005-0000-0000-000052A80000}"/>
    <cellStyle name="Output 3 2 41 3" xfId="43093" xr:uid="{00000000-0005-0000-0000-000053A80000}"/>
    <cellStyle name="Output 3 2 41 4" xfId="43094" xr:uid="{00000000-0005-0000-0000-000054A80000}"/>
    <cellStyle name="Output 3 2 41 5" xfId="43095" xr:uid="{00000000-0005-0000-0000-000055A80000}"/>
    <cellStyle name="Output 3 2 41 6" xfId="43096" xr:uid="{00000000-0005-0000-0000-000056A80000}"/>
    <cellStyle name="Output 3 2 42" xfId="43097" xr:uid="{00000000-0005-0000-0000-000057A80000}"/>
    <cellStyle name="Output 3 2 42 2" xfId="43098" xr:uid="{00000000-0005-0000-0000-000058A80000}"/>
    <cellStyle name="Output 3 2 42 3" xfId="43099" xr:uid="{00000000-0005-0000-0000-000059A80000}"/>
    <cellStyle name="Output 3 2 42 4" xfId="43100" xr:uid="{00000000-0005-0000-0000-00005AA80000}"/>
    <cellStyle name="Output 3 2 42 5" xfId="43101" xr:uid="{00000000-0005-0000-0000-00005BA80000}"/>
    <cellStyle name="Output 3 2 43" xfId="43102" xr:uid="{00000000-0005-0000-0000-00005CA80000}"/>
    <cellStyle name="Output 3 2 43 2" xfId="43103" xr:uid="{00000000-0005-0000-0000-00005DA80000}"/>
    <cellStyle name="Output 3 2 43 3" xfId="43104" xr:uid="{00000000-0005-0000-0000-00005EA80000}"/>
    <cellStyle name="Output 3 2 43 4" xfId="43105" xr:uid="{00000000-0005-0000-0000-00005FA80000}"/>
    <cellStyle name="Output 3 2 43 5" xfId="43106" xr:uid="{00000000-0005-0000-0000-000060A80000}"/>
    <cellStyle name="Output 3 2 44" xfId="43107" xr:uid="{00000000-0005-0000-0000-000061A80000}"/>
    <cellStyle name="Output 3 2 45" xfId="43108" xr:uid="{00000000-0005-0000-0000-000062A80000}"/>
    <cellStyle name="Output 3 2 46" xfId="43109" xr:uid="{00000000-0005-0000-0000-000063A80000}"/>
    <cellStyle name="Output 3 2 47" xfId="43110" xr:uid="{00000000-0005-0000-0000-000064A80000}"/>
    <cellStyle name="Output 3 2 5" xfId="43111" xr:uid="{00000000-0005-0000-0000-000065A80000}"/>
    <cellStyle name="Output 3 2 5 2" xfId="43112" xr:uid="{00000000-0005-0000-0000-000066A80000}"/>
    <cellStyle name="Output 3 2 5 2 2" xfId="43113" xr:uid="{00000000-0005-0000-0000-000067A80000}"/>
    <cellStyle name="Output 3 2 5 2 2 2" xfId="43114" xr:uid="{00000000-0005-0000-0000-000068A80000}"/>
    <cellStyle name="Output 3 2 5 2 2 3" xfId="43115" xr:uid="{00000000-0005-0000-0000-000069A80000}"/>
    <cellStyle name="Output 3 2 5 2 2 4" xfId="43116" xr:uid="{00000000-0005-0000-0000-00006AA80000}"/>
    <cellStyle name="Output 3 2 5 2 2 5" xfId="43117" xr:uid="{00000000-0005-0000-0000-00006BA80000}"/>
    <cellStyle name="Output 3 2 5 2 2 6" xfId="43118" xr:uid="{00000000-0005-0000-0000-00006CA80000}"/>
    <cellStyle name="Output 3 2 5 2 3" xfId="43119" xr:uid="{00000000-0005-0000-0000-00006DA80000}"/>
    <cellStyle name="Output 3 2 5 2 3 2" xfId="43120" xr:uid="{00000000-0005-0000-0000-00006EA80000}"/>
    <cellStyle name="Output 3 2 5 2 3 3" xfId="43121" xr:uid="{00000000-0005-0000-0000-00006FA80000}"/>
    <cellStyle name="Output 3 2 5 2 3 4" xfId="43122" xr:uid="{00000000-0005-0000-0000-000070A80000}"/>
    <cellStyle name="Output 3 2 5 2 3 5" xfId="43123" xr:uid="{00000000-0005-0000-0000-000071A80000}"/>
    <cellStyle name="Output 3 2 5 2 4" xfId="43124" xr:uid="{00000000-0005-0000-0000-000072A80000}"/>
    <cellStyle name="Output 3 2 5 2 5" xfId="43125" xr:uid="{00000000-0005-0000-0000-000073A80000}"/>
    <cellStyle name="Output 3 2 5 2 6" xfId="43126" xr:uid="{00000000-0005-0000-0000-000074A80000}"/>
    <cellStyle name="Output 3 2 5 2 7" xfId="43127" xr:uid="{00000000-0005-0000-0000-000075A80000}"/>
    <cellStyle name="Output 3 2 5 3" xfId="43128" xr:uid="{00000000-0005-0000-0000-000076A80000}"/>
    <cellStyle name="Output 3 2 5 3 2" xfId="43129" xr:uid="{00000000-0005-0000-0000-000077A80000}"/>
    <cellStyle name="Output 3 2 5 3 2 2" xfId="43130" xr:uid="{00000000-0005-0000-0000-000078A80000}"/>
    <cellStyle name="Output 3 2 5 3 2 3" xfId="43131" xr:uid="{00000000-0005-0000-0000-000079A80000}"/>
    <cellStyle name="Output 3 2 5 3 2 4" xfId="43132" xr:uid="{00000000-0005-0000-0000-00007AA80000}"/>
    <cellStyle name="Output 3 2 5 3 2 5" xfId="43133" xr:uid="{00000000-0005-0000-0000-00007BA80000}"/>
    <cellStyle name="Output 3 2 5 3 2 6" xfId="43134" xr:uid="{00000000-0005-0000-0000-00007CA80000}"/>
    <cellStyle name="Output 3 2 5 3 3" xfId="43135" xr:uid="{00000000-0005-0000-0000-00007DA80000}"/>
    <cellStyle name="Output 3 2 5 3 4" xfId="43136" xr:uid="{00000000-0005-0000-0000-00007EA80000}"/>
    <cellStyle name="Output 3 2 5 3 5" xfId="43137" xr:uid="{00000000-0005-0000-0000-00007FA80000}"/>
    <cellStyle name="Output 3 2 5 3 6" xfId="43138" xr:uid="{00000000-0005-0000-0000-000080A80000}"/>
    <cellStyle name="Output 3 2 5 4" xfId="43139" xr:uid="{00000000-0005-0000-0000-000081A80000}"/>
    <cellStyle name="Output 3 2 5 4 2" xfId="43140" xr:uid="{00000000-0005-0000-0000-000082A80000}"/>
    <cellStyle name="Output 3 2 5 4 3" xfId="43141" xr:uid="{00000000-0005-0000-0000-000083A80000}"/>
    <cellStyle name="Output 3 2 5 4 4" xfId="43142" xr:uid="{00000000-0005-0000-0000-000084A80000}"/>
    <cellStyle name="Output 3 2 5 4 5" xfId="43143" xr:uid="{00000000-0005-0000-0000-000085A80000}"/>
    <cellStyle name="Output 3 2 5 4 6" xfId="43144" xr:uid="{00000000-0005-0000-0000-000086A80000}"/>
    <cellStyle name="Output 3 2 5 5" xfId="43145" xr:uid="{00000000-0005-0000-0000-000087A80000}"/>
    <cellStyle name="Output 3 2 5 5 2" xfId="43146" xr:uid="{00000000-0005-0000-0000-000088A80000}"/>
    <cellStyle name="Output 3 2 5 5 3" xfId="43147" xr:uid="{00000000-0005-0000-0000-000089A80000}"/>
    <cellStyle name="Output 3 2 5 5 4" xfId="43148" xr:uid="{00000000-0005-0000-0000-00008AA80000}"/>
    <cellStyle name="Output 3 2 5 5 5" xfId="43149" xr:uid="{00000000-0005-0000-0000-00008BA80000}"/>
    <cellStyle name="Output 3 2 5 6" xfId="43150" xr:uid="{00000000-0005-0000-0000-00008CA80000}"/>
    <cellStyle name="Output 3 2 5 7" xfId="43151" xr:uid="{00000000-0005-0000-0000-00008DA80000}"/>
    <cellStyle name="Output 3 2 5 8" xfId="43152" xr:uid="{00000000-0005-0000-0000-00008EA80000}"/>
    <cellStyle name="Output 3 2 5 9" xfId="43153" xr:uid="{00000000-0005-0000-0000-00008FA80000}"/>
    <cellStyle name="Output 3 2 6" xfId="43154" xr:uid="{00000000-0005-0000-0000-000090A80000}"/>
    <cellStyle name="Output 3 2 6 2" xfId="43155" xr:uid="{00000000-0005-0000-0000-000091A80000}"/>
    <cellStyle name="Output 3 2 6 2 2" xfId="43156" xr:uid="{00000000-0005-0000-0000-000092A80000}"/>
    <cellStyle name="Output 3 2 6 2 2 2" xfId="43157" xr:uid="{00000000-0005-0000-0000-000093A80000}"/>
    <cellStyle name="Output 3 2 6 2 2 3" xfId="43158" xr:uid="{00000000-0005-0000-0000-000094A80000}"/>
    <cellStyle name="Output 3 2 6 2 2 4" xfId="43159" xr:uid="{00000000-0005-0000-0000-000095A80000}"/>
    <cellStyle name="Output 3 2 6 2 2 5" xfId="43160" xr:uid="{00000000-0005-0000-0000-000096A80000}"/>
    <cellStyle name="Output 3 2 6 2 2 6" xfId="43161" xr:uid="{00000000-0005-0000-0000-000097A80000}"/>
    <cellStyle name="Output 3 2 6 2 3" xfId="43162" xr:uid="{00000000-0005-0000-0000-000098A80000}"/>
    <cellStyle name="Output 3 2 6 2 3 2" xfId="43163" xr:uid="{00000000-0005-0000-0000-000099A80000}"/>
    <cellStyle name="Output 3 2 6 2 3 3" xfId="43164" xr:uid="{00000000-0005-0000-0000-00009AA80000}"/>
    <cellStyle name="Output 3 2 6 2 3 4" xfId="43165" xr:uid="{00000000-0005-0000-0000-00009BA80000}"/>
    <cellStyle name="Output 3 2 6 2 3 5" xfId="43166" xr:uid="{00000000-0005-0000-0000-00009CA80000}"/>
    <cellStyle name="Output 3 2 6 2 4" xfId="43167" xr:uid="{00000000-0005-0000-0000-00009DA80000}"/>
    <cellStyle name="Output 3 2 6 2 5" xfId="43168" xr:uid="{00000000-0005-0000-0000-00009EA80000}"/>
    <cellStyle name="Output 3 2 6 2 6" xfId="43169" xr:uid="{00000000-0005-0000-0000-00009FA80000}"/>
    <cellStyle name="Output 3 2 6 2 7" xfId="43170" xr:uid="{00000000-0005-0000-0000-0000A0A80000}"/>
    <cellStyle name="Output 3 2 6 3" xfId="43171" xr:uid="{00000000-0005-0000-0000-0000A1A80000}"/>
    <cellStyle name="Output 3 2 6 3 2" xfId="43172" xr:uid="{00000000-0005-0000-0000-0000A2A80000}"/>
    <cellStyle name="Output 3 2 6 3 2 2" xfId="43173" xr:uid="{00000000-0005-0000-0000-0000A3A80000}"/>
    <cellStyle name="Output 3 2 6 3 2 3" xfId="43174" xr:uid="{00000000-0005-0000-0000-0000A4A80000}"/>
    <cellStyle name="Output 3 2 6 3 2 4" xfId="43175" xr:uid="{00000000-0005-0000-0000-0000A5A80000}"/>
    <cellStyle name="Output 3 2 6 3 2 5" xfId="43176" xr:uid="{00000000-0005-0000-0000-0000A6A80000}"/>
    <cellStyle name="Output 3 2 6 3 2 6" xfId="43177" xr:uid="{00000000-0005-0000-0000-0000A7A80000}"/>
    <cellStyle name="Output 3 2 6 3 3" xfId="43178" xr:uid="{00000000-0005-0000-0000-0000A8A80000}"/>
    <cellStyle name="Output 3 2 6 3 4" xfId="43179" xr:uid="{00000000-0005-0000-0000-0000A9A80000}"/>
    <cellStyle name="Output 3 2 6 3 5" xfId="43180" xr:uid="{00000000-0005-0000-0000-0000AAA80000}"/>
    <cellStyle name="Output 3 2 6 3 6" xfId="43181" xr:uid="{00000000-0005-0000-0000-0000ABA80000}"/>
    <cellStyle name="Output 3 2 6 4" xfId="43182" xr:uid="{00000000-0005-0000-0000-0000ACA80000}"/>
    <cellStyle name="Output 3 2 6 4 2" xfId="43183" xr:uid="{00000000-0005-0000-0000-0000ADA80000}"/>
    <cellStyle name="Output 3 2 6 4 3" xfId="43184" xr:uid="{00000000-0005-0000-0000-0000AEA80000}"/>
    <cellStyle name="Output 3 2 6 4 4" xfId="43185" xr:uid="{00000000-0005-0000-0000-0000AFA80000}"/>
    <cellStyle name="Output 3 2 6 4 5" xfId="43186" xr:uid="{00000000-0005-0000-0000-0000B0A80000}"/>
    <cellStyle name="Output 3 2 6 4 6" xfId="43187" xr:uid="{00000000-0005-0000-0000-0000B1A80000}"/>
    <cellStyle name="Output 3 2 6 5" xfId="43188" xr:uid="{00000000-0005-0000-0000-0000B2A80000}"/>
    <cellStyle name="Output 3 2 6 5 2" xfId="43189" xr:uid="{00000000-0005-0000-0000-0000B3A80000}"/>
    <cellStyle name="Output 3 2 6 5 3" xfId="43190" xr:uid="{00000000-0005-0000-0000-0000B4A80000}"/>
    <cellStyle name="Output 3 2 6 5 4" xfId="43191" xr:uid="{00000000-0005-0000-0000-0000B5A80000}"/>
    <cellStyle name="Output 3 2 6 5 5" xfId="43192" xr:uid="{00000000-0005-0000-0000-0000B6A80000}"/>
    <cellStyle name="Output 3 2 6 6" xfId="43193" xr:uid="{00000000-0005-0000-0000-0000B7A80000}"/>
    <cellStyle name="Output 3 2 6 7" xfId="43194" xr:uid="{00000000-0005-0000-0000-0000B8A80000}"/>
    <cellStyle name="Output 3 2 6 8" xfId="43195" xr:uid="{00000000-0005-0000-0000-0000B9A80000}"/>
    <cellStyle name="Output 3 2 6 9" xfId="43196" xr:uid="{00000000-0005-0000-0000-0000BAA80000}"/>
    <cellStyle name="Output 3 2 7" xfId="43197" xr:uid="{00000000-0005-0000-0000-0000BBA80000}"/>
    <cellStyle name="Output 3 2 7 2" xfId="43198" xr:uid="{00000000-0005-0000-0000-0000BCA80000}"/>
    <cellStyle name="Output 3 2 7 2 2" xfId="43199" xr:uid="{00000000-0005-0000-0000-0000BDA80000}"/>
    <cellStyle name="Output 3 2 7 2 2 2" xfId="43200" xr:uid="{00000000-0005-0000-0000-0000BEA80000}"/>
    <cellStyle name="Output 3 2 7 2 2 3" xfId="43201" xr:uid="{00000000-0005-0000-0000-0000BFA80000}"/>
    <cellStyle name="Output 3 2 7 2 2 4" xfId="43202" xr:uid="{00000000-0005-0000-0000-0000C0A80000}"/>
    <cellStyle name="Output 3 2 7 2 2 5" xfId="43203" xr:uid="{00000000-0005-0000-0000-0000C1A80000}"/>
    <cellStyle name="Output 3 2 7 2 2 6" xfId="43204" xr:uid="{00000000-0005-0000-0000-0000C2A80000}"/>
    <cellStyle name="Output 3 2 7 2 3" xfId="43205" xr:uid="{00000000-0005-0000-0000-0000C3A80000}"/>
    <cellStyle name="Output 3 2 7 2 3 2" xfId="43206" xr:uid="{00000000-0005-0000-0000-0000C4A80000}"/>
    <cellStyle name="Output 3 2 7 2 3 3" xfId="43207" xr:uid="{00000000-0005-0000-0000-0000C5A80000}"/>
    <cellStyle name="Output 3 2 7 2 3 4" xfId="43208" xr:uid="{00000000-0005-0000-0000-0000C6A80000}"/>
    <cellStyle name="Output 3 2 7 2 3 5" xfId="43209" xr:uid="{00000000-0005-0000-0000-0000C7A80000}"/>
    <cellStyle name="Output 3 2 7 2 4" xfId="43210" xr:uid="{00000000-0005-0000-0000-0000C8A80000}"/>
    <cellStyle name="Output 3 2 7 2 5" xfId="43211" xr:uid="{00000000-0005-0000-0000-0000C9A80000}"/>
    <cellStyle name="Output 3 2 7 2 6" xfId="43212" xr:uid="{00000000-0005-0000-0000-0000CAA80000}"/>
    <cellStyle name="Output 3 2 7 2 7" xfId="43213" xr:uid="{00000000-0005-0000-0000-0000CBA80000}"/>
    <cellStyle name="Output 3 2 7 3" xfId="43214" xr:uid="{00000000-0005-0000-0000-0000CCA80000}"/>
    <cellStyle name="Output 3 2 7 3 2" xfId="43215" xr:uid="{00000000-0005-0000-0000-0000CDA80000}"/>
    <cellStyle name="Output 3 2 7 3 2 2" xfId="43216" xr:uid="{00000000-0005-0000-0000-0000CEA80000}"/>
    <cellStyle name="Output 3 2 7 3 2 3" xfId="43217" xr:uid="{00000000-0005-0000-0000-0000CFA80000}"/>
    <cellStyle name="Output 3 2 7 3 2 4" xfId="43218" xr:uid="{00000000-0005-0000-0000-0000D0A80000}"/>
    <cellStyle name="Output 3 2 7 3 2 5" xfId="43219" xr:uid="{00000000-0005-0000-0000-0000D1A80000}"/>
    <cellStyle name="Output 3 2 7 3 2 6" xfId="43220" xr:uid="{00000000-0005-0000-0000-0000D2A80000}"/>
    <cellStyle name="Output 3 2 7 3 3" xfId="43221" xr:uid="{00000000-0005-0000-0000-0000D3A80000}"/>
    <cellStyle name="Output 3 2 7 3 4" xfId="43222" xr:uid="{00000000-0005-0000-0000-0000D4A80000}"/>
    <cellStyle name="Output 3 2 7 3 5" xfId="43223" xr:uid="{00000000-0005-0000-0000-0000D5A80000}"/>
    <cellStyle name="Output 3 2 7 3 6" xfId="43224" xr:uid="{00000000-0005-0000-0000-0000D6A80000}"/>
    <cellStyle name="Output 3 2 7 4" xfId="43225" xr:uid="{00000000-0005-0000-0000-0000D7A80000}"/>
    <cellStyle name="Output 3 2 7 4 2" xfId="43226" xr:uid="{00000000-0005-0000-0000-0000D8A80000}"/>
    <cellStyle name="Output 3 2 7 4 3" xfId="43227" xr:uid="{00000000-0005-0000-0000-0000D9A80000}"/>
    <cellStyle name="Output 3 2 7 4 4" xfId="43228" xr:uid="{00000000-0005-0000-0000-0000DAA80000}"/>
    <cellStyle name="Output 3 2 7 4 5" xfId="43229" xr:uid="{00000000-0005-0000-0000-0000DBA80000}"/>
    <cellStyle name="Output 3 2 7 4 6" xfId="43230" xr:uid="{00000000-0005-0000-0000-0000DCA80000}"/>
    <cellStyle name="Output 3 2 7 5" xfId="43231" xr:uid="{00000000-0005-0000-0000-0000DDA80000}"/>
    <cellStyle name="Output 3 2 7 5 2" xfId="43232" xr:uid="{00000000-0005-0000-0000-0000DEA80000}"/>
    <cellStyle name="Output 3 2 7 5 3" xfId="43233" xr:uid="{00000000-0005-0000-0000-0000DFA80000}"/>
    <cellStyle name="Output 3 2 7 5 4" xfId="43234" xr:uid="{00000000-0005-0000-0000-0000E0A80000}"/>
    <cellStyle name="Output 3 2 7 5 5" xfId="43235" xr:uid="{00000000-0005-0000-0000-0000E1A80000}"/>
    <cellStyle name="Output 3 2 7 6" xfId="43236" xr:uid="{00000000-0005-0000-0000-0000E2A80000}"/>
    <cellStyle name="Output 3 2 7 7" xfId="43237" xr:uid="{00000000-0005-0000-0000-0000E3A80000}"/>
    <cellStyle name="Output 3 2 7 8" xfId="43238" xr:uid="{00000000-0005-0000-0000-0000E4A80000}"/>
    <cellStyle name="Output 3 2 7 9" xfId="43239" xr:uid="{00000000-0005-0000-0000-0000E5A80000}"/>
    <cellStyle name="Output 3 2 8" xfId="43240" xr:uid="{00000000-0005-0000-0000-0000E6A80000}"/>
    <cellStyle name="Output 3 2 8 2" xfId="43241" xr:uid="{00000000-0005-0000-0000-0000E7A80000}"/>
    <cellStyle name="Output 3 2 8 2 2" xfId="43242" xr:uid="{00000000-0005-0000-0000-0000E8A80000}"/>
    <cellStyle name="Output 3 2 8 2 2 2" xfId="43243" xr:uid="{00000000-0005-0000-0000-0000E9A80000}"/>
    <cellStyle name="Output 3 2 8 2 2 3" xfId="43244" xr:uid="{00000000-0005-0000-0000-0000EAA80000}"/>
    <cellStyle name="Output 3 2 8 2 2 4" xfId="43245" xr:uid="{00000000-0005-0000-0000-0000EBA80000}"/>
    <cellStyle name="Output 3 2 8 2 2 5" xfId="43246" xr:uid="{00000000-0005-0000-0000-0000ECA80000}"/>
    <cellStyle name="Output 3 2 8 2 3" xfId="43247" xr:uid="{00000000-0005-0000-0000-0000EDA80000}"/>
    <cellStyle name="Output 3 2 8 2 4" xfId="43248" xr:uid="{00000000-0005-0000-0000-0000EEA80000}"/>
    <cellStyle name="Output 3 2 8 2 5" xfId="43249" xr:uid="{00000000-0005-0000-0000-0000EFA80000}"/>
    <cellStyle name="Output 3 2 8 2 6" xfId="43250" xr:uid="{00000000-0005-0000-0000-0000F0A80000}"/>
    <cellStyle name="Output 3 2 8 2 7" xfId="43251" xr:uid="{00000000-0005-0000-0000-0000F1A80000}"/>
    <cellStyle name="Output 3 2 8 3" xfId="43252" xr:uid="{00000000-0005-0000-0000-0000F2A80000}"/>
    <cellStyle name="Output 3 2 8 3 2" xfId="43253" xr:uid="{00000000-0005-0000-0000-0000F3A80000}"/>
    <cellStyle name="Output 3 2 8 3 3" xfId="43254" xr:uid="{00000000-0005-0000-0000-0000F4A80000}"/>
    <cellStyle name="Output 3 2 8 3 4" xfId="43255" xr:uid="{00000000-0005-0000-0000-0000F5A80000}"/>
    <cellStyle name="Output 3 2 8 3 5" xfId="43256" xr:uid="{00000000-0005-0000-0000-0000F6A80000}"/>
    <cellStyle name="Output 3 2 8 4" xfId="43257" xr:uid="{00000000-0005-0000-0000-0000F7A80000}"/>
    <cellStyle name="Output 3 2 8 5" xfId="43258" xr:uid="{00000000-0005-0000-0000-0000F8A80000}"/>
    <cellStyle name="Output 3 2 8 6" xfId="43259" xr:uid="{00000000-0005-0000-0000-0000F9A80000}"/>
    <cellStyle name="Output 3 2 8 7" xfId="43260" xr:uid="{00000000-0005-0000-0000-0000FAA80000}"/>
    <cellStyle name="Output 3 2 9" xfId="43261" xr:uid="{00000000-0005-0000-0000-0000FBA80000}"/>
    <cellStyle name="Output 3 2 9 2" xfId="43262" xr:uid="{00000000-0005-0000-0000-0000FCA80000}"/>
    <cellStyle name="Output 3 2 9 2 2" xfId="43263" xr:uid="{00000000-0005-0000-0000-0000FDA80000}"/>
    <cellStyle name="Output 3 2 9 2 2 2" xfId="43264" xr:uid="{00000000-0005-0000-0000-0000FEA80000}"/>
    <cellStyle name="Output 3 2 9 2 2 3" xfId="43265" xr:uid="{00000000-0005-0000-0000-0000FFA80000}"/>
    <cellStyle name="Output 3 2 9 2 2 4" xfId="43266" xr:uid="{00000000-0005-0000-0000-000000A90000}"/>
    <cellStyle name="Output 3 2 9 2 2 5" xfId="43267" xr:uid="{00000000-0005-0000-0000-000001A90000}"/>
    <cellStyle name="Output 3 2 9 2 3" xfId="43268" xr:uid="{00000000-0005-0000-0000-000002A90000}"/>
    <cellStyle name="Output 3 2 9 2 4" xfId="43269" xr:uid="{00000000-0005-0000-0000-000003A90000}"/>
    <cellStyle name="Output 3 2 9 2 5" xfId="43270" xr:uid="{00000000-0005-0000-0000-000004A90000}"/>
    <cellStyle name="Output 3 2 9 2 6" xfId="43271" xr:uid="{00000000-0005-0000-0000-000005A90000}"/>
    <cellStyle name="Output 3 2 9 2 7" xfId="43272" xr:uid="{00000000-0005-0000-0000-000006A90000}"/>
    <cellStyle name="Output 3 2 9 3" xfId="43273" xr:uid="{00000000-0005-0000-0000-000007A90000}"/>
    <cellStyle name="Output 3 2 9 3 2" xfId="43274" xr:uid="{00000000-0005-0000-0000-000008A90000}"/>
    <cellStyle name="Output 3 2 9 3 3" xfId="43275" xr:uid="{00000000-0005-0000-0000-000009A90000}"/>
    <cellStyle name="Output 3 2 9 3 4" xfId="43276" xr:uid="{00000000-0005-0000-0000-00000AA90000}"/>
    <cellStyle name="Output 3 2 9 3 5" xfId="43277" xr:uid="{00000000-0005-0000-0000-00000BA90000}"/>
    <cellStyle name="Output 3 2 9 4" xfId="43278" xr:uid="{00000000-0005-0000-0000-00000CA90000}"/>
    <cellStyle name="Output 3 2 9 5" xfId="43279" xr:uid="{00000000-0005-0000-0000-00000DA90000}"/>
    <cellStyle name="Output 3 2 9 6" xfId="43280" xr:uid="{00000000-0005-0000-0000-00000EA90000}"/>
    <cellStyle name="Output 3 2 9 7" xfId="43281" xr:uid="{00000000-0005-0000-0000-00000FA90000}"/>
    <cellStyle name="Output 3 20" xfId="43282" xr:uid="{00000000-0005-0000-0000-000010A90000}"/>
    <cellStyle name="Output 3 20 2" xfId="43283" xr:uid="{00000000-0005-0000-0000-000011A90000}"/>
    <cellStyle name="Output 3 20 2 2" xfId="43284" xr:uid="{00000000-0005-0000-0000-000012A90000}"/>
    <cellStyle name="Output 3 20 2 3" xfId="43285" xr:uid="{00000000-0005-0000-0000-000013A90000}"/>
    <cellStyle name="Output 3 20 2 4" xfId="43286" xr:uid="{00000000-0005-0000-0000-000014A90000}"/>
    <cellStyle name="Output 3 20 2 5" xfId="43287" xr:uid="{00000000-0005-0000-0000-000015A90000}"/>
    <cellStyle name="Output 3 20 3" xfId="43288" xr:uid="{00000000-0005-0000-0000-000016A90000}"/>
    <cellStyle name="Output 3 20 4" xfId="43289" xr:uid="{00000000-0005-0000-0000-000017A90000}"/>
    <cellStyle name="Output 3 20 5" xfId="43290" xr:uid="{00000000-0005-0000-0000-000018A90000}"/>
    <cellStyle name="Output 3 20 6" xfId="43291" xr:uid="{00000000-0005-0000-0000-000019A90000}"/>
    <cellStyle name="Output 3 21" xfId="43292" xr:uid="{00000000-0005-0000-0000-00001AA90000}"/>
    <cellStyle name="Output 3 21 2" xfId="43293" xr:uid="{00000000-0005-0000-0000-00001BA90000}"/>
    <cellStyle name="Output 3 21 2 2" xfId="43294" xr:uid="{00000000-0005-0000-0000-00001CA90000}"/>
    <cellStyle name="Output 3 21 2 3" xfId="43295" xr:uid="{00000000-0005-0000-0000-00001DA90000}"/>
    <cellStyle name="Output 3 21 2 4" xfId="43296" xr:uid="{00000000-0005-0000-0000-00001EA90000}"/>
    <cellStyle name="Output 3 21 2 5" xfId="43297" xr:uid="{00000000-0005-0000-0000-00001FA90000}"/>
    <cellStyle name="Output 3 21 3" xfId="43298" xr:uid="{00000000-0005-0000-0000-000020A90000}"/>
    <cellStyle name="Output 3 21 4" xfId="43299" xr:uid="{00000000-0005-0000-0000-000021A90000}"/>
    <cellStyle name="Output 3 21 5" xfId="43300" xr:uid="{00000000-0005-0000-0000-000022A90000}"/>
    <cellStyle name="Output 3 21 6" xfId="43301" xr:uid="{00000000-0005-0000-0000-000023A90000}"/>
    <cellStyle name="Output 3 22" xfId="43302" xr:uid="{00000000-0005-0000-0000-000024A90000}"/>
    <cellStyle name="Output 3 22 2" xfId="43303" xr:uid="{00000000-0005-0000-0000-000025A90000}"/>
    <cellStyle name="Output 3 22 2 2" xfId="43304" xr:uid="{00000000-0005-0000-0000-000026A90000}"/>
    <cellStyle name="Output 3 22 2 3" xfId="43305" xr:uid="{00000000-0005-0000-0000-000027A90000}"/>
    <cellStyle name="Output 3 22 2 4" xfId="43306" xr:uid="{00000000-0005-0000-0000-000028A90000}"/>
    <cellStyle name="Output 3 22 2 5" xfId="43307" xr:uid="{00000000-0005-0000-0000-000029A90000}"/>
    <cellStyle name="Output 3 22 3" xfId="43308" xr:uid="{00000000-0005-0000-0000-00002AA90000}"/>
    <cellStyle name="Output 3 22 4" xfId="43309" xr:uid="{00000000-0005-0000-0000-00002BA90000}"/>
    <cellStyle name="Output 3 22 5" xfId="43310" xr:uid="{00000000-0005-0000-0000-00002CA90000}"/>
    <cellStyle name="Output 3 22 6" xfId="43311" xr:uid="{00000000-0005-0000-0000-00002DA90000}"/>
    <cellStyle name="Output 3 23" xfId="43312" xr:uid="{00000000-0005-0000-0000-00002EA90000}"/>
    <cellStyle name="Output 3 23 2" xfId="43313" xr:uid="{00000000-0005-0000-0000-00002FA90000}"/>
    <cellStyle name="Output 3 23 2 2" xfId="43314" xr:uid="{00000000-0005-0000-0000-000030A90000}"/>
    <cellStyle name="Output 3 23 2 3" xfId="43315" xr:uid="{00000000-0005-0000-0000-000031A90000}"/>
    <cellStyle name="Output 3 23 2 4" xfId="43316" xr:uid="{00000000-0005-0000-0000-000032A90000}"/>
    <cellStyle name="Output 3 23 2 5" xfId="43317" xr:uid="{00000000-0005-0000-0000-000033A90000}"/>
    <cellStyle name="Output 3 23 3" xfId="43318" xr:uid="{00000000-0005-0000-0000-000034A90000}"/>
    <cellStyle name="Output 3 23 4" xfId="43319" xr:uid="{00000000-0005-0000-0000-000035A90000}"/>
    <cellStyle name="Output 3 23 5" xfId="43320" xr:uid="{00000000-0005-0000-0000-000036A90000}"/>
    <cellStyle name="Output 3 23 6" xfId="43321" xr:uid="{00000000-0005-0000-0000-000037A90000}"/>
    <cellStyle name="Output 3 24" xfId="43322" xr:uid="{00000000-0005-0000-0000-000038A90000}"/>
    <cellStyle name="Output 3 24 2" xfId="43323" xr:uid="{00000000-0005-0000-0000-000039A90000}"/>
    <cellStyle name="Output 3 24 2 2" xfId="43324" xr:uid="{00000000-0005-0000-0000-00003AA90000}"/>
    <cellStyle name="Output 3 24 2 3" xfId="43325" xr:uid="{00000000-0005-0000-0000-00003BA90000}"/>
    <cellStyle name="Output 3 24 2 4" xfId="43326" xr:uid="{00000000-0005-0000-0000-00003CA90000}"/>
    <cellStyle name="Output 3 24 2 5" xfId="43327" xr:uid="{00000000-0005-0000-0000-00003DA90000}"/>
    <cellStyle name="Output 3 24 3" xfId="43328" xr:uid="{00000000-0005-0000-0000-00003EA90000}"/>
    <cellStyle name="Output 3 24 4" xfId="43329" xr:uid="{00000000-0005-0000-0000-00003FA90000}"/>
    <cellStyle name="Output 3 24 5" xfId="43330" xr:uid="{00000000-0005-0000-0000-000040A90000}"/>
    <cellStyle name="Output 3 24 6" xfId="43331" xr:uid="{00000000-0005-0000-0000-000041A90000}"/>
    <cellStyle name="Output 3 25" xfId="43332" xr:uid="{00000000-0005-0000-0000-000042A90000}"/>
    <cellStyle name="Output 3 25 2" xfId="43333" xr:uid="{00000000-0005-0000-0000-000043A90000}"/>
    <cellStyle name="Output 3 25 2 2" xfId="43334" xr:uid="{00000000-0005-0000-0000-000044A90000}"/>
    <cellStyle name="Output 3 25 2 3" xfId="43335" xr:uid="{00000000-0005-0000-0000-000045A90000}"/>
    <cellStyle name="Output 3 25 2 4" xfId="43336" xr:uid="{00000000-0005-0000-0000-000046A90000}"/>
    <cellStyle name="Output 3 25 2 5" xfId="43337" xr:uid="{00000000-0005-0000-0000-000047A90000}"/>
    <cellStyle name="Output 3 25 3" xfId="43338" xr:uid="{00000000-0005-0000-0000-000048A90000}"/>
    <cellStyle name="Output 3 25 4" xfId="43339" xr:uid="{00000000-0005-0000-0000-000049A90000}"/>
    <cellStyle name="Output 3 25 5" xfId="43340" xr:uid="{00000000-0005-0000-0000-00004AA90000}"/>
    <cellStyle name="Output 3 25 6" xfId="43341" xr:uid="{00000000-0005-0000-0000-00004BA90000}"/>
    <cellStyle name="Output 3 26" xfId="43342" xr:uid="{00000000-0005-0000-0000-00004CA90000}"/>
    <cellStyle name="Output 3 26 2" xfId="43343" xr:uid="{00000000-0005-0000-0000-00004DA90000}"/>
    <cellStyle name="Output 3 26 2 2" xfId="43344" xr:uid="{00000000-0005-0000-0000-00004EA90000}"/>
    <cellStyle name="Output 3 26 2 3" xfId="43345" xr:uid="{00000000-0005-0000-0000-00004FA90000}"/>
    <cellStyle name="Output 3 26 2 4" xfId="43346" xr:uid="{00000000-0005-0000-0000-000050A90000}"/>
    <cellStyle name="Output 3 26 2 5" xfId="43347" xr:uid="{00000000-0005-0000-0000-000051A90000}"/>
    <cellStyle name="Output 3 26 3" xfId="43348" xr:uid="{00000000-0005-0000-0000-000052A90000}"/>
    <cellStyle name="Output 3 26 4" xfId="43349" xr:uid="{00000000-0005-0000-0000-000053A90000}"/>
    <cellStyle name="Output 3 26 5" xfId="43350" xr:uid="{00000000-0005-0000-0000-000054A90000}"/>
    <cellStyle name="Output 3 26 6" xfId="43351" xr:uid="{00000000-0005-0000-0000-000055A90000}"/>
    <cellStyle name="Output 3 27" xfId="43352" xr:uid="{00000000-0005-0000-0000-000056A90000}"/>
    <cellStyle name="Output 3 27 2" xfId="43353" xr:uid="{00000000-0005-0000-0000-000057A90000}"/>
    <cellStyle name="Output 3 27 2 2" xfId="43354" xr:uid="{00000000-0005-0000-0000-000058A90000}"/>
    <cellStyle name="Output 3 27 2 3" xfId="43355" xr:uid="{00000000-0005-0000-0000-000059A90000}"/>
    <cellStyle name="Output 3 27 2 4" xfId="43356" xr:uid="{00000000-0005-0000-0000-00005AA90000}"/>
    <cellStyle name="Output 3 27 2 5" xfId="43357" xr:uid="{00000000-0005-0000-0000-00005BA90000}"/>
    <cellStyle name="Output 3 27 3" xfId="43358" xr:uid="{00000000-0005-0000-0000-00005CA90000}"/>
    <cellStyle name="Output 3 27 4" xfId="43359" xr:uid="{00000000-0005-0000-0000-00005DA90000}"/>
    <cellStyle name="Output 3 27 5" xfId="43360" xr:uid="{00000000-0005-0000-0000-00005EA90000}"/>
    <cellStyle name="Output 3 27 6" xfId="43361" xr:uid="{00000000-0005-0000-0000-00005FA90000}"/>
    <cellStyle name="Output 3 28" xfId="43362" xr:uid="{00000000-0005-0000-0000-000060A90000}"/>
    <cellStyle name="Output 3 28 2" xfId="43363" xr:uid="{00000000-0005-0000-0000-000061A90000}"/>
    <cellStyle name="Output 3 28 2 2" xfId="43364" xr:uid="{00000000-0005-0000-0000-000062A90000}"/>
    <cellStyle name="Output 3 28 2 3" xfId="43365" xr:uid="{00000000-0005-0000-0000-000063A90000}"/>
    <cellStyle name="Output 3 28 2 4" xfId="43366" xr:uid="{00000000-0005-0000-0000-000064A90000}"/>
    <cellStyle name="Output 3 28 2 5" xfId="43367" xr:uid="{00000000-0005-0000-0000-000065A90000}"/>
    <cellStyle name="Output 3 28 3" xfId="43368" xr:uid="{00000000-0005-0000-0000-000066A90000}"/>
    <cellStyle name="Output 3 28 4" xfId="43369" xr:uid="{00000000-0005-0000-0000-000067A90000}"/>
    <cellStyle name="Output 3 28 5" xfId="43370" xr:uid="{00000000-0005-0000-0000-000068A90000}"/>
    <cellStyle name="Output 3 28 6" xfId="43371" xr:uid="{00000000-0005-0000-0000-000069A90000}"/>
    <cellStyle name="Output 3 29" xfId="43372" xr:uid="{00000000-0005-0000-0000-00006AA90000}"/>
    <cellStyle name="Output 3 29 2" xfId="43373" xr:uid="{00000000-0005-0000-0000-00006BA90000}"/>
    <cellStyle name="Output 3 29 2 2" xfId="43374" xr:uid="{00000000-0005-0000-0000-00006CA90000}"/>
    <cellStyle name="Output 3 29 2 3" xfId="43375" xr:uid="{00000000-0005-0000-0000-00006DA90000}"/>
    <cellStyle name="Output 3 29 2 4" xfId="43376" xr:uid="{00000000-0005-0000-0000-00006EA90000}"/>
    <cellStyle name="Output 3 29 2 5" xfId="43377" xr:uid="{00000000-0005-0000-0000-00006FA90000}"/>
    <cellStyle name="Output 3 29 3" xfId="43378" xr:uid="{00000000-0005-0000-0000-000070A90000}"/>
    <cellStyle name="Output 3 29 4" xfId="43379" xr:uid="{00000000-0005-0000-0000-000071A90000}"/>
    <cellStyle name="Output 3 29 5" xfId="43380" xr:uid="{00000000-0005-0000-0000-000072A90000}"/>
    <cellStyle name="Output 3 29 6" xfId="43381" xr:uid="{00000000-0005-0000-0000-000073A90000}"/>
    <cellStyle name="Output 3 3" xfId="43382" xr:uid="{00000000-0005-0000-0000-000074A90000}"/>
    <cellStyle name="Output 3 3 10" xfId="43383" xr:uid="{00000000-0005-0000-0000-000075A90000}"/>
    <cellStyle name="Output 3 3 10 2" xfId="43384" xr:uid="{00000000-0005-0000-0000-000076A90000}"/>
    <cellStyle name="Output 3 3 10 2 2" xfId="43385" xr:uid="{00000000-0005-0000-0000-000077A90000}"/>
    <cellStyle name="Output 3 3 10 2 3" xfId="43386" xr:uid="{00000000-0005-0000-0000-000078A90000}"/>
    <cellStyle name="Output 3 3 10 2 4" xfId="43387" xr:uid="{00000000-0005-0000-0000-000079A90000}"/>
    <cellStyle name="Output 3 3 10 2 5" xfId="43388" xr:uid="{00000000-0005-0000-0000-00007AA90000}"/>
    <cellStyle name="Output 3 3 10 3" xfId="43389" xr:uid="{00000000-0005-0000-0000-00007BA90000}"/>
    <cellStyle name="Output 3 3 10 4" xfId="43390" xr:uid="{00000000-0005-0000-0000-00007CA90000}"/>
    <cellStyle name="Output 3 3 10 5" xfId="43391" xr:uid="{00000000-0005-0000-0000-00007DA90000}"/>
    <cellStyle name="Output 3 3 10 6" xfId="43392" xr:uid="{00000000-0005-0000-0000-00007EA90000}"/>
    <cellStyle name="Output 3 3 11" xfId="43393" xr:uid="{00000000-0005-0000-0000-00007FA90000}"/>
    <cellStyle name="Output 3 3 11 2" xfId="43394" xr:uid="{00000000-0005-0000-0000-000080A90000}"/>
    <cellStyle name="Output 3 3 11 2 2" xfId="43395" xr:uid="{00000000-0005-0000-0000-000081A90000}"/>
    <cellStyle name="Output 3 3 11 2 3" xfId="43396" xr:uid="{00000000-0005-0000-0000-000082A90000}"/>
    <cellStyle name="Output 3 3 11 2 4" xfId="43397" xr:uid="{00000000-0005-0000-0000-000083A90000}"/>
    <cellStyle name="Output 3 3 11 2 5" xfId="43398" xr:uid="{00000000-0005-0000-0000-000084A90000}"/>
    <cellStyle name="Output 3 3 11 3" xfId="43399" xr:uid="{00000000-0005-0000-0000-000085A90000}"/>
    <cellStyle name="Output 3 3 11 4" xfId="43400" xr:uid="{00000000-0005-0000-0000-000086A90000}"/>
    <cellStyle name="Output 3 3 11 5" xfId="43401" xr:uid="{00000000-0005-0000-0000-000087A90000}"/>
    <cellStyle name="Output 3 3 11 6" xfId="43402" xr:uid="{00000000-0005-0000-0000-000088A90000}"/>
    <cellStyle name="Output 3 3 12" xfId="43403" xr:uid="{00000000-0005-0000-0000-000089A90000}"/>
    <cellStyle name="Output 3 3 12 2" xfId="43404" xr:uid="{00000000-0005-0000-0000-00008AA90000}"/>
    <cellStyle name="Output 3 3 12 2 2" xfId="43405" xr:uid="{00000000-0005-0000-0000-00008BA90000}"/>
    <cellStyle name="Output 3 3 12 2 3" xfId="43406" xr:uid="{00000000-0005-0000-0000-00008CA90000}"/>
    <cellStyle name="Output 3 3 12 2 4" xfId="43407" xr:uid="{00000000-0005-0000-0000-00008DA90000}"/>
    <cellStyle name="Output 3 3 12 2 5" xfId="43408" xr:uid="{00000000-0005-0000-0000-00008EA90000}"/>
    <cellStyle name="Output 3 3 12 3" xfId="43409" xr:uid="{00000000-0005-0000-0000-00008FA90000}"/>
    <cellStyle name="Output 3 3 12 4" xfId="43410" xr:uid="{00000000-0005-0000-0000-000090A90000}"/>
    <cellStyle name="Output 3 3 12 5" xfId="43411" xr:uid="{00000000-0005-0000-0000-000091A90000}"/>
    <cellStyle name="Output 3 3 12 6" xfId="43412" xr:uid="{00000000-0005-0000-0000-000092A90000}"/>
    <cellStyle name="Output 3 3 13" xfId="43413" xr:uid="{00000000-0005-0000-0000-000093A90000}"/>
    <cellStyle name="Output 3 3 13 2" xfId="43414" xr:uid="{00000000-0005-0000-0000-000094A90000}"/>
    <cellStyle name="Output 3 3 13 2 2" xfId="43415" xr:uid="{00000000-0005-0000-0000-000095A90000}"/>
    <cellStyle name="Output 3 3 13 2 3" xfId="43416" xr:uid="{00000000-0005-0000-0000-000096A90000}"/>
    <cellStyle name="Output 3 3 13 2 4" xfId="43417" xr:uid="{00000000-0005-0000-0000-000097A90000}"/>
    <cellStyle name="Output 3 3 13 2 5" xfId="43418" xr:uid="{00000000-0005-0000-0000-000098A90000}"/>
    <cellStyle name="Output 3 3 13 3" xfId="43419" xr:uid="{00000000-0005-0000-0000-000099A90000}"/>
    <cellStyle name="Output 3 3 13 4" xfId="43420" xr:uid="{00000000-0005-0000-0000-00009AA90000}"/>
    <cellStyle name="Output 3 3 13 5" xfId="43421" xr:uid="{00000000-0005-0000-0000-00009BA90000}"/>
    <cellStyle name="Output 3 3 13 6" xfId="43422" xr:uid="{00000000-0005-0000-0000-00009CA90000}"/>
    <cellStyle name="Output 3 3 14" xfId="43423" xr:uid="{00000000-0005-0000-0000-00009DA90000}"/>
    <cellStyle name="Output 3 3 14 2" xfId="43424" xr:uid="{00000000-0005-0000-0000-00009EA90000}"/>
    <cellStyle name="Output 3 3 14 2 2" xfId="43425" xr:uid="{00000000-0005-0000-0000-00009FA90000}"/>
    <cellStyle name="Output 3 3 14 2 3" xfId="43426" xr:uid="{00000000-0005-0000-0000-0000A0A90000}"/>
    <cellStyle name="Output 3 3 14 2 4" xfId="43427" xr:uid="{00000000-0005-0000-0000-0000A1A90000}"/>
    <cellStyle name="Output 3 3 14 2 5" xfId="43428" xr:uid="{00000000-0005-0000-0000-0000A2A90000}"/>
    <cellStyle name="Output 3 3 14 3" xfId="43429" xr:uid="{00000000-0005-0000-0000-0000A3A90000}"/>
    <cellStyle name="Output 3 3 14 4" xfId="43430" xr:uid="{00000000-0005-0000-0000-0000A4A90000}"/>
    <cellStyle name="Output 3 3 14 5" xfId="43431" xr:uid="{00000000-0005-0000-0000-0000A5A90000}"/>
    <cellStyle name="Output 3 3 14 6" xfId="43432" xr:uid="{00000000-0005-0000-0000-0000A6A90000}"/>
    <cellStyle name="Output 3 3 15" xfId="43433" xr:uid="{00000000-0005-0000-0000-0000A7A90000}"/>
    <cellStyle name="Output 3 3 15 2" xfId="43434" xr:uid="{00000000-0005-0000-0000-0000A8A90000}"/>
    <cellStyle name="Output 3 3 15 2 2" xfId="43435" xr:uid="{00000000-0005-0000-0000-0000A9A90000}"/>
    <cellStyle name="Output 3 3 15 2 3" xfId="43436" xr:uid="{00000000-0005-0000-0000-0000AAA90000}"/>
    <cellStyle name="Output 3 3 15 2 4" xfId="43437" xr:uid="{00000000-0005-0000-0000-0000ABA90000}"/>
    <cellStyle name="Output 3 3 15 2 5" xfId="43438" xr:uid="{00000000-0005-0000-0000-0000ACA90000}"/>
    <cellStyle name="Output 3 3 15 3" xfId="43439" xr:uid="{00000000-0005-0000-0000-0000ADA90000}"/>
    <cellStyle name="Output 3 3 15 4" xfId="43440" xr:uid="{00000000-0005-0000-0000-0000AEA90000}"/>
    <cellStyle name="Output 3 3 15 5" xfId="43441" xr:uid="{00000000-0005-0000-0000-0000AFA90000}"/>
    <cellStyle name="Output 3 3 15 6" xfId="43442" xr:uid="{00000000-0005-0000-0000-0000B0A90000}"/>
    <cellStyle name="Output 3 3 16" xfId="43443" xr:uid="{00000000-0005-0000-0000-0000B1A90000}"/>
    <cellStyle name="Output 3 3 16 2" xfId="43444" xr:uid="{00000000-0005-0000-0000-0000B2A90000}"/>
    <cellStyle name="Output 3 3 16 2 2" xfId="43445" xr:uid="{00000000-0005-0000-0000-0000B3A90000}"/>
    <cellStyle name="Output 3 3 16 2 3" xfId="43446" xr:uid="{00000000-0005-0000-0000-0000B4A90000}"/>
    <cellStyle name="Output 3 3 16 2 4" xfId="43447" xr:uid="{00000000-0005-0000-0000-0000B5A90000}"/>
    <cellStyle name="Output 3 3 16 2 5" xfId="43448" xr:uid="{00000000-0005-0000-0000-0000B6A90000}"/>
    <cellStyle name="Output 3 3 16 3" xfId="43449" xr:uid="{00000000-0005-0000-0000-0000B7A90000}"/>
    <cellStyle name="Output 3 3 16 4" xfId="43450" xr:uid="{00000000-0005-0000-0000-0000B8A90000}"/>
    <cellStyle name="Output 3 3 16 5" xfId="43451" xr:uid="{00000000-0005-0000-0000-0000B9A90000}"/>
    <cellStyle name="Output 3 3 16 6" xfId="43452" xr:uid="{00000000-0005-0000-0000-0000BAA90000}"/>
    <cellStyle name="Output 3 3 17" xfId="43453" xr:uid="{00000000-0005-0000-0000-0000BBA90000}"/>
    <cellStyle name="Output 3 3 17 2" xfId="43454" xr:uid="{00000000-0005-0000-0000-0000BCA90000}"/>
    <cellStyle name="Output 3 3 17 2 2" xfId="43455" xr:uid="{00000000-0005-0000-0000-0000BDA90000}"/>
    <cellStyle name="Output 3 3 17 2 3" xfId="43456" xr:uid="{00000000-0005-0000-0000-0000BEA90000}"/>
    <cellStyle name="Output 3 3 17 2 4" xfId="43457" xr:uid="{00000000-0005-0000-0000-0000BFA90000}"/>
    <cellStyle name="Output 3 3 17 2 5" xfId="43458" xr:uid="{00000000-0005-0000-0000-0000C0A90000}"/>
    <cellStyle name="Output 3 3 17 3" xfId="43459" xr:uid="{00000000-0005-0000-0000-0000C1A90000}"/>
    <cellStyle name="Output 3 3 17 4" xfId="43460" xr:uid="{00000000-0005-0000-0000-0000C2A90000}"/>
    <cellStyle name="Output 3 3 17 5" xfId="43461" xr:uid="{00000000-0005-0000-0000-0000C3A90000}"/>
    <cellStyle name="Output 3 3 17 6" xfId="43462" xr:uid="{00000000-0005-0000-0000-0000C4A90000}"/>
    <cellStyle name="Output 3 3 18" xfId="43463" xr:uid="{00000000-0005-0000-0000-0000C5A90000}"/>
    <cellStyle name="Output 3 3 18 2" xfId="43464" xr:uid="{00000000-0005-0000-0000-0000C6A90000}"/>
    <cellStyle name="Output 3 3 18 2 2" xfId="43465" xr:uid="{00000000-0005-0000-0000-0000C7A90000}"/>
    <cellStyle name="Output 3 3 18 2 3" xfId="43466" xr:uid="{00000000-0005-0000-0000-0000C8A90000}"/>
    <cellStyle name="Output 3 3 18 2 4" xfId="43467" xr:uid="{00000000-0005-0000-0000-0000C9A90000}"/>
    <cellStyle name="Output 3 3 18 2 5" xfId="43468" xr:uid="{00000000-0005-0000-0000-0000CAA90000}"/>
    <cellStyle name="Output 3 3 18 3" xfId="43469" xr:uid="{00000000-0005-0000-0000-0000CBA90000}"/>
    <cellStyle name="Output 3 3 18 4" xfId="43470" xr:uid="{00000000-0005-0000-0000-0000CCA90000}"/>
    <cellStyle name="Output 3 3 18 5" xfId="43471" xr:uid="{00000000-0005-0000-0000-0000CDA90000}"/>
    <cellStyle name="Output 3 3 18 6" xfId="43472" xr:uid="{00000000-0005-0000-0000-0000CEA90000}"/>
    <cellStyle name="Output 3 3 19" xfId="43473" xr:uid="{00000000-0005-0000-0000-0000CFA90000}"/>
    <cellStyle name="Output 3 3 19 2" xfId="43474" xr:uid="{00000000-0005-0000-0000-0000D0A90000}"/>
    <cellStyle name="Output 3 3 19 2 2" xfId="43475" xr:uid="{00000000-0005-0000-0000-0000D1A90000}"/>
    <cellStyle name="Output 3 3 19 2 3" xfId="43476" xr:uid="{00000000-0005-0000-0000-0000D2A90000}"/>
    <cellStyle name="Output 3 3 19 2 4" xfId="43477" xr:uid="{00000000-0005-0000-0000-0000D3A90000}"/>
    <cellStyle name="Output 3 3 19 2 5" xfId="43478" xr:uid="{00000000-0005-0000-0000-0000D4A90000}"/>
    <cellStyle name="Output 3 3 19 3" xfId="43479" xr:uid="{00000000-0005-0000-0000-0000D5A90000}"/>
    <cellStyle name="Output 3 3 19 4" xfId="43480" xr:uid="{00000000-0005-0000-0000-0000D6A90000}"/>
    <cellStyle name="Output 3 3 19 5" xfId="43481" xr:uid="{00000000-0005-0000-0000-0000D7A90000}"/>
    <cellStyle name="Output 3 3 19 6" xfId="43482" xr:uid="{00000000-0005-0000-0000-0000D8A90000}"/>
    <cellStyle name="Output 3 3 2" xfId="43483" xr:uid="{00000000-0005-0000-0000-0000D9A90000}"/>
    <cellStyle name="Output 3 3 2 2" xfId="43484" xr:uid="{00000000-0005-0000-0000-0000DAA90000}"/>
    <cellStyle name="Output 3 3 2 2 2" xfId="43485" xr:uid="{00000000-0005-0000-0000-0000DBA90000}"/>
    <cellStyle name="Output 3 3 2 2 3" xfId="43486" xr:uid="{00000000-0005-0000-0000-0000DCA90000}"/>
    <cellStyle name="Output 3 3 2 2 4" xfId="43487" xr:uid="{00000000-0005-0000-0000-0000DDA90000}"/>
    <cellStyle name="Output 3 3 2 2 5" xfId="43488" xr:uid="{00000000-0005-0000-0000-0000DEA90000}"/>
    <cellStyle name="Output 3 3 2 3" xfId="43489" xr:uid="{00000000-0005-0000-0000-0000DFA90000}"/>
    <cellStyle name="Output 3 3 2 4" xfId="43490" xr:uid="{00000000-0005-0000-0000-0000E0A90000}"/>
    <cellStyle name="Output 3 3 2 5" xfId="43491" xr:uid="{00000000-0005-0000-0000-0000E1A90000}"/>
    <cellStyle name="Output 3 3 2 6" xfId="43492" xr:uid="{00000000-0005-0000-0000-0000E2A90000}"/>
    <cellStyle name="Output 3 3 20" xfId="43493" xr:uid="{00000000-0005-0000-0000-0000E3A90000}"/>
    <cellStyle name="Output 3 3 20 2" xfId="43494" xr:uid="{00000000-0005-0000-0000-0000E4A90000}"/>
    <cellStyle name="Output 3 3 20 2 2" xfId="43495" xr:uid="{00000000-0005-0000-0000-0000E5A90000}"/>
    <cellStyle name="Output 3 3 20 2 3" xfId="43496" xr:uid="{00000000-0005-0000-0000-0000E6A90000}"/>
    <cellStyle name="Output 3 3 20 2 4" xfId="43497" xr:uid="{00000000-0005-0000-0000-0000E7A90000}"/>
    <cellStyle name="Output 3 3 20 2 5" xfId="43498" xr:uid="{00000000-0005-0000-0000-0000E8A90000}"/>
    <cellStyle name="Output 3 3 20 3" xfId="43499" xr:uid="{00000000-0005-0000-0000-0000E9A90000}"/>
    <cellStyle name="Output 3 3 20 4" xfId="43500" xr:uid="{00000000-0005-0000-0000-0000EAA90000}"/>
    <cellStyle name="Output 3 3 20 5" xfId="43501" xr:uid="{00000000-0005-0000-0000-0000EBA90000}"/>
    <cellStyle name="Output 3 3 20 6" xfId="43502" xr:uid="{00000000-0005-0000-0000-0000ECA90000}"/>
    <cellStyle name="Output 3 3 21" xfId="43503" xr:uid="{00000000-0005-0000-0000-0000EDA90000}"/>
    <cellStyle name="Output 3 3 21 2" xfId="43504" xr:uid="{00000000-0005-0000-0000-0000EEA90000}"/>
    <cellStyle name="Output 3 3 21 2 2" xfId="43505" xr:uid="{00000000-0005-0000-0000-0000EFA90000}"/>
    <cellStyle name="Output 3 3 21 2 3" xfId="43506" xr:uid="{00000000-0005-0000-0000-0000F0A90000}"/>
    <cellStyle name="Output 3 3 21 2 4" xfId="43507" xr:uid="{00000000-0005-0000-0000-0000F1A90000}"/>
    <cellStyle name="Output 3 3 21 2 5" xfId="43508" xr:uid="{00000000-0005-0000-0000-0000F2A90000}"/>
    <cellStyle name="Output 3 3 21 3" xfId="43509" xr:uid="{00000000-0005-0000-0000-0000F3A90000}"/>
    <cellStyle name="Output 3 3 21 4" xfId="43510" xr:uid="{00000000-0005-0000-0000-0000F4A90000}"/>
    <cellStyle name="Output 3 3 21 5" xfId="43511" xr:uid="{00000000-0005-0000-0000-0000F5A90000}"/>
    <cellStyle name="Output 3 3 21 6" xfId="43512" xr:uid="{00000000-0005-0000-0000-0000F6A90000}"/>
    <cellStyle name="Output 3 3 22" xfId="43513" xr:uid="{00000000-0005-0000-0000-0000F7A90000}"/>
    <cellStyle name="Output 3 3 22 2" xfId="43514" xr:uid="{00000000-0005-0000-0000-0000F8A90000}"/>
    <cellStyle name="Output 3 3 22 2 2" xfId="43515" xr:uid="{00000000-0005-0000-0000-0000F9A90000}"/>
    <cellStyle name="Output 3 3 22 2 3" xfId="43516" xr:uid="{00000000-0005-0000-0000-0000FAA90000}"/>
    <cellStyle name="Output 3 3 22 2 4" xfId="43517" xr:uid="{00000000-0005-0000-0000-0000FBA90000}"/>
    <cellStyle name="Output 3 3 22 2 5" xfId="43518" xr:uid="{00000000-0005-0000-0000-0000FCA90000}"/>
    <cellStyle name="Output 3 3 22 3" xfId="43519" xr:uid="{00000000-0005-0000-0000-0000FDA90000}"/>
    <cellStyle name="Output 3 3 22 4" xfId="43520" xr:uid="{00000000-0005-0000-0000-0000FEA90000}"/>
    <cellStyle name="Output 3 3 22 5" xfId="43521" xr:uid="{00000000-0005-0000-0000-0000FFA90000}"/>
    <cellStyle name="Output 3 3 22 6" xfId="43522" xr:uid="{00000000-0005-0000-0000-000000AA0000}"/>
    <cellStyle name="Output 3 3 23" xfId="43523" xr:uid="{00000000-0005-0000-0000-000001AA0000}"/>
    <cellStyle name="Output 3 3 23 2" xfId="43524" xr:uid="{00000000-0005-0000-0000-000002AA0000}"/>
    <cellStyle name="Output 3 3 23 2 2" xfId="43525" xr:uid="{00000000-0005-0000-0000-000003AA0000}"/>
    <cellStyle name="Output 3 3 23 2 3" xfId="43526" xr:uid="{00000000-0005-0000-0000-000004AA0000}"/>
    <cellStyle name="Output 3 3 23 2 4" xfId="43527" xr:uid="{00000000-0005-0000-0000-000005AA0000}"/>
    <cellStyle name="Output 3 3 23 2 5" xfId="43528" xr:uid="{00000000-0005-0000-0000-000006AA0000}"/>
    <cellStyle name="Output 3 3 23 3" xfId="43529" xr:uid="{00000000-0005-0000-0000-000007AA0000}"/>
    <cellStyle name="Output 3 3 23 4" xfId="43530" xr:uid="{00000000-0005-0000-0000-000008AA0000}"/>
    <cellStyle name="Output 3 3 23 5" xfId="43531" xr:uid="{00000000-0005-0000-0000-000009AA0000}"/>
    <cellStyle name="Output 3 3 23 6" xfId="43532" xr:uid="{00000000-0005-0000-0000-00000AAA0000}"/>
    <cellStyle name="Output 3 3 24" xfId="43533" xr:uid="{00000000-0005-0000-0000-00000BAA0000}"/>
    <cellStyle name="Output 3 3 24 2" xfId="43534" xr:uid="{00000000-0005-0000-0000-00000CAA0000}"/>
    <cellStyle name="Output 3 3 24 2 2" xfId="43535" xr:uid="{00000000-0005-0000-0000-00000DAA0000}"/>
    <cellStyle name="Output 3 3 24 2 3" xfId="43536" xr:uid="{00000000-0005-0000-0000-00000EAA0000}"/>
    <cellStyle name="Output 3 3 24 2 4" xfId="43537" xr:uid="{00000000-0005-0000-0000-00000FAA0000}"/>
    <cellStyle name="Output 3 3 24 2 5" xfId="43538" xr:uid="{00000000-0005-0000-0000-000010AA0000}"/>
    <cellStyle name="Output 3 3 24 3" xfId="43539" xr:uid="{00000000-0005-0000-0000-000011AA0000}"/>
    <cellStyle name="Output 3 3 24 4" xfId="43540" xr:uid="{00000000-0005-0000-0000-000012AA0000}"/>
    <cellStyle name="Output 3 3 24 5" xfId="43541" xr:uid="{00000000-0005-0000-0000-000013AA0000}"/>
    <cellStyle name="Output 3 3 24 6" xfId="43542" xr:uid="{00000000-0005-0000-0000-000014AA0000}"/>
    <cellStyle name="Output 3 3 25" xfId="43543" xr:uid="{00000000-0005-0000-0000-000015AA0000}"/>
    <cellStyle name="Output 3 3 25 2" xfId="43544" xr:uid="{00000000-0005-0000-0000-000016AA0000}"/>
    <cellStyle name="Output 3 3 25 2 2" xfId="43545" xr:uid="{00000000-0005-0000-0000-000017AA0000}"/>
    <cellStyle name="Output 3 3 25 2 3" xfId="43546" xr:uid="{00000000-0005-0000-0000-000018AA0000}"/>
    <cellStyle name="Output 3 3 25 2 4" xfId="43547" xr:uid="{00000000-0005-0000-0000-000019AA0000}"/>
    <cellStyle name="Output 3 3 25 2 5" xfId="43548" xr:uid="{00000000-0005-0000-0000-00001AAA0000}"/>
    <cellStyle name="Output 3 3 25 3" xfId="43549" xr:uid="{00000000-0005-0000-0000-00001BAA0000}"/>
    <cellStyle name="Output 3 3 25 4" xfId="43550" xr:uid="{00000000-0005-0000-0000-00001CAA0000}"/>
    <cellStyle name="Output 3 3 25 5" xfId="43551" xr:uid="{00000000-0005-0000-0000-00001DAA0000}"/>
    <cellStyle name="Output 3 3 25 6" xfId="43552" xr:uid="{00000000-0005-0000-0000-00001EAA0000}"/>
    <cellStyle name="Output 3 3 26" xfId="43553" xr:uid="{00000000-0005-0000-0000-00001FAA0000}"/>
    <cellStyle name="Output 3 3 26 2" xfId="43554" xr:uid="{00000000-0005-0000-0000-000020AA0000}"/>
    <cellStyle name="Output 3 3 26 2 2" xfId="43555" xr:uid="{00000000-0005-0000-0000-000021AA0000}"/>
    <cellStyle name="Output 3 3 26 2 3" xfId="43556" xr:uid="{00000000-0005-0000-0000-000022AA0000}"/>
    <cellStyle name="Output 3 3 26 2 4" xfId="43557" xr:uid="{00000000-0005-0000-0000-000023AA0000}"/>
    <cellStyle name="Output 3 3 26 2 5" xfId="43558" xr:uid="{00000000-0005-0000-0000-000024AA0000}"/>
    <cellStyle name="Output 3 3 26 3" xfId="43559" xr:uid="{00000000-0005-0000-0000-000025AA0000}"/>
    <cellStyle name="Output 3 3 26 4" xfId="43560" xr:uid="{00000000-0005-0000-0000-000026AA0000}"/>
    <cellStyle name="Output 3 3 26 5" xfId="43561" xr:uid="{00000000-0005-0000-0000-000027AA0000}"/>
    <cellStyle name="Output 3 3 26 6" xfId="43562" xr:uid="{00000000-0005-0000-0000-000028AA0000}"/>
    <cellStyle name="Output 3 3 27" xfId="43563" xr:uid="{00000000-0005-0000-0000-000029AA0000}"/>
    <cellStyle name="Output 3 3 27 2" xfId="43564" xr:uid="{00000000-0005-0000-0000-00002AAA0000}"/>
    <cellStyle name="Output 3 3 27 2 2" xfId="43565" xr:uid="{00000000-0005-0000-0000-00002BAA0000}"/>
    <cellStyle name="Output 3 3 27 2 3" xfId="43566" xr:uid="{00000000-0005-0000-0000-00002CAA0000}"/>
    <cellStyle name="Output 3 3 27 2 4" xfId="43567" xr:uid="{00000000-0005-0000-0000-00002DAA0000}"/>
    <cellStyle name="Output 3 3 27 2 5" xfId="43568" xr:uid="{00000000-0005-0000-0000-00002EAA0000}"/>
    <cellStyle name="Output 3 3 27 3" xfId="43569" xr:uid="{00000000-0005-0000-0000-00002FAA0000}"/>
    <cellStyle name="Output 3 3 27 4" xfId="43570" xr:uid="{00000000-0005-0000-0000-000030AA0000}"/>
    <cellStyle name="Output 3 3 27 5" xfId="43571" xr:uid="{00000000-0005-0000-0000-000031AA0000}"/>
    <cellStyle name="Output 3 3 27 6" xfId="43572" xr:uid="{00000000-0005-0000-0000-000032AA0000}"/>
    <cellStyle name="Output 3 3 28" xfId="43573" xr:uid="{00000000-0005-0000-0000-000033AA0000}"/>
    <cellStyle name="Output 3 3 28 2" xfId="43574" xr:uid="{00000000-0005-0000-0000-000034AA0000}"/>
    <cellStyle name="Output 3 3 28 2 2" xfId="43575" xr:uid="{00000000-0005-0000-0000-000035AA0000}"/>
    <cellStyle name="Output 3 3 28 2 3" xfId="43576" xr:uid="{00000000-0005-0000-0000-000036AA0000}"/>
    <cellStyle name="Output 3 3 28 2 4" xfId="43577" xr:uid="{00000000-0005-0000-0000-000037AA0000}"/>
    <cellStyle name="Output 3 3 28 2 5" xfId="43578" xr:uid="{00000000-0005-0000-0000-000038AA0000}"/>
    <cellStyle name="Output 3 3 28 3" xfId="43579" xr:uid="{00000000-0005-0000-0000-000039AA0000}"/>
    <cellStyle name="Output 3 3 28 4" xfId="43580" xr:uid="{00000000-0005-0000-0000-00003AAA0000}"/>
    <cellStyle name="Output 3 3 28 5" xfId="43581" xr:uid="{00000000-0005-0000-0000-00003BAA0000}"/>
    <cellStyle name="Output 3 3 28 6" xfId="43582" xr:uid="{00000000-0005-0000-0000-00003CAA0000}"/>
    <cellStyle name="Output 3 3 29" xfId="43583" xr:uid="{00000000-0005-0000-0000-00003DAA0000}"/>
    <cellStyle name="Output 3 3 29 2" xfId="43584" xr:uid="{00000000-0005-0000-0000-00003EAA0000}"/>
    <cellStyle name="Output 3 3 29 2 2" xfId="43585" xr:uid="{00000000-0005-0000-0000-00003FAA0000}"/>
    <cellStyle name="Output 3 3 29 2 3" xfId="43586" xr:uid="{00000000-0005-0000-0000-000040AA0000}"/>
    <cellStyle name="Output 3 3 29 2 4" xfId="43587" xr:uid="{00000000-0005-0000-0000-000041AA0000}"/>
    <cellStyle name="Output 3 3 29 2 5" xfId="43588" xr:uid="{00000000-0005-0000-0000-000042AA0000}"/>
    <cellStyle name="Output 3 3 29 3" xfId="43589" xr:uid="{00000000-0005-0000-0000-000043AA0000}"/>
    <cellStyle name="Output 3 3 29 4" xfId="43590" xr:uid="{00000000-0005-0000-0000-000044AA0000}"/>
    <cellStyle name="Output 3 3 29 5" xfId="43591" xr:uid="{00000000-0005-0000-0000-000045AA0000}"/>
    <cellStyle name="Output 3 3 29 6" xfId="43592" xr:uid="{00000000-0005-0000-0000-000046AA0000}"/>
    <cellStyle name="Output 3 3 3" xfId="43593" xr:uid="{00000000-0005-0000-0000-000047AA0000}"/>
    <cellStyle name="Output 3 3 3 2" xfId="43594" xr:uid="{00000000-0005-0000-0000-000048AA0000}"/>
    <cellStyle name="Output 3 3 3 2 2" xfId="43595" xr:uid="{00000000-0005-0000-0000-000049AA0000}"/>
    <cellStyle name="Output 3 3 3 2 3" xfId="43596" xr:uid="{00000000-0005-0000-0000-00004AAA0000}"/>
    <cellStyle name="Output 3 3 3 2 4" xfId="43597" xr:uid="{00000000-0005-0000-0000-00004BAA0000}"/>
    <cellStyle name="Output 3 3 3 2 5" xfId="43598" xr:uid="{00000000-0005-0000-0000-00004CAA0000}"/>
    <cellStyle name="Output 3 3 3 3" xfId="43599" xr:uid="{00000000-0005-0000-0000-00004DAA0000}"/>
    <cellStyle name="Output 3 3 3 4" xfId="43600" xr:uid="{00000000-0005-0000-0000-00004EAA0000}"/>
    <cellStyle name="Output 3 3 3 5" xfId="43601" xr:uid="{00000000-0005-0000-0000-00004FAA0000}"/>
    <cellStyle name="Output 3 3 3 6" xfId="43602" xr:uid="{00000000-0005-0000-0000-000050AA0000}"/>
    <cellStyle name="Output 3 3 30" xfId="43603" xr:uid="{00000000-0005-0000-0000-000051AA0000}"/>
    <cellStyle name="Output 3 3 30 2" xfId="43604" xr:uid="{00000000-0005-0000-0000-000052AA0000}"/>
    <cellStyle name="Output 3 3 30 2 2" xfId="43605" xr:uid="{00000000-0005-0000-0000-000053AA0000}"/>
    <cellStyle name="Output 3 3 30 2 3" xfId="43606" xr:uid="{00000000-0005-0000-0000-000054AA0000}"/>
    <cellStyle name="Output 3 3 30 2 4" xfId="43607" xr:uid="{00000000-0005-0000-0000-000055AA0000}"/>
    <cellStyle name="Output 3 3 30 2 5" xfId="43608" xr:uid="{00000000-0005-0000-0000-000056AA0000}"/>
    <cellStyle name="Output 3 3 30 3" xfId="43609" xr:uid="{00000000-0005-0000-0000-000057AA0000}"/>
    <cellStyle name="Output 3 3 30 4" xfId="43610" xr:uid="{00000000-0005-0000-0000-000058AA0000}"/>
    <cellStyle name="Output 3 3 30 5" xfId="43611" xr:uid="{00000000-0005-0000-0000-000059AA0000}"/>
    <cellStyle name="Output 3 3 30 6" xfId="43612" xr:uid="{00000000-0005-0000-0000-00005AAA0000}"/>
    <cellStyle name="Output 3 3 31" xfId="43613" xr:uid="{00000000-0005-0000-0000-00005BAA0000}"/>
    <cellStyle name="Output 3 3 31 2" xfId="43614" xr:uid="{00000000-0005-0000-0000-00005CAA0000}"/>
    <cellStyle name="Output 3 3 31 2 2" xfId="43615" xr:uid="{00000000-0005-0000-0000-00005DAA0000}"/>
    <cellStyle name="Output 3 3 31 2 3" xfId="43616" xr:uid="{00000000-0005-0000-0000-00005EAA0000}"/>
    <cellStyle name="Output 3 3 31 2 4" xfId="43617" xr:uid="{00000000-0005-0000-0000-00005FAA0000}"/>
    <cellStyle name="Output 3 3 31 2 5" xfId="43618" xr:uid="{00000000-0005-0000-0000-000060AA0000}"/>
    <cellStyle name="Output 3 3 31 3" xfId="43619" xr:uid="{00000000-0005-0000-0000-000061AA0000}"/>
    <cellStyle name="Output 3 3 31 4" xfId="43620" xr:uid="{00000000-0005-0000-0000-000062AA0000}"/>
    <cellStyle name="Output 3 3 31 5" xfId="43621" xr:uid="{00000000-0005-0000-0000-000063AA0000}"/>
    <cellStyle name="Output 3 3 31 6" xfId="43622" xr:uid="{00000000-0005-0000-0000-000064AA0000}"/>
    <cellStyle name="Output 3 3 32" xfId="43623" xr:uid="{00000000-0005-0000-0000-000065AA0000}"/>
    <cellStyle name="Output 3 3 32 2" xfId="43624" xr:uid="{00000000-0005-0000-0000-000066AA0000}"/>
    <cellStyle name="Output 3 3 32 2 2" xfId="43625" xr:uid="{00000000-0005-0000-0000-000067AA0000}"/>
    <cellStyle name="Output 3 3 32 2 3" xfId="43626" xr:uid="{00000000-0005-0000-0000-000068AA0000}"/>
    <cellStyle name="Output 3 3 32 2 4" xfId="43627" xr:uid="{00000000-0005-0000-0000-000069AA0000}"/>
    <cellStyle name="Output 3 3 32 2 5" xfId="43628" xr:uid="{00000000-0005-0000-0000-00006AAA0000}"/>
    <cellStyle name="Output 3 3 32 3" xfId="43629" xr:uid="{00000000-0005-0000-0000-00006BAA0000}"/>
    <cellStyle name="Output 3 3 32 4" xfId="43630" xr:uid="{00000000-0005-0000-0000-00006CAA0000}"/>
    <cellStyle name="Output 3 3 32 5" xfId="43631" xr:uid="{00000000-0005-0000-0000-00006DAA0000}"/>
    <cellStyle name="Output 3 3 32 6" xfId="43632" xr:uid="{00000000-0005-0000-0000-00006EAA0000}"/>
    <cellStyle name="Output 3 3 33" xfId="43633" xr:uid="{00000000-0005-0000-0000-00006FAA0000}"/>
    <cellStyle name="Output 3 3 33 2" xfId="43634" xr:uid="{00000000-0005-0000-0000-000070AA0000}"/>
    <cellStyle name="Output 3 3 33 2 2" xfId="43635" xr:uid="{00000000-0005-0000-0000-000071AA0000}"/>
    <cellStyle name="Output 3 3 33 2 3" xfId="43636" xr:uid="{00000000-0005-0000-0000-000072AA0000}"/>
    <cellStyle name="Output 3 3 33 2 4" xfId="43637" xr:uid="{00000000-0005-0000-0000-000073AA0000}"/>
    <cellStyle name="Output 3 3 33 2 5" xfId="43638" xr:uid="{00000000-0005-0000-0000-000074AA0000}"/>
    <cellStyle name="Output 3 3 33 3" xfId="43639" xr:uid="{00000000-0005-0000-0000-000075AA0000}"/>
    <cellStyle name="Output 3 3 33 4" xfId="43640" xr:uid="{00000000-0005-0000-0000-000076AA0000}"/>
    <cellStyle name="Output 3 3 33 5" xfId="43641" xr:uid="{00000000-0005-0000-0000-000077AA0000}"/>
    <cellStyle name="Output 3 3 33 6" xfId="43642" xr:uid="{00000000-0005-0000-0000-000078AA0000}"/>
    <cellStyle name="Output 3 3 34" xfId="43643" xr:uid="{00000000-0005-0000-0000-000079AA0000}"/>
    <cellStyle name="Output 3 3 34 2" xfId="43644" xr:uid="{00000000-0005-0000-0000-00007AAA0000}"/>
    <cellStyle name="Output 3 3 34 2 2" xfId="43645" xr:uid="{00000000-0005-0000-0000-00007BAA0000}"/>
    <cellStyle name="Output 3 3 34 2 3" xfId="43646" xr:uid="{00000000-0005-0000-0000-00007CAA0000}"/>
    <cellStyle name="Output 3 3 34 2 4" xfId="43647" xr:uid="{00000000-0005-0000-0000-00007DAA0000}"/>
    <cellStyle name="Output 3 3 34 2 5" xfId="43648" xr:uid="{00000000-0005-0000-0000-00007EAA0000}"/>
    <cellStyle name="Output 3 3 34 3" xfId="43649" xr:uid="{00000000-0005-0000-0000-00007FAA0000}"/>
    <cellStyle name="Output 3 3 34 4" xfId="43650" xr:uid="{00000000-0005-0000-0000-000080AA0000}"/>
    <cellStyle name="Output 3 3 34 5" xfId="43651" xr:uid="{00000000-0005-0000-0000-000081AA0000}"/>
    <cellStyle name="Output 3 3 34 6" xfId="43652" xr:uid="{00000000-0005-0000-0000-000082AA0000}"/>
    <cellStyle name="Output 3 3 35" xfId="43653" xr:uid="{00000000-0005-0000-0000-000083AA0000}"/>
    <cellStyle name="Output 3 3 35 2" xfId="43654" xr:uid="{00000000-0005-0000-0000-000084AA0000}"/>
    <cellStyle name="Output 3 3 35 2 2" xfId="43655" xr:uid="{00000000-0005-0000-0000-000085AA0000}"/>
    <cellStyle name="Output 3 3 35 2 3" xfId="43656" xr:uid="{00000000-0005-0000-0000-000086AA0000}"/>
    <cellStyle name="Output 3 3 35 2 4" xfId="43657" xr:uid="{00000000-0005-0000-0000-000087AA0000}"/>
    <cellStyle name="Output 3 3 35 2 5" xfId="43658" xr:uid="{00000000-0005-0000-0000-000088AA0000}"/>
    <cellStyle name="Output 3 3 35 3" xfId="43659" xr:uid="{00000000-0005-0000-0000-000089AA0000}"/>
    <cellStyle name="Output 3 3 35 4" xfId="43660" xr:uid="{00000000-0005-0000-0000-00008AAA0000}"/>
    <cellStyle name="Output 3 3 35 5" xfId="43661" xr:uid="{00000000-0005-0000-0000-00008BAA0000}"/>
    <cellStyle name="Output 3 3 35 6" xfId="43662" xr:uid="{00000000-0005-0000-0000-00008CAA0000}"/>
    <cellStyle name="Output 3 3 36" xfId="43663" xr:uid="{00000000-0005-0000-0000-00008DAA0000}"/>
    <cellStyle name="Output 3 3 36 2" xfId="43664" xr:uid="{00000000-0005-0000-0000-00008EAA0000}"/>
    <cellStyle name="Output 3 3 36 2 2" xfId="43665" xr:uid="{00000000-0005-0000-0000-00008FAA0000}"/>
    <cellStyle name="Output 3 3 36 2 3" xfId="43666" xr:uid="{00000000-0005-0000-0000-000090AA0000}"/>
    <cellStyle name="Output 3 3 36 2 4" xfId="43667" xr:uid="{00000000-0005-0000-0000-000091AA0000}"/>
    <cellStyle name="Output 3 3 36 2 5" xfId="43668" xr:uid="{00000000-0005-0000-0000-000092AA0000}"/>
    <cellStyle name="Output 3 3 36 3" xfId="43669" xr:uid="{00000000-0005-0000-0000-000093AA0000}"/>
    <cellStyle name="Output 3 3 36 4" xfId="43670" xr:uid="{00000000-0005-0000-0000-000094AA0000}"/>
    <cellStyle name="Output 3 3 36 5" xfId="43671" xr:uid="{00000000-0005-0000-0000-000095AA0000}"/>
    <cellStyle name="Output 3 3 36 6" xfId="43672" xr:uid="{00000000-0005-0000-0000-000096AA0000}"/>
    <cellStyle name="Output 3 3 37" xfId="43673" xr:uid="{00000000-0005-0000-0000-000097AA0000}"/>
    <cellStyle name="Output 3 3 37 2" xfId="43674" xr:uid="{00000000-0005-0000-0000-000098AA0000}"/>
    <cellStyle name="Output 3 3 37 2 2" xfId="43675" xr:uid="{00000000-0005-0000-0000-000099AA0000}"/>
    <cellStyle name="Output 3 3 37 2 3" xfId="43676" xr:uid="{00000000-0005-0000-0000-00009AAA0000}"/>
    <cellStyle name="Output 3 3 37 2 4" xfId="43677" xr:uid="{00000000-0005-0000-0000-00009BAA0000}"/>
    <cellStyle name="Output 3 3 37 2 5" xfId="43678" xr:uid="{00000000-0005-0000-0000-00009CAA0000}"/>
    <cellStyle name="Output 3 3 37 3" xfId="43679" xr:uid="{00000000-0005-0000-0000-00009DAA0000}"/>
    <cellStyle name="Output 3 3 37 4" xfId="43680" xr:uid="{00000000-0005-0000-0000-00009EAA0000}"/>
    <cellStyle name="Output 3 3 37 5" xfId="43681" xr:uid="{00000000-0005-0000-0000-00009FAA0000}"/>
    <cellStyle name="Output 3 3 37 6" xfId="43682" xr:uid="{00000000-0005-0000-0000-0000A0AA0000}"/>
    <cellStyle name="Output 3 3 38" xfId="43683" xr:uid="{00000000-0005-0000-0000-0000A1AA0000}"/>
    <cellStyle name="Output 3 3 38 2" xfId="43684" xr:uid="{00000000-0005-0000-0000-0000A2AA0000}"/>
    <cellStyle name="Output 3 3 38 2 2" xfId="43685" xr:uid="{00000000-0005-0000-0000-0000A3AA0000}"/>
    <cellStyle name="Output 3 3 38 2 3" xfId="43686" xr:uid="{00000000-0005-0000-0000-0000A4AA0000}"/>
    <cellStyle name="Output 3 3 38 2 4" xfId="43687" xr:uid="{00000000-0005-0000-0000-0000A5AA0000}"/>
    <cellStyle name="Output 3 3 38 2 5" xfId="43688" xr:uid="{00000000-0005-0000-0000-0000A6AA0000}"/>
    <cellStyle name="Output 3 3 38 3" xfId="43689" xr:uid="{00000000-0005-0000-0000-0000A7AA0000}"/>
    <cellStyle name="Output 3 3 38 4" xfId="43690" xr:uid="{00000000-0005-0000-0000-0000A8AA0000}"/>
    <cellStyle name="Output 3 3 38 5" xfId="43691" xr:uid="{00000000-0005-0000-0000-0000A9AA0000}"/>
    <cellStyle name="Output 3 3 38 6" xfId="43692" xr:uid="{00000000-0005-0000-0000-0000AAAA0000}"/>
    <cellStyle name="Output 3 3 39" xfId="43693" xr:uid="{00000000-0005-0000-0000-0000ABAA0000}"/>
    <cellStyle name="Output 3 3 39 2" xfId="43694" xr:uid="{00000000-0005-0000-0000-0000ACAA0000}"/>
    <cellStyle name="Output 3 3 39 2 2" xfId="43695" xr:uid="{00000000-0005-0000-0000-0000ADAA0000}"/>
    <cellStyle name="Output 3 3 39 2 3" xfId="43696" xr:uid="{00000000-0005-0000-0000-0000AEAA0000}"/>
    <cellStyle name="Output 3 3 39 2 4" xfId="43697" xr:uid="{00000000-0005-0000-0000-0000AFAA0000}"/>
    <cellStyle name="Output 3 3 39 2 5" xfId="43698" xr:uid="{00000000-0005-0000-0000-0000B0AA0000}"/>
    <cellStyle name="Output 3 3 39 3" xfId="43699" xr:uid="{00000000-0005-0000-0000-0000B1AA0000}"/>
    <cellStyle name="Output 3 3 39 4" xfId="43700" xr:uid="{00000000-0005-0000-0000-0000B2AA0000}"/>
    <cellStyle name="Output 3 3 39 5" xfId="43701" xr:uid="{00000000-0005-0000-0000-0000B3AA0000}"/>
    <cellStyle name="Output 3 3 39 6" xfId="43702" xr:uid="{00000000-0005-0000-0000-0000B4AA0000}"/>
    <cellStyle name="Output 3 3 4" xfId="43703" xr:uid="{00000000-0005-0000-0000-0000B5AA0000}"/>
    <cellStyle name="Output 3 3 4 2" xfId="43704" xr:uid="{00000000-0005-0000-0000-0000B6AA0000}"/>
    <cellStyle name="Output 3 3 4 2 2" xfId="43705" xr:uid="{00000000-0005-0000-0000-0000B7AA0000}"/>
    <cellStyle name="Output 3 3 4 2 3" xfId="43706" xr:uid="{00000000-0005-0000-0000-0000B8AA0000}"/>
    <cellStyle name="Output 3 3 4 2 4" xfId="43707" xr:uid="{00000000-0005-0000-0000-0000B9AA0000}"/>
    <cellStyle name="Output 3 3 4 2 5" xfId="43708" xr:uid="{00000000-0005-0000-0000-0000BAAA0000}"/>
    <cellStyle name="Output 3 3 4 3" xfId="43709" xr:uid="{00000000-0005-0000-0000-0000BBAA0000}"/>
    <cellStyle name="Output 3 3 4 4" xfId="43710" xr:uid="{00000000-0005-0000-0000-0000BCAA0000}"/>
    <cellStyle name="Output 3 3 4 5" xfId="43711" xr:uid="{00000000-0005-0000-0000-0000BDAA0000}"/>
    <cellStyle name="Output 3 3 4 6" xfId="43712" xr:uid="{00000000-0005-0000-0000-0000BEAA0000}"/>
    <cellStyle name="Output 3 3 40" xfId="43713" xr:uid="{00000000-0005-0000-0000-0000BFAA0000}"/>
    <cellStyle name="Output 3 3 40 2" xfId="43714" xr:uid="{00000000-0005-0000-0000-0000C0AA0000}"/>
    <cellStyle name="Output 3 3 40 2 2" xfId="43715" xr:uid="{00000000-0005-0000-0000-0000C1AA0000}"/>
    <cellStyle name="Output 3 3 40 2 3" xfId="43716" xr:uid="{00000000-0005-0000-0000-0000C2AA0000}"/>
    <cellStyle name="Output 3 3 40 2 4" xfId="43717" xr:uid="{00000000-0005-0000-0000-0000C3AA0000}"/>
    <cellStyle name="Output 3 3 40 2 5" xfId="43718" xr:uid="{00000000-0005-0000-0000-0000C4AA0000}"/>
    <cellStyle name="Output 3 3 40 3" xfId="43719" xr:uid="{00000000-0005-0000-0000-0000C5AA0000}"/>
    <cellStyle name="Output 3 3 40 4" xfId="43720" xr:uid="{00000000-0005-0000-0000-0000C6AA0000}"/>
    <cellStyle name="Output 3 3 40 5" xfId="43721" xr:uid="{00000000-0005-0000-0000-0000C7AA0000}"/>
    <cellStyle name="Output 3 3 40 6" xfId="43722" xr:uid="{00000000-0005-0000-0000-0000C8AA0000}"/>
    <cellStyle name="Output 3 3 41" xfId="43723" xr:uid="{00000000-0005-0000-0000-0000C9AA0000}"/>
    <cellStyle name="Output 3 3 41 2" xfId="43724" xr:uid="{00000000-0005-0000-0000-0000CAAA0000}"/>
    <cellStyle name="Output 3 3 41 2 2" xfId="43725" xr:uid="{00000000-0005-0000-0000-0000CBAA0000}"/>
    <cellStyle name="Output 3 3 41 2 3" xfId="43726" xr:uid="{00000000-0005-0000-0000-0000CCAA0000}"/>
    <cellStyle name="Output 3 3 41 2 4" xfId="43727" xr:uid="{00000000-0005-0000-0000-0000CDAA0000}"/>
    <cellStyle name="Output 3 3 41 2 5" xfId="43728" xr:uid="{00000000-0005-0000-0000-0000CEAA0000}"/>
    <cellStyle name="Output 3 3 41 3" xfId="43729" xr:uid="{00000000-0005-0000-0000-0000CFAA0000}"/>
    <cellStyle name="Output 3 3 41 4" xfId="43730" xr:uid="{00000000-0005-0000-0000-0000D0AA0000}"/>
    <cellStyle name="Output 3 3 41 5" xfId="43731" xr:uid="{00000000-0005-0000-0000-0000D1AA0000}"/>
    <cellStyle name="Output 3 3 41 6" xfId="43732" xr:uid="{00000000-0005-0000-0000-0000D2AA0000}"/>
    <cellStyle name="Output 3 3 42" xfId="43733" xr:uid="{00000000-0005-0000-0000-0000D3AA0000}"/>
    <cellStyle name="Output 3 3 42 2" xfId="43734" xr:uid="{00000000-0005-0000-0000-0000D4AA0000}"/>
    <cellStyle name="Output 3 3 42 3" xfId="43735" xr:uid="{00000000-0005-0000-0000-0000D5AA0000}"/>
    <cellStyle name="Output 3 3 42 4" xfId="43736" xr:uid="{00000000-0005-0000-0000-0000D6AA0000}"/>
    <cellStyle name="Output 3 3 42 5" xfId="43737" xr:uid="{00000000-0005-0000-0000-0000D7AA0000}"/>
    <cellStyle name="Output 3 3 43" xfId="43738" xr:uid="{00000000-0005-0000-0000-0000D8AA0000}"/>
    <cellStyle name="Output 3 3 43 2" xfId="43739" xr:uid="{00000000-0005-0000-0000-0000D9AA0000}"/>
    <cellStyle name="Output 3 3 43 3" xfId="43740" xr:uid="{00000000-0005-0000-0000-0000DAAA0000}"/>
    <cellStyle name="Output 3 3 43 4" xfId="43741" xr:uid="{00000000-0005-0000-0000-0000DBAA0000}"/>
    <cellStyle name="Output 3 3 43 5" xfId="43742" xr:uid="{00000000-0005-0000-0000-0000DCAA0000}"/>
    <cellStyle name="Output 3 3 44" xfId="43743" xr:uid="{00000000-0005-0000-0000-0000DDAA0000}"/>
    <cellStyle name="Output 3 3 45" xfId="43744" xr:uid="{00000000-0005-0000-0000-0000DEAA0000}"/>
    <cellStyle name="Output 3 3 46" xfId="43745" xr:uid="{00000000-0005-0000-0000-0000DFAA0000}"/>
    <cellStyle name="Output 3 3 47" xfId="43746" xr:uid="{00000000-0005-0000-0000-0000E0AA0000}"/>
    <cellStyle name="Output 3 3 48" xfId="43747" xr:uid="{00000000-0005-0000-0000-0000E1AA0000}"/>
    <cellStyle name="Output 3 3 5" xfId="43748" xr:uid="{00000000-0005-0000-0000-0000E2AA0000}"/>
    <cellStyle name="Output 3 3 5 2" xfId="43749" xr:uid="{00000000-0005-0000-0000-0000E3AA0000}"/>
    <cellStyle name="Output 3 3 5 2 2" xfId="43750" xr:uid="{00000000-0005-0000-0000-0000E4AA0000}"/>
    <cellStyle name="Output 3 3 5 2 3" xfId="43751" xr:uid="{00000000-0005-0000-0000-0000E5AA0000}"/>
    <cellStyle name="Output 3 3 5 2 4" xfId="43752" xr:uid="{00000000-0005-0000-0000-0000E6AA0000}"/>
    <cellStyle name="Output 3 3 5 2 5" xfId="43753" xr:uid="{00000000-0005-0000-0000-0000E7AA0000}"/>
    <cellStyle name="Output 3 3 5 3" xfId="43754" xr:uid="{00000000-0005-0000-0000-0000E8AA0000}"/>
    <cellStyle name="Output 3 3 5 4" xfId="43755" xr:uid="{00000000-0005-0000-0000-0000E9AA0000}"/>
    <cellStyle name="Output 3 3 5 5" xfId="43756" xr:uid="{00000000-0005-0000-0000-0000EAAA0000}"/>
    <cellStyle name="Output 3 3 5 6" xfId="43757" xr:uid="{00000000-0005-0000-0000-0000EBAA0000}"/>
    <cellStyle name="Output 3 3 6" xfId="43758" xr:uid="{00000000-0005-0000-0000-0000ECAA0000}"/>
    <cellStyle name="Output 3 3 6 2" xfId="43759" xr:uid="{00000000-0005-0000-0000-0000EDAA0000}"/>
    <cellStyle name="Output 3 3 6 2 2" xfId="43760" xr:uid="{00000000-0005-0000-0000-0000EEAA0000}"/>
    <cellStyle name="Output 3 3 6 2 3" xfId="43761" xr:uid="{00000000-0005-0000-0000-0000EFAA0000}"/>
    <cellStyle name="Output 3 3 6 2 4" xfId="43762" xr:uid="{00000000-0005-0000-0000-0000F0AA0000}"/>
    <cellStyle name="Output 3 3 6 2 5" xfId="43763" xr:uid="{00000000-0005-0000-0000-0000F1AA0000}"/>
    <cellStyle name="Output 3 3 6 3" xfId="43764" xr:uid="{00000000-0005-0000-0000-0000F2AA0000}"/>
    <cellStyle name="Output 3 3 6 4" xfId="43765" xr:uid="{00000000-0005-0000-0000-0000F3AA0000}"/>
    <cellStyle name="Output 3 3 6 5" xfId="43766" xr:uid="{00000000-0005-0000-0000-0000F4AA0000}"/>
    <cellStyle name="Output 3 3 6 6" xfId="43767" xr:uid="{00000000-0005-0000-0000-0000F5AA0000}"/>
    <cellStyle name="Output 3 3 7" xfId="43768" xr:uid="{00000000-0005-0000-0000-0000F6AA0000}"/>
    <cellStyle name="Output 3 3 7 2" xfId="43769" xr:uid="{00000000-0005-0000-0000-0000F7AA0000}"/>
    <cellStyle name="Output 3 3 7 2 2" xfId="43770" xr:uid="{00000000-0005-0000-0000-0000F8AA0000}"/>
    <cellStyle name="Output 3 3 7 2 3" xfId="43771" xr:uid="{00000000-0005-0000-0000-0000F9AA0000}"/>
    <cellStyle name="Output 3 3 7 2 4" xfId="43772" xr:uid="{00000000-0005-0000-0000-0000FAAA0000}"/>
    <cellStyle name="Output 3 3 7 2 5" xfId="43773" xr:uid="{00000000-0005-0000-0000-0000FBAA0000}"/>
    <cellStyle name="Output 3 3 7 3" xfId="43774" xr:uid="{00000000-0005-0000-0000-0000FCAA0000}"/>
    <cellStyle name="Output 3 3 7 4" xfId="43775" xr:uid="{00000000-0005-0000-0000-0000FDAA0000}"/>
    <cellStyle name="Output 3 3 7 5" xfId="43776" xr:uid="{00000000-0005-0000-0000-0000FEAA0000}"/>
    <cellStyle name="Output 3 3 7 6" xfId="43777" xr:uid="{00000000-0005-0000-0000-0000FFAA0000}"/>
    <cellStyle name="Output 3 3 8" xfId="43778" xr:uid="{00000000-0005-0000-0000-000000AB0000}"/>
    <cellStyle name="Output 3 3 8 2" xfId="43779" xr:uid="{00000000-0005-0000-0000-000001AB0000}"/>
    <cellStyle name="Output 3 3 8 2 2" xfId="43780" xr:uid="{00000000-0005-0000-0000-000002AB0000}"/>
    <cellStyle name="Output 3 3 8 2 3" xfId="43781" xr:uid="{00000000-0005-0000-0000-000003AB0000}"/>
    <cellStyle name="Output 3 3 8 2 4" xfId="43782" xr:uid="{00000000-0005-0000-0000-000004AB0000}"/>
    <cellStyle name="Output 3 3 8 2 5" xfId="43783" xr:uid="{00000000-0005-0000-0000-000005AB0000}"/>
    <cellStyle name="Output 3 3 8 3" xfId="43784" xr:uid="{00000000-0005-0000-0000-000006AB0000}"/>
    <cellStyle name="Output 3 3 8 4" xfId="43785" xr:uid="{00000000-0005-0000-0000-000007AB0000}"/>
    <cellStyle name="Output 3 3 8 5" xfId="43786" xr:uid="{00000000-0005-0000-0000-000008AB0000}"/>
    <cellStyle name="Output 3 3 8 6" xfId="43787" xr:uid="{00000000-0005-0000-0000-000009AB0000}"/>
    <cellStyle name="Output 3 3 9" xfId="43788" xr:uid="{00000000-0005-0000-0000-00000AAB0000}"/>
    <cellStyle name="Output 3 3 9 2" xfId="43789" xr:uid="{00000000-0005-0000-0000-00000BAB0000}"/>
    <cellStyle name="Output 3 3 9 2 2" xfId="43790" xr:uid="{00000000-0005-0000-0000-00000CAB0000}"/>
    <cellStyle name="Output 3 3 9 2 3" xfId="43791" xr:uid="{00000000-0005-0000-0000-00000DAB0000}"/>
    <cellStyle name="Output 3 3 9 2 4" xfId="43792" xr:uid="{00000000-0005-0000-0000-00000EAB0000}"/>
    <cellStyle name="Output 3 3 9 2 5" xfId="43793" xr:uid="{00000000-0005-0000-0000-00000FAB0000}"/>
    <cellStyle name="Output 3 3 9 3" xfId="43794" xr:uid="{00000000-0005-0000-0000-000010AB0000}"/>
    <cellStyle name="Output 3 3 9 4" xfId="43795" xr:uid="{00000000-0005-0000-0000-000011AB0000}"/>
    <cellStyle name="Output 3 3 9 5" xfId="43796" xr:uid="{00000000-0005-0000-0000-000012AB0000}"/>
    <cellStyle name="Output 3 3 9 6" xfId="43797" xr:uid="{00000000-0005-0000-0000-000013AB0000}"/>
    <cellStyle name="Output 3 30" xfId="43798" xr:uid="{00000000-0005-0000-0000-000014AB0000}"/>
    <cellStyle name="Output 3 30 2" xfId="43799" xr:uid="{00000000-0005-0000-0000-000015AB0000}"/>
    <cellStyle name="Output 3 30 2 2" xfId="43800" xr:uid="{00000000-0005-0000-0000-000016AB0000}"/>
    <cellStyle name="Output 3 30 2 3" xfId="43801" xr:uid="{00000000-0005-0000-0000-000017AB0000}"/>
    <cellStyle name="Output 3 30 2 4" xfId="43802" xr:uid="{00000000-0005-0000-0000-000018AB0000}"/>
    <cellStyle name="Output 3 30 2 5" xfId="43803" xr:uid="{00000000-0005-0000-0000-000019AB0000}"/>
    <cellStyle name="Output 3 30 3" xfId="43804" xr:uid="{00000000-0005-0000-0000-00001AAB0000}"/>
    <cellStyle name="Output 3 30 4" xfId="43805" xr:uid="{00000000-0005-0000-0000-00001BAB0000}"/>
    <cellStyle name="Output 3 30 5" xfId="43806" xr:uid="{00000000-0005-0000-0000-00001CAB0000}"/>
    <cellStyle name="Output 3 30 6" xfId="43807" xr:uid="{00000000-0005-0000-0000-00001DAB0000}"/>
    <cellStyle name="Output 3 31" xfId="43808" xr:uid="{00000000-0005-0000-0000-00001EAB0000}"/>
    <cellStyle name="Output 3 31 2" xfId="43809" xr:uid="{00000000-0005-0000-0000-00001FAB0000}"/>
    <cellStyle name="Output 3 31 2 2" xfId="43810" xr:uid="{00000000-0005-0000-0000-000020AB0000}"/>
    <cellStyle name="Output 3 31 2 3" xfId="43811" xr:uid="{00000000-0005-0000-0000-000021AB0000}"/>
    <cellStyle name="Output 3 31 2 4" xfId="43812" xr:uid="{00000000-0005-0000-0000-000022AB0000}"/>
    <cellStyle name="Output 3 31 2 5" xfId="43813" xr:uid="{00000000-0005-0000-0000-000023AB0000}"/>
    <cellStyle name="Output 3 31 3" xfId="43814" xr:uid="{00000000-0005-0000-0000-000024AB0000}"/>
    <cellStyle name="Output 3 31 4" xfId="43815" xr:uid="{00000000-0005-0000-0000-000025AB0000}"/>
    <cellStyle name="Output 3 31 5" xfId="43816" xr:uid="{00000000-0005-0000-0000-000026AB0000}"/>
    <cellStyle name="Output 3 31 6" xfId="43817" xr:uid="{00000000-0005-0000-0000-000027AB0000}"/>
    <cellStyle name="Output 3 32" xfId="43818" xr:uid="{00000000-0005-0000-0000-000028AB0000}"/>
    <cellStyle name="Output 3 32 2" xfId="43819" xr:uid="{00000000-0005-0000-0000-000029AB0000}"/>
    <cellStyle name="Output 3 32 2 2" xfId="43820" xr:uid="{00000000-0005-0000-0000-00002AAB0000}"/>
    <cellStyle name="Output 3 32 2 3" xfId="43821" xr:uid="{00000000-0005-0000-0000-00002BAB0000}"/>
    <cellStyle name="Output 3 32 2 4" xfId="43822" xr:uid="{00000000-0005-0000-0000-00002CAB0000}"/>
    <cellStyle name="Output 3 32 2 5" xfId="43823" xr:uid="{00000000-0005-0000-0000-00002DAB0000}"/>
    <cellStyle name="Output 3 32 3" xfId="43824" xr:uid="{00000000-0005-0000-0000-00002EAB0000}"/>
    <cellStyle name="Output 3 32 4" xfId="43825" xr:uid="{00000000-0005-0000-0000-00002FAB0000}"/>
    <cellStyle name="Output 3 32 5" xfId="43826" xr:uid="{00000000-0005-0000-0000-000030AB0000}"/>
    <cellStyle name="Output 3 32 6" xfId="43827" xr:uid="{00000000-0005-0000-0000-000031AB0000}"/>
    <cellStyle name="Output 3 33" xfId="43828" xr:uid="{00000000-0005-0000-0000-000032AB0000}"/>
    <cellStyle name="Output 3 33 2" xfId="43829" xr:uid="{00000000-0005-0000-0000-000033AB0000}"/>
    <cellStyle name="Output 3 33 2 2" xfId="43830" xr:uid="{00000000-0005-0000-0000-000034AB0000}"/>
    <cellStyle name="Output 3 33 2 3" xfId="43831" xr:uid="{00000000-0005-0000-0000-000035AB0000}"/>
    <cellStyle name="Output 3 33 2 4" xfId="43832" xr:uid="{00000000-0005-0000-0000-000036AB0000}"/>
    <cellStyle name="Output 3 33 2 5" xfId="43833" xr:uid="{00000000-0005-0000-0000-000037AB0000}"/>
    <cellStyle name="Output 3 33 3" xfId="43834" xr:uid="{00000000-0005-0000-0000-000038AB0000}"/>
    <cellStyle name="Output 3 33 4" xfId="43835" xr:uid="{00000000-0005-0000-0000-000039AB0000}"/>
    <cellStyle name="Output 3 33 5" xfId="43836" xr:uid="{00000000-0005-0000-0000-00003AAB0000}"/>
    <cellStyle name="Output 3 33 6" xfId="43837" xr:uid="{00000000-0005-0000-0000-00003BAB0000}"/>
    <cellStyle name="Output 3 34" xfId="43838" xr:uid="{00000000-0005-0000-0000-00003CAB0000}"/>
    <cellStyle name="Output 3 34 2" xfId="43839" xr:uid="{00000000-0005-0000-0000-00003DAB0000}"/>
    <cellStyle name="Output 3 34 2 2" xfId="43840" xr:uid="{00000000-0005-0000-0000-00003EAB0000}"/>
    <cellStyle name="Output 3 34 2 3" xfId="43841" xr:uid="{00000000-0005-0000-0000-00003FAB0000}"/>
    <cellStyle name="Output 3 34 2 4" xfId="43842" xr:uid="{00000000-0005-0000-0000-000040AB0000}"/>
    <cellStyle name="Output 3 34 2 5" xfId="43843" xr:uid="{00000000-0005-0000-0000-000041AB0000}"/>
    <cellStyle name="Output 3 34 3" xfId="43844" xr:uid="{00000000-0005-0000-0000-000042AB0000}"/>
    <cellStyle name="Output 3 34 4" xfId="43845" xr:uid="{00000000-0005-0000-0000-000043AB0000}"/>
    <cellStyle name="Output 3 34 5" xfId="43846" xr:uid="{00000000-0005-0000-0000-000044AB0000}"/>
    <cellStyle name="Output 3 34 6" xfId="43847" xr:uid="{00000000-0005-0000-0000-000045AB0000}"/>
    <cellStyle name="Output 3 35" xfId="43848" xr:uid="{00000000-0005-0000-0000-000046AB0000}"/>
    <cellStyle name="Output 3 35 2" xfId="43849" xr:uid="{00000000-0005-0000-0000-000047AB0000}"/>
    <cellStyle name="Output 3 35 2 2" xfId="43850" xr:uid="{00000000-0005-0000-0000-000048AB0000}"/>
    <cellStyle name="Output 3 35 2 3" xfId="43851" xr:uid="{00000000-0005-0000-0000-000049AB0000}"/>
    <cellStyle name="Output 3 35 2 4" xfId="43852" xr:uid="{00000000-0005-0000-0000-00004AAB0000}"/>
    <cellStyle name="Output 3 35 2 5" xfId="43853" xr:uid="{00000000-0005-0000-0000-00004BAB0000}"/>
    <cellStyle name="Output 3 35 3" xfId="43854" xr:uid="{00000000-0005-0000-0000-00004CAB0000}"/>
    <cellStyle name="Output 3 35 4" xfId="43855" xr:uid="{00000000-0005-0000-0000-00004DAB0000}"/>
    <cellStyle name="Output 3 35 5" xfId="43856" xr:uid="{00000000-0005-0000-0000-00004EAB0000}"/>
    <cellStyle name="Output 3 35 6" xfId="43857" xr:uid="{00000000-0005-0000-0000-00004FAB0000}"/>
    <cellStyle name="Output 3 36" xfId="43858" xr:uid="{00000000-0005-0000-0000-000050AB0000}"/>
    <cellStyle name="Output 3 36 2" xfId="43859" xr:uid="{00000000-0005-0000-0000-000051AB0000}"/>
    <cellStyle name="Output 3 36 2 2" xfId="43860" xr:uid="{00000000-0005-0000-0000-000052AB0000}"/>
    <cellStyle name="Output 3 36 2 3" xfId="43861" xr:uid="{00000000-0005-0000-0000-000053AB0000}"/>
    <cellStyle name="Output 3 36 2 4" xfId="43862" xr:uid="{00000000-0005-0000-0000-000054AB0000}"/>
    <cellStyle name="Output 3 36 2 5" xfId="43863" xr:uid="{00000000-0005-0000-0000-000055AB0000}"/>
    <cellStyle name="Output 3 36 3" xfId="43864" xr:uid="{00000000-0005-0000-0000-000056AB0000}"/>
    <cellStyle name="Output 3 36 4" xfId="43865" xr:uid="{00000000-0005-0000-0000-000057AB0000}"/>
    <cellStyle name="Output 3 36 5" xfId="43866" xr:uid="{00000000-0005-0000-0000-000058AB0000}"/>
    <cellStyle name="Output 3 36 6" xfId="43867" xr:uid="{00000000-0005-0000-0000-000059AB0000}"/>
    <cellStyle name="Output 3 37" xfId="43868" xr:uid="{00000000-0005-0000-0000-00005AAB0000}"/>
    <cellStyle name="Output 3 37 2" xfId="43869" xr:uid="{00000000-0005-0000-0000-00005BAB0000}"/>
    <cellStyle name="Output 3 37 2 2" xfId="43870" xr:uid="{00000000-0005-0000-0000-00005CAB0000}"/>
    <cellStyle name="Output 3 37 2 3" xfId="43871" xr:uid="{00000000-0005-0000-0000-00005DAB0000}"/>
    <cellStyle name="Output 3 37 2 4" xfId="43872" xr:uid="{00000000-0005-0000-0000-00005EAB0000}"/>
    <cellStyle name="Output 3 37 2 5" xfId="43873" xr:uid="{00000000-0005-0000-0000-00005FAB0000}"/>
    <cellStyle name="Output 3 37 3" xfId="43874" xr:uid="{00000000-0005-0000-0000-000060AB0000}"/>
    <cellStyle name="Output 3 37 4" xfId="43875" xr:uid="{00000000-0005-0000-0000-000061AB0000}"/>
    <cellStyle name="Output 3 37 5" xfId="43876" xr:uid="{00000000-0005-0000-0000-000062AB0000}"/>
    <cellStyle name="Output 3 37 6" xfId="43877" xr:uid="{00000000-0005-0000-0000-000063AB0000}"/>
    <cellStyle name="Output 3 38" xfId="43878" xr:uid="{00000000-0005-0000-0000-000064AB0000}"/>
    <cellStyle name="Output 3 38 2" xfId="43879" xr:uid="{00000000-0005-0000-0000-000065AB0000}"/>
    <cellStyle name="Output 3 38 2 2" xfId="43880" xr:uid="{00000000-0005-0000-0000-000066AB0000}"/>
    <cellStyle name="Output 3 38 2 3" xfId="43881" xr:uid="{00000000-0005-0000-0000-000067AB0000}"/>
    <cellStyle name="Output 3 38 2 4" xfId="43882" xr:uid="{00000000-0005-0000-0000-000068AB0000}"/>
    <cellStyle name="Output 3 38 2 5" xfId="43883" xr:uid="{00000000-0005-0000-0000-000069AB0000}"/>
    <cellStyle name="Output 3 38 3" xfId="43884" xr:uid="{00000000-0005-0000-0000-00006AAB0000}"/>
    <cellStyle name="Output 3 38 4" xfId="43885" xr:uid="{00000000-0005-0000-0000-00006BAB0000}"/>
    <cellStyle name="Output 3 38 5" xfId="43886" xr:uid="{00000000-0005-0000-0000-00006CAB0000}"/>
    <cellStyle name="Output 3 38 6" xfId="43887" xr:uid="{00000000-0005-0000-0000-00006DAB0000}"/>
    <cellStyle name="Output 3 39" xfId="43888" xr:uid="{00000000-0005-0000-0000-00006EAB0000}"/>
    <cellStyle name="Output 3 39 2" xfId="43889" xr:uid="{00000000-0005-0000-0000-00006FAB0000}"/>
    <cellStyle name="Output 3 39 2 2" xfId="43890" xr:uid="{00000000-0005-0000-0000-000070AB0000}"/>
    <cellStyle name="Output 3 39 2 3" xfId="43891" xr:uid="{00000000-0005-0000-0000-000071AB0000}"/>
    <cellStyle name="Output 3 39 2 4" xfId="43892" xr:uid="{00000000-0005-0000-0000-000072AB0000}"/>
    <cellStyle name="Output 3 39 2 5" xfId="43893" xr:uid="{00000000-0005-0000-0000-000073AB0000}"/>
    <cellStyle name="Output 3 39 3" xfId="43894" xr:uid="{00000000-0005-0000-0000-000074AB0000}"/>
    <cellStyle name="Output 3 39 4" xfId="43895" xr:uid="{00000000-0005-0000-0000-000075AB0000}"/>
    <cellStyle name="Output 3 39 5" xfId="43896" xr:uid="{00000000-0005-0000-0000-000076AB0000}"/>
    <cellStyle name="Output 3 39 6" xfId="43897" xr:uid="{00000000-0005-0000-0000-000077AB0000}"/>
    <cellStyle name="Output 3 4" xfId="43898" xr:uid="{00000000-0005-0000-0000-000078AB0000}"/>
    <cellStyle name="Output 3 4 2" xfId="43899" xr:uid="{00000000-0005-0000-0000-000079AB0000}"/>
    <cellStyle name="Output 3 4 2 2" xfId="43900" xr:uid="{00000000-0005-0000-0000-00007AAB0000}"/>
    <cellStyle name="Output 3 4 2 3" xfId="43901" xr:uid="{00000000-0005-0000-0000-00007BAB0000}"/>
    <cellStyle name="Output 3 4 2 4" xfId="43902" xr:uid="{00000000-0005-0000-0000-00007CAB0000}"/>
    <cellStyle name="Output 3 4 2 5" xfId="43903" xr:uid="{00000000-0005-0000-0000-00007DAB0000}"/>
    <cellStyle name="Output 3 4 3" xfId="43904" xr:uid="{00000000-0005-0000-0000-00007EAB0000}"/>
    <cellStyle name="Output 3 4 4" xfId="43905" xr:uid="{00000000-0005-0000-0000-00007FAB0000}"/>
    <cellStyle name="Output 3 4 5" xfId="43906" xr:uid="{00000000-0005-0000-0000-000080AB0000}"/>
    <cellStyle name="Output 3 4 6" xfId="43907" xr:uid="{00000000-0005-0000-0000-000081AB0000}"/>
    <cellStyle name="Output 3 40" xfId="43908" xr:uid="{00000000-0005-0000-0000-000082AB0000}"/>
    <cellStyle name="Output 3 40 2" xfId="43909" xr:uid="{00000000-0005-0000-0000-000083AB0000}"/>
    <cellStyle name="Output 3 40 2 2" xfId="43910" xr:uid="{00000000-0005-0000-0000-000084AB0000}"/>
    <cellStyle name="Output 3 40 2 3" xfId="43911" xr:uid="{00000000-0005-0000-0000-000085AB0000}"/>
    <cellStyle name="Output 3 40 2 4" xfId="43912" xr:uid="{00000000-0005-0000-0000-000086AB0000}"/>
    <cellStyle name="Output 3 40 2 5" xfId="43913" xr:uid="{00000000-0005-0000-0000-000087AB0000}"/>
    <cellStyle name="Output 3 40 3" xfId="43914" xr:uid="{00000000-0005-0000-0000-000088AB0000}"/>
    <cellStyle name="Output 3 40 4" xfId="43915" xr:uid="{00000000-0005-0000-0000-000089AB0000}"/>
    <cellStyle name="Output 3 40 5" xfId="43916" xr:uid="{00000000-0005-0000-0000-00008AAB0000}"/>
    <cellStyle name="Output 3 40 6" xfId="43917" xr:uid="{00000000-0005-0000-0000-00008BAB0000}"/>
    <cellStyle name="Output 3 41" xfId="43918" xr:uid="{00000000-0005-0000-0000-00008CAB0000}"/>
    <cellStyle name="Output 3 41 2" xfId="43919" xr:uid="{00000000-0005-0000-0000-00008DAB0000}"/>
    <cellStyle name="Output 3 41 2 2" xfId="43920" xr:uid="{00000000-0005-0000-0000-00008EAB0000}"/>
    <cellStyle name="Output 3 41 2 3" xfId="43921" xr:uid="{00000000-0005-0000-0000-00008FAB0000}"/>
    <cellStyle name="Output 3 41 2 4" xfId="43922" xr:uid="{00000000-0005-0000-0000-000090AB0000}"/>
    <cellStyle name="Output 3 41 2 5" xfId="43923" xr:uid="{00000000-0005-0000-0000-000091AB0000}"/>
    <cellStyle name="Output 3 41 3" xfId="43924" xr:uid="{00000000-0005-0000-0000-000092AB0000}"/>
    <cellStyle name="Output 3 41 4" xfId="43925" xr:uid="{00000000-0005-0000-0000-000093AB0000}"/>
    <cellStyle name="Output 3 41 5" xfId="43926" xr:uid="{00000000-0005-0000-0000-000094AB0000}"/>
    <cellStyle name="Output 3 41 6" xfId="43927" xr:uid="{00000000-0005-0000-0000-000095AB0000}"/>
    <cellStyle name="Output 3 42" xfId="43928" xr:uid="{00000000-0005-0000-0000-000096AB0000}"/>
    <cellStyle name="Output 3 42 2" xfId="43929" xr:uid="{00000000-0005-0000-0000-000097AB0000}"/>
    <cellStyle name="Output 3 42 2 2" xfId="43930" xr:uid="{00000000-0005-0000-0000-000098AB0000}"/>
    <cellStyle name="Output 3 42 2 3" xfId="43931" xr:uid="{00000000-0005-0000-0000-000099AB0000}"/>
    <cellStyle name="Output 3 42 2 4" xfId="43932" xr:uid="{00000000-0005-0000-0000-00009AAB0000}"/>
    <cellStyle name="Output 3 42 2 5" xfId="43933" xr:uid="{00000000-0005-0000-0000-00009BAB0000}"/>
    <cellStyle name="Output 3 42 3" xfId="43934" xr:uid="{00000000-0005-0000-0000-00009CAB0000}"/>
    <cellStyle name="Output 3 42 4" xfId="43935" xr:uid="{00000000-0005-0000-0000-00009DAB0000}"/>
    <cellStyle name="Output 3 42 5" xfId="43936" xr:uid="{00000000-0005-0000-0000-00009EAB0000}"/>
    <cellStyle name="Output 3 42 6" xfId="43937" xr:uid="{00000000-0005-0000-0000-00009FAB0000}"/>
    <cellStyle name="Output 3 43" xfId="43938" xr:uid="{00000000-0005-0000-0000-0000A0AB0000}"/>
    <cellStyle name="Output 3 43 2" xfId="43939" xr:uid="{00000000-0005-0000-0000-0000A1AB0000}"/>
    <cellStyle name="Output 3 43 2 2" xfId="43940" xr:uid="{00000000-0005-0000-0000-0000A2AB0000}"/>
    <cellStyle name="Output 3 43 2 3" xfId="43941" xr:uid="{00000000-0005-0000-0000-0000A3AB0000}"/>
    <cellStyle name="Output 3 43 2 4" xfId="43942" xr:uid="{00000000-0005-0000-0000-0000A4AB0000}"/>
    <cellStyle name="Output 3 43 2 5" xfId="43943" xr:uid="{00000000-0005-0000-0000-0000A5AB0000}"/>
    <cellStyle name="Output 3 43 3" xfId="43944" xr:uid="{00000000-0005-0000-0000-0000A6AB0000}"/>
    <cellStyle name="Output 3 43 4" xfId="43945" xr:uid="{00000000-0005-0000-0000-0000A7AB0000}"/>
    <cellStyle name="Output 3 43 5" xfId="43946" xr:uid="{00000000-0005-0000-0000-0000A8AB0000}"/>
    <cellStyle name="Output 3 43 6" xfId="43947" xr:uid="{00000000-0005-0000-0000-0000A9AB0000}"/>
    <cellStyle name="Output 3 44" xfId="43948" xr:uid="{00000000-0005-0000-0000-0000AAAB0000}"/>
    <cellStyle name="Output 3 44 2" xfId="43949" xr:uid="{00000000-0005-0000-0000-0000ABAB0000}"/>
    <cellStyle name="Output 3 44 3" xfId="43950" xr:uid="{00000000-0005-0000-0000-0000ACAB0000}"/>
    <cellStyle name="Output 3 44 4" xfId="43951" xr:uid="{00000000-0005-0000-0000-0000ADAB0000}"/>
    <cellStyle name="Output 3 44 5" xfId="43952" xr:uid="{00000000-0005-0000-0000-0000AEAB0000}"/>
    <cellStyle name="Output 3 45" xfId="43953" xr:uid="{00000000-0005-0000-0000-0000AFAB0000}"/>
    <cellStyle name="Output 3 45 2" xfId="43954" xr:uid="{00000000-0005-0000-0000-0000B0AB0000}"/>
    <cellStyle name="Output 3 45 3" xfId="43955" xr:uid="{00000000-0005-0000-0000-0000B1AB0000}"/>
    <cellStyle name="Output 3 45 4" xfId="43956" xr:uid="{00000000-0005-0000-0000-0000B2AB0000}"/>
    <cellStyle name="Output 3 45 5" xfId="43957" xr:uid="{00000000-0005-0000-0000-0000B3AB0000}"/>
    <cellStyle name="Output 3 46" xfId="43958" xr:uid="{00000000-0005-0000-0000-0000B4AB0000}"/>
    <cellStyle name="Output 3 47" xfId="43959" xr:uid="{00000000-0005-0000-0000-0000B5AB0000}"/>
    <cellStyle name="Output 3 48" xfId="43960" xr:uid="{00000000-0005-0000-0000-0000B6AB0000}"/>
    <cellStyle name="Output 3 49" xfId="43961" xr:uid="{00000000-0005-0000-0000-0000B7AB0000}"/>
    <cellStyle name="Output 3 5" xfId="43962" xr:uid="{00000000-0005-0000-0000-0000B8AB0000}"/>
    <cellStyle name="Output 3 5 2" xfId="43963" xr:uid="{00000000-0005-0000-0000-0000B9AB0000}"/>
    <cellStyle name="Output 3 5 2 2" xfId="43964" xr:uid="{00000000-0005-0000-0000-0000BAAB0000}"/>
    <cellStyle name="Output 3 5 2 3" xfId="43965" xr:uid="{00000000-0005-0000-0000-0000BBAB0000}"/>
    <cellStyle name="Output 3 5 2 4" xfId="43966" xr:uid="{00000000-0005-0000-0000-0000BCAB0000}"/>
    <cellStyle name="Output 3 5 2 5" xfId="43967" xr:uid="{00000000-0005-0000-0000-0000BDAB0000}"/>
    <cellStyle name="Output 3 5 3" xfId="43968" xr:uid="{00000000-0005-0000-0000-0000BEAB0000}"/>
    <cellStyle name="Output 3 5 4" xfId="43969" xr:uid="{00000000-0005-0000-0000-0000BFAB0000}"/>
    <cellStyle name="Output 3 5 5" xfId="43970" xr:uid="{00000000-0005-0000-0000-0000C0AB0000}"/>
    <cellStyle name="Output 3 5 6" xfId="43971" xr:uid="{00000000-0005-0000-0000-0000C1AB0000}"/>
    <cellStyle name="Output 3 6" xfId="43972" xr:uid="{00000000-0005-0000-0000-0000C2AB0000}"/>
    <cellStyle name="Output 3 6 2" xfId="43973" xr:uid="{00000000-0005-0000-0000-0000C3AB0000}"/>
    <cellStyle name="Output 3 6 2 2" xfId="43974" xr:uid="{00000000-0005-0000-0000-0000C4AB0000}"/>
    <cellStyle name="Output 3 6 2 3" xfId="43975" xr:uid="{00000000-0005-0000-0000-0000C5AB0000}"/>
    <cellStyle name="Output 3 6 2 4" xfId="43976" xr:uid="{00000000-0005-0000-0000-0000C6AB0000}"/>
    <cellStyle name="Output 3 6 2 5" xfId="43977" xr:uid="{00000000-0005-0000-0000-0000C7AB0000}"/>
    <cellStyle name="Output 3 6 3" xfId="43978" xr:uid="{00000000-0005-0000-0000-0000C8AB0000}"/>
    <cellStyle name="Output 3 6 4" xfId="43979" xr:uid="{00000000-0005-0000-0000-0000C9AB0000}"/>
    <cellStyle name="Output 3 6 5" xfId="43980" xr:uid="{00000000-0005-0000-0000-0000CAAB0000}"/>
    <cellStyle name="Output 3 6 6" xfId="43981" xr:uid="{00000000-0005-0000-0000-0000CBAB0000}"/>
    <cellStyle name="Output 3 7" xfId="43982" xr:uid="{00000000-0005-0000-0000-0000CCAB0000}"/>
    <cellStyle name="Output 3 7 2" xfId="43983" xr:uid="{00000000-0005-0000-0000-0000CDAB0000}"/>
    <cellStyle name="Output 3 7 2 2" xfId="43984" xr:uid="{00000000-0005-0000-0000-0000CEAB0000}"/>
    <cellStyle name="Output 3 7 2 3" xfId="43985" xr:uid="{00000000-0005-0000-0000-0000CFAB0000}"/>
    <cellStyle name="Output 3 7 2 4" xfId="43986" xr:uid="{00000000-0005-0000-0000-0000D0AB0000}"/>
    <cellStyle name="Output 3 7 2 5" xfId="43987" xr:uid="{00000000-0005-0000-0000-0000D1AB0000}"/>
    <cellStyle name="Output 3 7 3" xfId="43988" xr:uid="{00000000-0005-0000-0000-0000D2AB0000}"/>
    <cellStyle name="Output 3 7 4" xfId="43989" xr:uid="{00000000-0005-0000-0000-0000D3AB0000}"/>
    <cellStyle name="Output 3 7 5" xfId="43990" xr:uid="{00000000-0005-0000-0000-0000D4AB0000}"/>
    <cellStyle name="Output 3 7 6" xfId="43991" xr:uid="{00000000-0005-0000-0000-0000D5AB0000}"/>
    <cellStyle name="Output 3 8" xfId="43992" xr:uid="{00000000-0005-0000-0000-0000D6AB0000}"/>
    <cellStyle name="Output 3 8 2" xfId="43993" xr:uid="{00000000-0005-0000-0000-0000D7AB0000}"/>
    <cellStyle name="Output 3 8 2 2" xfId="43994" xr:uid="{00000000-0005-0000-0000-0000D8AB0000}"/>
    <cellStyle name="Output 3 8 2 3" xfId="43995" xr:uid="{00000000-0005-0000-0000-0000D9AB0000}"/>
    <cellStyle name="Output 3 8 2 4" xfId="43996" xr:uid="{00000000-0005-0000-0000-0000DAAB0000}"/>
    <cellStyle name="Output 3 8 2 5" xfId="43997" xr:uid="{00000000-0005-0000-0000-0000DBAB0000}"/>
    <cellStyle name="Output 3 8 3" xfId="43998" xr:uid="{00000000-0005-0000-0000-0000DCAB0000}"/>
    <cellStyle name="Output 3 8 4" xfId="43999" xr:uid="{00000000-0005-0000-0000-0000DDAB0000}"/>
    <cellStyle name="Output 3 8 5" xfId="44000" xr:uid="{00000000-0005-0000-0000-0000DEAB0000}"/>
    <cellStyle name="Output 3 8 6" xfId="44001" xr:uid="{00000000-0005-0000-0000-0000DFAB0000}"/>
    <cellStyle name="Output 3 9" xfId="44002" xr:uid="{00000000-0005-0000-0000-0000E0AB0000}"/>
    <cellStyle name="Output 3 9 2" xfId="44003" xr:uid="{00000000-0005-0000-0000-0000E1AB0000}"/>
    <cellStyle name="Output 3 9 2 2" xfId="44004" xr:uid="{00000000-0005-0000-0000-0000E2AB0000}"/>
    <cellStyle name="Output 3 9 2 3" xfId="44005" xr:uid="{00000000-0005-0000-0000-0000E3AB0000}"/>
    <cellStyle name="Output 3 9 2 4" xfId="44006" xr:uid="{00000000-0005-0000-0000-0000E4AB0000}"/>
    <cellStyle name="Output 3 9 2 5" xfId="44007" xr:uid="{00000000-0005-0000-0000-0000E5AB0000}"/>
    <cellStyle name="Output 3 9 3" xfId="44008" xr:uid="{00000000-0005-0000-0000-0000E6AB0000}"/>
    <cellStyle name="Output 3 9 4" xfId="44009" xr:uid="{00000000-0005-0000-0000-0000E7AB0000}"/>
    <cellStyle name="Output 3 9 5" xfId="44010" xr:uid="{00000000-0005-0000-0000-0000E8AB0000}"/>
    <cellStyle name="Output 3 9 6" xfId="44011" xr:uid="{00000000-0005-0000-0000-0000E9AB0000}"/>
    <cellStyle name="Output 4" xfId="44012" xr:uid="{00000000-0005-0000-0000-0000EAAB0000}"/>
    <cellStyle name="Output 4 2" xfId="44013" xr:uid="{00000000-0005-0000-0000-0000EBAB0000}"/>
    <cellStyle name="Output 4 2 10" xfId="44014" xr:uid="{00000000-0005-0000-0000-0000ECAB0000}"/>
    <cellStyle name="Output 4 2 10 2" xfId="44015" xr:uid="{00000000-0005-0000-0000-0000EDAB0000}"/>
    <cellStyle name="Output 4 2 10 3" xfId="44016" xr:uid="{00000000-0005-0000-0000-0000EEAB0000}"/>
    <cellStyle name="Output 4 2 10 4" xfId="44017" xr:uid="{00000000-0005-0000-0000-0000EFAB0000}"/>
    <cellStyle name="Output 4 2 10 5" xfId="44018" xr:uid="{00000000-0005-0000-0000-0000F0AB0000}"/>
    <cellStyle name="Output 4 2 10 6" xfId="44019" xr:uid="{00000000-0005-0000-0000-0000F1AB0000}"/>
    <cellStyle name="Output 4 2 11" xfId="44020" xr:uid="{00000000-0005-0000-0000-0000F2AB0000}"/>
    <cellStyle name="Output 4 2 12" xfId="44021" xr:uid="{00000000-0005-0000-0000-0000F3AB0000}"/>
    <cellStyle name="Output 4 2 13" xfId="44022" xr:uid="{00000000-0005-0000-0000-0000F4AB0000}"/>
    <cellStyle name="Output 4 2 14" xfId="44023" xr:uid="{00000000-0005-0000-0000-0000F5AB0000}"/>
    <cellStyle name="Output 4 2 2" xfId="44024" xr:uid="{00000000-0005-0000-0000-0000F6AB0000}"/>
    <cellStyle name="Output 4 2 2 2" xfId="44025" xr:uid="{00000000-0005-0000-0000-0000F7AB0000}"/>
    <cellStyle name="Output 4 2 2 2 2" xfId="44026" xr:uid="{00000000-0005-0000-0000-0000F8AB0000}"/>
    <cellStyle name="Output 4 2 2 2 2 2" xfId="44027" xr:uid="{00000000-0005-0000-0000-0000F9AB0000}"/>
    <cellStyle name="Output 4 2 2 2 2 2 2" xfId="44028" xr:uid="{00000000-0005-0000-0000-0000FAAB0000}"/>
    <cellStyle name="Output 4 2 2 2 2 2 3" xfId="44029" xr:uid="{00000000-0005-0000-0000-0000FBAB0000}"/>
    <cellStyle name="Output 4 2 2 2 2 2 4" xfId="44030" xr:uid="{00000000-0005-0000-0000-0000FCAB0000}"/>
    <cellStyle name="Output 4 2 2 2 2 2 5" xfId="44031" xr:uid="{00000000-0005-0000-0000-0000FDAB0000}"/>
    <cellStyle name="Output 4 2 2 2 2 2 6" xfId="44032" xr:uid="{00000000-0005-0000-0000-0000FEAB0000}"/>
    <cellStyle name="Output 4 2 2 2 2 3" xfId="44033" xr:uid="{00000000-0005-0000-0000-0000FFAB0000}"/>
    <cellStyle name="Output 4 2 2 2 2 4" xfId="44034" xr:uid="{00000000-0005-0000-0000-000000AC0000}"/>
    <cellStyle name="Output 4 2 2 2 2 5" xfId="44035" xr:uid="{00000000-0005-0000-0000-000001AC0000}"/>
    <cellStyle name="Output 4 2 2 2 2 6" xfId="44036" xr:uid="{00000000-0005-0000-0000-000002AC0000}"/>
    <cellStyle name="Output 4 2 2 2 3" xfId="44037" xr:uid="{00000000-0005-0000-0000-000003AC0000}"/>
    <cellStyle name="Output 4 2 2 2 3 2" xfId="44038" xr:uid="{00000000-0005-0000-0000-000004AC0000}"/>
    <cellStyle name="Output 4 2 2 2 3 2 2" xfId="44039" xr:uid="{00000000-0005-0000-0000-000005AC0000}"/>
    <cellStyle name="Output 4 2 2 2 3 2 3" xfId="44040" xr:uid="{00000000-0005-0000-0000-000006AC0000}"/>
    <cellStyle name="Output 4 2 2 2 3 2 4" xfId="44041" xr:uid="{00000000-0005-0000-0000-000007AC0000}"/>
    <cellStyle name="Output 4 2 2 2 3 2 5" xfId="44042" xr:uid="{00000000-0005-0000-0000-000008AC0000}"/>
    <cellStyle name="Output 4 2 2 2 3 2 6" xfId="44043" xr:uid="{00000000-0005-0000-0000-000009AC0000}"/>
    <cellStyle name="Output 4 2 2 2 3 3" xfId="44044" xr:uid="{00000000-0005-0000-0000-00000AAC0000}"/>
    <cellStyle name="Output 4 2 2 2 3 4" xfId="44045" xr:uid="{00000000-0005-0000-0000-00000BAC0000}"/>
    <cellStyle name="Output 4 2 2 2 3 5" xfId="44046" xr:uid="{00000000-0005-0000-0000-00000CAC0000}"/>
    <cellStyle name="Output 4 2 2 2 3 6" xfId="44047" xr:uid="{00000000-0005-0000-0000-00000DAC0000}"/>
    <cellStyle name="Output 4 2 2 2 4" xfId="44048" xr:uid="{00000000-0005-0000-0000-00000EAC0000}"/>
    <cellStyle name="Output 4 2 2 2 4 2" xfId="44049" xr:uid="{00000000-0005-0000-0000-00000FAC0000}"/>
    <cellStyle name="Output 4 2 2 2 4 3" xfId="44050" xr:uid="{00000000-0005-0000-0000-000010AC0000}"/>
    <cellStyle name="Output 4 2 2 2 4 4" xfId="44051" xr:uid="{00000000-0005-0000-0000-000011AC0000}"/>
    <cellStyle name="Output 4 2 2 2 4 5" xfId="44052" xr:uid="{00000000-0005-0000-0000-000012AC0000}"/>
    <cellStyle name="Output 4 2 2 2 4 6" xfId="44053" xr:uid="{00000000-0005-0000-0000-000013AC0000}"/>
    <cellStyle name="Output 4 2 2 2 5" xfId="44054" xr:uid="{00000000-0005-0000-0000-000014AC0000}"/>
    <cellStyle name="Output 4 2 2 2 6" xfId="44055" xr:uid="{00000000-0005-0000-0000-000015AC0000}"/>
    <cellStyle name="Output 4 2 2 2 7" xfId="44056" xr:uid="{00000000-0005-0000-0000-000016AC0000}"/>
    <cellStyle name="Output 4 2 2 2 8" xfId="44057" xr:uid="{00000000-0005-0000-0000-000017AC0000}"/>
    <cellStyle name="Output 4 2 2 3" xfId="44058" xr:uid="{00000000-0005-0000-0000-000018AC0000}"/>
    <cellStyle name="Output 4 2 2 3 2" xfId="44059" xr:uid="{00000000-0005-0000-0000-000019AC0000}"/>
    <cellStyle name="Output 4 2 2 3 2 2" xfId="44060" xr:uid="{00000000-0005-0000-0000-00001AAC0000}"/>
    <cellStyle name="Output 4 2 2 3 2 3" xfId="44061" xr:uid="{00000000-0005-0000-0000-00001BAC0000}"/>
    <cellStyle name="Output 4 2 2 3 2 4" xfId="44062" xr:uid="{00000000-0005-0000-0000-00001CAC0000}"/>
    <cellStyle name="Output 4 2 2 3 2 5" xfId="44063" xr:uid="{00000000-0005-0000-0000-00001DAC0000}"/>
    <cellStyle name="Output 4 2 2 3 2 6" xfId="44064" xr:uid="{00000000-0005-0000-0000-00001EAC0000}"/>
    <cellStyle name="Output 4 2 2 3 3" xfId="44065" xr:uid="{00000000-0005-0000-0000-00001FAC0000}"/>
    <cellStyle name="Output 4 2 2 3 4" xfId="44066" xr:uid="{00000000-0005-0000-0000-000020AC0000}"/>
    <cellStyle name="Output 4 2 2 3 5" xfId="44067" xr:uid="{00000000-0005-0000-0000-000021AC0000}"/>
    <cellStyle name="Output 4 2 2 3 6" xfId="44068" xr:uid="{00000000-0005-0000-0000-000022AC0000}"/>
    <cellStyle name="Output 4 2 2 4" xfId="44069" xr:uid="{00000000-0005-0000-0000-000023AC0000}"/>
    <cellStyle name="Output 4 2 2 4 2" xfId="44070" xr:uid="{00000000-0005-0000-0000-000024AC0000}"/>
    <cellStyle name="Output 4 2 2 4 2 2" xfId="44071" xr:uid="{00000000-0005-0000-0000-000025AC0000}"/>
    <cellStyle name="Output 4 2 2 4 2 3" xfId="44072" xr:uid="{00000000-0005-0000-0000-000026AC0000}"/>
    <cellStyle name="Output 4 2 2 4 2 4" xfId="44073" xr:uid="{00000000-0005-0000-0000-000027AC0000}"/>
    <cellStyle name="Output 4 2 2 4 2 5" xfId="44074" xr:uid="{00000000-0005-0000-0000-000028AC0000}"/>
    <cellStyle name="Output 4 2 2 4 2 6" xfId="44075" xr:uid="{00000000-0005-0000-0000-000029AC0000}"/>
    <cellStyle name="Output 4 2 2 4 3" xfId="44076" xr:uid="{00000000-0005-0000-0000-00002AAC0000}"/>
    <cellStyle name="Output 4 2 2 4 4" xfId="44077" xr:uid="{00000000-0005-0000-0000-00002BAC0000}"/>
    <cellStyle name="Output 4 2 2 4 5" xfId="44078" xr:uid="{00000000-0005-0000-0000-00002CAC0000}"/>
    <cellStyle name="Output 4 2 2 4 6" xfId="44079" xr:uid="{00000000-0005-0000-0000-00002DAC0000}"/>
    <cellStyle name="Output 4 2 2 5" xfId="44080" xr:uid="{00000000-0005-0000-0000-00002EAC0000}"/>
    <cellStyle name="Output 4 2 2 5 2" xfId="44081" xr:uid="{00000000-0005-0000-0000-00002FAC0000}"/>
    <cellStyle name="Output 4 2 2 5 3" xfId="44082" xr:uid="{00000000-0005-0000-0000-000030AC0000}"/>
    <cellStyle name="Output 4 2 2 5 4" xfId="44083" xr:uid="{00000000-0005-0000-0000-000031AC0000}"/>
    <cellStyle name="Output 4 2 2 5 5" xfId="44084" xr:uid="{00000000-0005-0000-0000-000032AC0000}"/>
    <cellStyle name="Output 4 2 2 5 6" xfId="44085" xr:uid="{00000000-0005-0000-0000-000033AC0000}"/>
    <cellStyle name="Output 4 2 2 6" xfId="44086" xr:uid="{00000000-0005-0000-0000-000034AC0000}"/>
    <cellStyle name="Output 4 2 2 7" xfId="44087" xr:uid="{00000000-0005-0000-0000-000035AC0000}"/>
    <cellStyle name="Output 4 2 2 8" xfId="44088" xr:uid="{00000000-0005-0000-0000-000036AC0000}"/>
    <cellStyle name="Output 4 2 2 9" xfId="44089" xr:uid="{00000000-0005-0000-0000-000037AC0000}"/>
    <cellStyle name="Output 4 2 3" xfId="44090" xr:uid="{00000000-0005-0000-0000-000038AC0000}"/>
    <cellStyle name="Output 4 2 3 2" xfId="44091" xr:uid="{00000000-0005-0000-0000-000039AC0000}"/>
    <cellStyle name="Output 4 2 3 2 2" xfId="44092" xr:uid="{00000000-0005-0000-0000-00003AAC0000}"/>
    <cellStyle name="Output 4 2 3 2 2 2" xfId="44093" xr:uid="{00000000-0005-0000-0000-00003BAC0000}"/>
    <cellStyle name="Output 4 2 3 2 2 3" xfId="44094" xr:uid="{00000000-0005-0000-0000-00003CAC0000}"/>
    <cellStyle name="Output 4 2 3 2 2 4" xfId="44095" xr:uid="{00000000-0005-0000-0000-00003DAC0000}"/>
    <cellStyle name="Output 4 2 3 2 2 5" xfId="44096" xr:uid="{00000000-0005-0000-0000-00003EAC0000}"/>
    <cellStyle name="Output 4 2 3 2 2 6" xfId="44097" xr:uid="{00000000-0005-0000-0000-00003FAC0000}"/>
    <cellStyle name="Output 4 2 3 2 3" xfId="44098" xr:uid="{00000000-0005-0000-0000-000040AC0000}"/>
    <cellStyle name="Output 4 2 3 2 4" xfId="44099" xr:uid="{00000000-0005-0000-0000-000041AC0000}"/>
    <cellStyle name="Output 4 2 3 2 5" xfId="44100" xr:uid="{00000000-0005-0000-0000-000042AC0000}"/>
    <cellStyle name="Output 4 2 3 2 6" xfId="44101" xr:uid="{00000000-0005-0000-0000-000043AC0000}"/>
    <cellStyle name="Output 4 2 3 3" xfId="44102" xr:uid="{00000000-0005-0000-0000-000044AC0000}"/>
    <cellStyle name="Output 4 2 3 3 2" xfId="44103" xr:uid="{00000000-0005-0000-0000-000045AC0000}"/>
    <cellStyle name="Output 4 2 3 3 2 2" xfId="44104" xr:uid="{00000000-0005-0000-0000-000046AC0000}"/>
    <cellStyle name="Output 4 2 3 3 2 3" xfId="44105" xr:uid="{00000000-0005-0000-0000-000047AC0000}"/>
    <cellStyle name="Output 4 2 3 3 2 4" xfId="44106" xr:uid="{00000000-0005-0000-0000-000048AC0000}"/>
    <cellStyle name="Output 4 2 3 3 2 5" xfId="44107" xr:uid="{00000000-0005-0000-0000-000049AC0000}"/>
    <cellStyle name="Output 4 2 3 3 2 6" xfId="44108" xr:uid="{00000000-0005-0000-0000-00004AAC0000}"/>
    <cellStyle name="Output 4 2 3 3 3" xfId="44109" xr:uid="{00000000-0005-0000-0000-00004BAC0000}"/>
    <cellStyle name="Output 4 2 3 3 4" xfId="44110" xr:uid="{00000000-0005-0000-0000-00004CAC0000}"/>
    <cellStyle name="Output 4 2 3 3 5" xfId="44111" xr:uid="{00000000-0005-0000-0000-00004DAC0000}"/>
    <cellStyle name="Output 4 2 3 3 6" xfId="44112" xr:uid="{00000000-0005-0000-0000-00004EAC0000}"/>
    <cellStyle name="Output 4 2 3 4" xfId="44113" xr:uid="{00000000-0005-0000-0000-00004FAC0000}"/>
    <cellStyle name="Output 4 2 3 4 2" xfId="44114" xr:uid="{00000000-0005-0000-0000-000050AC0000}"/>
    <cellStyle name="Output 4 2 3 4 3" xfId="44115" xr:uid="{00000000-0005-0000-0000-000051AC0000}"/>
    <cellStyle name="Output 4 2 3 4 4" xfId="44116" xr:uid="{00000000-0005-0000-0000-000052AC0000}"/>
    <cellStyle name="Output 4 2 3 4 5" xfId="44117" xr:uid="{00000000-0005-0000-0000-000053AC0000}"/>
    <cellStyle name="Output 4 2 3 4 6" xfId="44118" xr:uid="{00000000-0005-0000-0000-000054AC0000}"/>
    <cellStyle name="Output 4 2 3 5" xfId="44119" xr:uid="{00000000-0005-0000-0000-000055AC0000}"/>
    <cellStyle name="Output 4 2 3 6" xfId="44120" xr:uid="{00000000-0005-0000-0000-000056AC0000}"/>
    <cellStyle name="Output 4 2 3 7" xfId="44121" xr:uid="{00000000-0005-0000-0000-000057AC0000}"/>
    <cellStyle name="Output 4 2 3 8" xfId="44122" xr:uid="{00000000-0005-0000-0000-000058AC0000}"/>
    <cellStyle name="Output 4 2 4" xfId="44123" xr:uid="{00000000-0005-0000-0000-000059AC0000}"/>
    <cellStyle name="Output 4 2 4 2" xfId="44124" xr:uid="{00000000-0005-0000-0000-00005AAC0000}"/>
    <cellStyle name="Output 4 2 4 2 2" xfId="44125" xr:uid="{00000000-0005-0000-0000-00005BAC0000}"/>
    <cellStyle name="Output 4 2 4 2 2 2" xfId="44126" xr:uid="{00000000-0005-0000-0000-00005CAC0000}"/>
    <cellStyle name="Output 4 2 4 2 2 3" xfId="44127" xr:uid="{00000000-0005-0000-0000-00005DAC0000}"/>
    <cellStyle name="Output 4 2 4 2 2 4" xfId="44128" xr:uid="{00000000-0005-0000-0000-00005EAC0000}"/>
    <cellStyle name="Output 4 2 4 2 2 5" xfId="44129" xr:uid="{00000000-0005-0000-0000-00005FAC0000}"/>
    <cellStyle name="Output 4 2 4 2 2 6" xfId="44130" xr:uid="{00000000-0005-0000-0000-000060AC0000}"/>
    <cellStyle name="Output 4 2 4 2 3" xfId="44131" xr:uid="{00000000-0005-0000-0000-000061AC0000}"/>
    <cellStyle name="Output 4 2 4 2 4" xfId="44132" xr:uid="{00000000-0005-0000-0000-000062AC0000}"/>
    <cellStyle name="Output 4 2 4 2 5" xfId="44133" xr:uid="{00000000-0005-0000-0000-000063AC0000}"/>
    <cellStyle name="Output 4 2 4 2 6" xfId="44134" xr:uid="{00000000-0005-0000-0000-000064AC0000}"/>
    <cellStyle name="Output 4 2 4 3" xfId="44135" xr:uid="{00000000-0005-0000-0000-000065AC0000}"/>
    <cellStyle name="Output 4 2 4 3 2" xfId="44136" xr:uid="{00000000-0005-0000-0000-000066AC0000}"/>
    <cellStyle name="Output 4 2 4 3 2 2" xfId="44137" xr:uid="{00000000-0005-0000-0000-000067AC0000}"/>
    <cellStyle name="Output 4 2 4 3 2 3" xfId="44138" xr:uid="{00000000-0005-0000-0000-000068AC0000}"/>
    <cellStyle name="Output 4 2 4 3 2 4" xfId="44139" xr:uid="{00000000-0005-0000-0000-000069AC0000}"/>
    <cellStyle name="Output 4 2 4 3 2 5" xfId="44140" xr:uid="{00000000-0005-0000-0000-00006AAC0000}"/>
    <cellStyle name="Output 4 2 4 3 2 6" xfId="44141" xr:uid="{00000000-0005-0000-0000-00006BAC0000}"/>
    <cellStyle name="Output 4 2 4 3 3" xfId="44142" xr:uid="{00000000-0005-0000-0000-00006CAC0000}"/>
    <cellStyle name="Output 4 2 4 3 4" xfId="44143" xr:uid="{00000000-0005-0000-0000-00006DAC0000}"/>
    <cellStyle name="Output 4 2 4 3 5" xfId="44144" xr:uid="{00000000-0005-0000-0000-00006EAC0000}"/>
    <cellStyle name="Output 4 2 4 3 6" xfId="44145" xr:uid="{00000000-0005-0000-0000-00006FAC0000}"/>
    <cellStyle name="Output 4 2 4 4" xfId="44146" xr:uid="{00000000-0005-0000-0000-000070AC0000}"/>
    <cellStyle name="Output 4 2 4 4 2" xfId="44147" xr:uid="{00000000-0005-0000-0000-000071AC0000}"/>
    <cellStyle name="Output 4 2 4 4 3" xfId="44148" xr:uid="{00000000-0005-0000-0000-000072AC0000}"/>
    <cellStyle name="Output 4 2 4 4 4" xfId="44149" xr:uid="{00000000-0005-0000-0000-000073AC0000}"/>
    <cellStyle name="Output 4 2 4 4 5" xfId="44150" xr:uid="{00000000-0005-0000-0000-000074AC0000}"/>
    <cellStyle name="Output 4 2 4 4 6" xfId="44151" xr:uid="{00000000-0005-0000-0000-000075AC0000}"/>
    <cellStyle name="Output 4 2 4 5" xfId="44152" xr:uid="{00000000-0005-0000-0000-000076AC0000}"/>
    <cellStyle name="Output 4 2 4 6" xfId="44153" xr:uid="{00000000-0005-0000-0000-000077AC0000}"/>
    <cellStyle name="Output 4 2 4 7" xfId="44154" xr:uid="{00000000-0005-0000-0000-000078AC0000}"/>
    <cellStyle name="Output 4 2 4 8" xfId="44155" xr:uid="{00000000-0005-0000-0000-000079AC0000}"/>
    <cellStyle name="Output 4 2 5" xfId="44156" xr:uid="{00000000-0005-0000-0000-00007AAC0000}"/>
    <cellStyle name="Output 4 2 5 2" xfId="44157" xr:uid="{00000000-0005-0000-0000-00007BAC0000}"/>
    <cellStyle name="Output 4 2 5 2 2" xfId="44158" xr:uid="{00000000-0005-0000-0000-00007CAC0000}"/>
    <cellStyle name="Output 4 2 5 2 2 2" xfId="44159" xr:uid="{00000000-0005-0000-0000-00007DAC0000}"/>
    <cellStyle name="Output 4 2 5 2 2 3" xfId="44160" xr:uid="{00000000-0005-0000-0000-00007EAC0000}"/>
    <cellStyle name="Output 4 2 5 2 2 4" xfId="44161" xr:uid="{00000000-0005-0000-0000-00007FAC0000}"/>
    <cellStyle name="Output 4 2 5 2 2 5" xfId="44162" xr:uid="{00000000-0005-0000-0000-000080AC0000}"/>
    <cellStyle name="Output 4 2 5 2 2 6" xfId="44163" xr:uid="{00000000-0005-0000-0000-000081AC0000}"/>
    <cellStyle name="Output 4 2 5 2 3" xfId="44164" xr:uid="{00000000-0005-0000-0000-000082AC0000}"/>
    <cellStyle name="Output 4 2 5 2 4" xfId="44165" xr:uid="{00000000-0005-0000-0000-000083AC0000}"/>
    <cellStyle name="Output 4 2 5 2 5" xfId="44166" xr:uid="{00000000-0005-0000-0000-000084AC0000}"/>
    <cellStyle name="Output 4 2 5 2 6" xfId="44167" xr:uid="{00000000-0005-0000-0000-000085AC0000}"/>
    <cellStyle name="Output 4 2 5 3" xfId="44168" xr:uid="{00000000-0005-0000-0000-000086AC0000}"/>
    <cellStyle name="Output 4 2 5 3 2" xfId="44169" xr:uid="{00000000-0005-0000-0000-000087AC0000}"/>
    <cellStyle name="Output 4 2 5 3 2 2" xfId="44170" xr:uid="{00000000-0005-0000-0000-000088AC0000}"/>
    <cellStyle name="Output 4 2 5 3 2 3" xfId="44171" xr:uid="{00000000-0005-0000-0000-000089AC0000}"/>
    <cellStyle name="Output 4 2 5 3 2 4" xfId="44172" xr:uid="{00000000-0005-0000-0000-00008AAC0000}"/>
    <cellStyle name="Output 4 2 5 3 2 5" xfId="44173" xr:uid="{00000000-0005-0000-0000-00008BAC0000}"/>
    <cellStyle name="Output 4 2 5 3 2 6" xfId="44174" xr:uid="{00000000-0005-0000-0000-00008CAC0000}"/>
    <cellStyle name="Output 4 2 5 3 3" xfId="44175" xr:uid="{00000000-0005-0000-0000-00008DAC0000}"/>
    <cellStyle name="Output 4 2 5 3 4" xfId="44176" xr:uid="{00000000-0005-0000-0000-00008EAC0000}"/>
    <cellStyle name="Output 4 2 5 3 5" xfId="44177" xr:uid="{00000000-0005-0000-0000-00008FAC0000}"/>
    <cellStyle name="Output 4 2 5 3 6" xfId="44178" xr:uid="{00000000-0005-0000-0000-000090AC0000}"/>
    <cellStyle name="Output 4 2 5 4" xfId="44179" xr:uid="{00000000-0005-0000-0000-000091AC0000}"/>
    <cellStyle name="Output 4 2 5 4 2" xfId="44180" xr:uid="{00000000-0005-0000-0000-000092AC0000}"/>
    <cellStyle name="Output 4 2 5 4 3" xfId="44181" xr:uid="{00000000-0005-0000-0000-000093AC0000}"/>
    <cellStyle name="Output 4 2 5 4 4" xfId="44182" xr:uid="{00000000-0005-0000-0000-000094AC0000}"/>
    <cellStyle name="Output 4 2 5 4 5" xfId="44183" xr:uid="{00000000-0005-0000-0000-000095AC0000}"/>
    <cellStyle name="Output 4 2 5 4 6" xfId="44184" xr:uid="{00000000-0005-0000-0000-000096AC0000}"/>
    <cellStyle name="Output 4 2 5 5" xfId="44185" xr:uid="{00000000-0005-0000-0000-000097AC0000}"/>
    <cellStyle name="Output 4 2 5 6" xfId="44186" xr:uid="{00000000-0005-0000-0000-000098AC0000}"/>
    <cellStyle name="Output 4 2 5 7" xfId="44187" xr:uid="{00000000-0005-0000-0000-000099AC0000}"/>
    <cellStyle name="Output 4 2 5 8" xfId="44188" xr:uid="{00000000-0005-0000-0000-00009AAC0000}"/>
    <cellStyle name="Output 4 2 6" xfId="44189" xr:uid="{00000000-0005-0000-0000-00009BAC0000}"/>
    <cellStyle name="Output 4 2 6 2" xfId="44190" xr:uid="{00000000-0005-0000-0000-00009CAC0000}"/>
    <cellStyle name="Output 4 2 6 2 2" xfId="44191" xr:uid="{00000000-0005-0000-0000-00009DAC0000}"/>
    <cellStyle name="Output 4 2 6 2 2 2" xfId="44192" xr:uid="{00000000-0005-0000-0000-00009EAC0000}"/>
    <cellStyle name="Output 4 2 6 2 2 3" xfId="44193" xr:uid="{00000000-0005-0000-0000-00009FAC0000}"/>
    <cellStyle name="Output 4 2 6 2 2 4" xfId="44194" xr:uid="{00000000-0005-0000-0000-0000A0AC0000}"/>
    <cellStyle name="Output 4 2 6 2 2 5" xfId="44195" xr:uid="{00000000-0005-0000-0000-0000A1AC0000}"/>
    <cellStyle name="Output 4 2 6 2 2 6" xfId="44196" xr:uid="{00000000-0005-0000-0000-0000A2AC0000}"/>
    <cellStyle name="Output 4 2 6 2 3" xfId="44197" xr:uid="{00000000-0005-0000-0000-0000A3AC0000}"/>
    <cellStyle name="Output 4 2 6 2 4" xfId="44198" xr:uid="{00000000-0005-0000-0000-0000A4AC0000}"/>
    <cellStyle name="Output 4 2 6 2 5" xfId="44199" xr:uid="{00000000-0005-0000-0000-0000A5AC0000}"/>
    <cellStyle name="Output 4 2 6 2 6" xfId="44200" xr:uid="{00000000-0005-0000-0000-0000A6AC0000}"/>
    <cellStyle name="Output 4 2 6 3" xfId="44201" xr:uid="{00000000-0005-0000-0000-0000A7AC0000}"/>
    <cellStyle name="Output 4 2 6 3 2" xfId="44202" xr:uid="{00000000-0005-0000-0000-0000A8AC0000}"/>
    <cellStyle name="Output 4 2 6 3 2 2" xfId="44203" xr:uid="{00000000-0005-0000-0000-0000A9AC0000}"/>
    <cellStyle name="Output 4 2 6 3 2 3" xfId="44204" xr:uid="{00000000-0005-0000-0000-0000AAAC0000}"/>
    <cellStyle name="Output 4 2 6 3 2 4" xfId="44205" xr:uid="{00000000-0005-0000-0000-0000ABAC0000}"/>
    <cellStyle name="Output 4 2 6 3 2 5" xfId="44206" xr:uid="{00000000-0005-0000-0000-0000ACAC0000}"/>
    <cellStyle name="Output 4 2 6 3 2 6" xfId="44207" xr:uid="{00000000-0005-0000-0000-0000ADAC0000}"/>
    <cellStyle name="Output 4 2 6 3 3" xfId="44208" xr:uid="{00000000-0005-0000-0000-0000AEAC0000}"/>
    <cellStyle name="Output 4 2 6 3 4" xfId="44209" xr:uid="{00000000-0005-0000-0000-0000AFAC0000}"/>
    <cellStyle name="Output 4 2 6 3 5" xfId="44210" xr:uid="{00000000-0005-0000-0000-0000B0AC0000}"/>
    <cellStyle name="Output 4 2 6 3 6" xfId="44211" xr:uid="{00000000-0005-0000-0000-0000B1AC0000}"/>
    <cellStyle name="Output 4 2 6 4" xfId="44212" xr:uid="{00000000-0005-0000-0000-0000B2AC0000}"/>
    <cellStyle name="Output 4 2 6 4 2" xfId="44213" xr:uid="{00000000-0005-0000-0000-0000B3AC0000}"/>
    <cellStyle name="Output 4 2 6 4 3" xfId="44214" xr:uid="{00000000-0005-0000-0000-0000B4AC0000}"/>
    <cellStyle name="Output 4 2 6 4 4" xfId="44215" xr:uid="{00000000-0005-0000-0000-0000B5AC0000}"/>
    <cellStyle name="Output 4 2 6 4 5" xfId="44216" xr:uid="{00000000-0005-0000-0000-0000B6AC0000}"/>
    <cellStyle name="Output 4 2 6 4 6" xfId="44217" xr:uid="{00000000-0005-0000-0000-0000B7AC0000}"/>
    <cellStyle name="Output 4 2 6 5" xfId="44218" xr:uid="{00000000-0005-0000-0000-0000B8AC0000}"/>
    <cellStyle name="Output 4 2 6 6" xfId="44219" xr:uid="{00000000-0005-0000-0000-0000B9AC0000}"/>
    <cellStyle name="Output 4 2 6 7" xfId="44220" xr:uid="{00000000-0005-0000-0000-0000BAAC0000}"/>
    <cellStyle name="Output 4 2 6 8" xfId="44221" xr:uid="{00000000-0005-0000-0000-0000BBAC0000}"/>
    <cellStyle name="Output 4 2 7" xfId="44222" xr:uid="{00000000-0005-0000-0000-0000BCAC0000}"/>
    <cellStyle name="Output 4 2 7 2" xfId="44223" xr:uid="{00000000-0005-0000-0000-0000BDAC0000}"/>
    <cellStyle name="Output 4 2 7 2 2" xfId="44224" xr:uid="{00000000-0005-0000-0000-0000BEAC0000}"/>
    <cellStyle name="Output 4 2 7 2 2 2" xfId="44225" xr:uid="{00000000-0005-0000-0000-0000BFAC0000}"/>
    <cellStyle name="Output 4 2 7 2 2 3" xfId="44226" xr:uid="{00000000-0005-0000-0000-0000C0AC0000}"/>
    <cellStyle name="Output 4 2 7 2 2 4" xfId="44227" xr:uid="{00000000-0005-0000-0000-0000C1AC0000}"/>
    <cellStyle name="Output 4 2 7 2 2 5" xfId="44228" xr:uid="{00000000-0005-0000-0000-0000C2AC0000}"/>
    <cellStyle name="Output 4 2 7 2 2 6" xfId="44229" xr:uid="{00000000-0005-0000-0000-0000C3AC0000}"/>
    <cellStyle name="Output 4 2 7 2 3" xfId="44230" xr:uid="{00000000-0005-0000-0000-0000C4AC0000}"/>
    <cellStyle name="Output 4 2 7 2 4" xfId="44231" xr:uid="{00000000-0005-0000-0000-0000C5AC0000}"/>
    <cellStyle name="Output 4 2 7 2 5" xfId="44232" xr:uid="{00000000-0005-0000-0000-0000C6AC0000}"/>
    <cellStyle name="Output 4 2 7 2 6" xfId="44233" xr:uid="{00000000-0005-0000-0000-0000C7AC0000}"/>
    <cellStyle name="Output 4 2 7 3" xfId="44234" xr:uid="{00000000-0005-0000-0000-0000C8AC0000}"/>
    <cellStyle name="Output 4 2 7 3 2" xfId="44235" xr:uid="{00000000-0005-0000-0000-0000C9AC0000}"/>
    <cellStyle name="Output 4 2 7 3 2 2" xfId="44236" xr:uid="{00000000-0005-0000-0000-0000CAAC0000}"/>
    <cellStyle name="Output 4 2 7 3 2 3" xfId="44237" xr:uid="{00000000-0005-0000-0000-0000CBAC0000}"/>
    <cellStyle name="Output 4 2 7 3 2 4" xfId="44238" xr:uid="{00000000-0005-0000-0000-0000CCAC0000}"/>
    <cellStyle name="Output 4 2 7 3 2 5" xfId="44239" xr:uid="{00000000-0005-0000-0000-0000CDAC0000}"/>
    <cellStyle name="Output 4 2 7 3 2 6" xfId="44240" xr:uid="{00000000-0005-0000-0000-0000CEAC0000}"/>
    <cellStyle name="Output 4 2 7 3 3" xfId="44241" xr:uid="{00000000-0005-0000-0000-0000CFAC0000}"/>
    <cellStyle name="Output 4 2 7 3 4" xfId="44242" xr:uid="{00000000-0005-0000-0000-0000D0AC0000}"/>
    <cellStyle name="Output 4 2 7 3 5" xfId="44243" xr:uid="{00000000-0005-0000-0000-0000D1AC0000}"/>
    <cellStyle name="Output 4 2 7 3 6" xfId="44244" xr:uid="{00000000-0005-0000-0000-0000D2AC0000}"/>
    <cellStyle name="Output 4 2 7 4" xfId="44245" xr:uid="{00000000-0005-0000-0000-0000D3AC0000}"/>
    <cellStyle name="Output 4 2 7 4 2" xfId="44246" xr:uid="{00000000-0005-0000-0000-0000D4AC0000}"/>
    <cellStyle name="Output 4 2 7 4 3" xfId="44247" xr:uid="{00000000-0005-0000-0000-0000D5AC0000}"/>
    <cellStyle name="Output 4 2 7 4 4" xfId="44248" xr:uid="{00000000-0005-0000-0000-0000D6AC0000}"/>
    <cellStyle name="Output 4 2 7 4 5" xfId="44249" xr:uid="{00000000-0005-0000-0000-0000D7AC0000}"/>
    <cellStyle name="Output 4 2 7 4 6" xfId="44250" xr:uid="{00000000-0005-0000-0000-0000D8AC0000}"/>
    <cellStyle name="Output 4 2 7 5" xfId="44251" xr:uid="{00000000-0005-0000-0000-0000D9AC0000}"/>
    <cellStyle name="Output 4 2 7 6" xfId="44252" xr:uid="{00000000-0005-0000-0000-0000DAAC0000}"/>
    <cellStyle name="Output 4 2 7 7" xfId="44253" xr:uid="{00000000-0005-0000-0000-0000DBAC0000}"/>
    <cellStyle name="Output 4 2 7 8" xfId="44254" xr:uid="{00000000-0005-0000-0000-0000DCAC0000}"/>
    <cellStyle name="Output 4 2 8" xfId="44255" xr:uid="{00000000-0005-0000-0000-0000DDAC0000}"/>
    <cellStyle name="Output 4 2 8 2" xfId="44256" xr:uid="{00000000-0005-0000-0000-0000DEAC0000}"/>
    <cellStyle name="Output 4 2 8 2 2" xfId="44257" xr:uid="{00000000-0005-0000-0000-0000DFAC0000}"/>
    <cellStyle name="Output 4 2 8 2 3" xfId="44258" xr:uid="{00000000-0005-0000-0000-0000E0AC0000}"/>
    <cellStyle name="Output 4 2 8 2 4" xfId="44259" xr:uid="{00000000-0005-0000-0000-0000E1AC0000}"/>
    <cellStyle name="Output 4 2 8 2 5" xfId="44260" xr:uid="{00000000-0005-0000-0000-0000E2AC0000}"/>
    <cellStyle name="Output 4 2 8 2 6" xfId="44261" xr:uid="{00000000-0005-0000-0000-0000E3AC0000}"/>
    <cellStyle name="Output 4 2 8 3" xfId="44262" xr:uid="{00000000-0005-0000-0000-0000E4AC0000}"/>
    <cellStyle name="Output 4 2 8 4" xfId="44263" xr:uid="{00000000-0005-0000-0000-0000E5AC0000}"/>
    <cellStyle name="Output 4 2 8 5" xfId="44264" xr:uid="{00000000-0005-0000-0000-0000E6AC0000}"/>
    <cellStyle name="Output 4 2 8 6" xfId="44265" xr:uid="{00000000-0005-0000-0000-0000E7AC0000}"/>
    <cellStyle name="Output 4 2 9" xfId="44266" xr:uid="{00000000-0005-0000-0000-0000E8AC0000}"/>
    <cellStyle name="Output 4 2 9 2" xfId="44267" xr:uid="{00000000-0005-0000-0000-0000E9AC0000}"/>
    <cellStyle name="Output 4 2 9 2 2" xfId="44268" xr:uid="{00000000-0005-0000-0000-0000EAAC0000}"/>
    <cellStyle name="Output 4 2 9 2 3" xfId="44269" xr:uid="{00000000-0005-0000-0000-0000EBAC0000}"/>
    <cellStyle name="Output 4 2 9 2 4" xfId="44270" xr:uid="{00000000-0005-0000-0000-0000ECAC0000}"/>
    <cellStyle name="Output 4 2 9 2 5" xfId="44271" xr:uid="{00000000-0005-0000-0000-0000EDAC0000}"/>
    <cellStyle name="Output 4 2 9 2 6" xfId="44272" xr:uid="{00000000-0005-0000-0000-0000EEAC0000}"/>
    <cellStyle name="Output 4 2 9 3" xfId="44273" xr:uid="{00000000-0005-0000-0000-0000EFAC0000}"/>
    <cellStyle name="Output 4 2 9 4" xfId="44274" xr:uid="{00000000-0005-0000-0000-0000F0AC0000}"/>
    <cellStyle name="Output 4 2 9 5" xfId="44275" xr:uid="{00000000-0005-0000-0000-0000F1AC0000}"/>
    <cellStyle name="Output 4 2 9 6" xfId="44276" xr:uid="{00000000-0005-0000-0000-0000F2AC0000}"/>
    <cellStyle name="Output 4 3" xfId="44277" xr:uid="{00000000-0005-0000-0000-0000F3AC0000}"/>
    <cellStyle name="Output 4 3 2" xfId="44278" xr:uid="{00000000-0005-0000-0000-0000F4AC0000}"/>
    <cellStyle name="Output 4 3 3" xfId="44279" xr:uid="{00000000-0005-0000-0000-0000F5AC0000}"/>
    <cellStyle name="Output 4 3 4" xfId="44280" xr:uid="{00000000-0005-0000-0000-0000F6AC0000}"/>
    <cellStyle name="Output 4 3 5" xfId="44281" xr:uid="{00000000-0005-0000-0000-0000F7AC0000}"/>
    <cellStyle name="Output 4 3 6" xfId="44282" xr:uid="{00000000-0005-0000-0000-0000F8AC0000}"/>
    <cellStyle name="Output 4 4" xfId="44283" xr:uid="{00000000-0005-0000-0000-0000F9AC0000}"/>
    <cellStyle name="Output 4 5" xfId="44284" xr:uid="{00000000-0005-0000-0000-0000FAAC0000}"/>
    <cellStyle name="Output 4 6" xfId="44285" xr:uid="{00000000-0005-0000-0000-0000FBAC0000}"/>
    <cellStyle name="Output 4 7" xfId="44286" xr:uid="{00000000-0005-0000-0000-0000FCAC0000}"/>
    <cellStyle name="OUTPUT AMOUNTS" xfId="44287" xr:uid="{00000000-0005-0000-0000-0000FDAC0000}"/>
    <cellStyle name="OUTPUT AMOUNTS 10" xfId="44288" xr:uid="{00000000-0005-0000-0000-0000FEAC0000}"/>
    <cellStyle name="OUTPUT AMOUNTS 11" xfId="44289" xr:uid="{00000000-0005-0000-0000-0000FFAC0000}"/>
    <cellStyle name="OUTPUT AMOUNTS 12" xfId="44290" xr:uid="{00000000-0005-0000-0000-000000AD0000}"/>
    <cellStyle name="OUTPUT AMOUNTS 13" xfId="44291" xr:uid="{00000000-0005-0000-0000-000001AD0000}"/>
    <cellStyle name="OUTPUT AMOUNTS 14" xfId="44292" xr:uid="{00000000-0005-0000-0000-000002AD0000}"/>
    <cellStyle name="OUTPUT AMOUNTS 15" xfId="44293" xr:uid="{00000000-0005-0000-0000-000003AD0000}"/>
    <cellStyle name="OUTPUT AMOUNTS 16" xfId="44294" xr:uid="{00000000-0005-0000-0000-000004AD0000}"/>
    <cellStyle name="OUTPUT AMOUNTS 17" xfId="44295" xr:uid="{00000000-0005-0000-0000-000005AD0000}"/>
    <cellStyle name="OUTPUT AMOUNTS 18" xfId="44296" xr:uid="{00000000-0005-0000-0000-000006AD0000}"/>
    <cellStyle name="OUTPUT AMOUNTS 19" xfId="44297" xr:uid="{00000000-0005-0000-0000-000007AD0000}"/>
    <cellStyle name="Output Amounts 2" xfId="44298" xr:uid="{00000000-0005-0000-0000-000008AD0000}"/>
    <cellStyle name="OUTPUT AMOUNTS 20" xfId="44299" xr:uid="{00000000-0005-0000-0000-000009AD0000}"/>
    <cellStyle name="OUTPUT AMOUNTS 21" xfId="44300" xr:uid="{00000000-0005-0000-0000-00000AAD0000}"/>
    <cellStyle name="OUTPUT AMOUNTS 22" xfId="44301" xr:uid="{00000000-0005-0000-0000-00000BAD0000}"/>
    <cellStyle name="OUTPUT AMOUNTS 23" xfId="44302" xr:uid="{00000000-0005-0000-0000-00000CAD0000}"/>
    <cellStyle name="OUTPUT AMOUNTS 24" xfId="44303" xr:uid="{00000000-0005-0000-0000-00000DAD0000}"/>
    <cellStyle name="OUTPUT AMOUNTS 25" xfId="44304" xr:uid="{00000000-0005-0000-0000-00000EAD0000}"/>
    <cellStyle name="OUTPUT AMOUNTS 26" xfId="44305" xr:uid="{00000000-0005-0000-0000-00000FAD0000}"/>
    <cellStyle name="OUTPUT AMOUNTS 27" xfId="44306" xr:uid="{00000000-0005-0000-0000-000010AD0000}"/>
    <cellStyle name="OUTPUT AMOUNTS 28" xfId="44307" xr:uid="{00000000-0005-0000-0000-000011AD0000}"/>
    <cellStyle name="OUTPUT AMOUNTS 29" xfId="44308" xr:uid="{00000000-0005-0000-0000-000012AD0000}"/>
    <cellStyle name="Output Amounts 3" xfId="44309" xr:uid="{00000000-0005-0000-0000-000013AD0000}"/>
    <cellStyle name="OUTPUT AMOUNTS 30" xfId="44310" xr:uid="{00000000-0005-0000-0000-000014AD0000}"/>
    <cellStyle name="OUTPUT AMOUNTS 31" xfId="44311" xr:uid="{00000000-0005-0000-0000-000015AD0000}"/>
    <cellStyle name="OUTPUT AMOUNTS 32" xfId="44312" xr:uid="{00000000-0005-0000-0000-000016AD0000}"/>
    <cellStyle name="OUTPUT AMOUNTS 33" xfId="44313" xr:uid="{00000000-0005-0000-0000-000017AD0000}"/>
    <cellStyle name="OUTPUT AMOUNTS 34" xfId="44314" xr:uid="{00000000-0005-0000-0000-000018AD0000}"/>
    <cellStyle name="OUTPUT AMOUNTS 35" xfId="44315" xr:uid="{00000000-0005-0000-0000-000019AD0000}"/>
    <cellStyle name="OUTPUT AMOUNTS 36" xfId="44316" xr:uid="{00000000-0005-0000-0000-00001AAD0000}"/>
    <cellStyle name="OUTPUT AMOUNTS 37" xfId="44317" xr:uid="{00000000-0005-0000-0000-00001BAD0000}"/>
    <cellStyle name="OUTPUT AMOUNTS 38" xfId="44318" xr:uid="{00000000-0005-0000-0000-00001CAD0000}"/>
    <cellStyle name="OUTPUT AMOUNTS 39" xfId="44319" xr:uid="{00000000-0005-0000-0000-00001DAD0000}"/>
    <cellStyle name="OUTPUT AMOUNTS 4" xfId="44320" xr:uid="{00000000-0005-0000-0000-00001EAD0000}"/>
    <cellStyle name="OUTPUT AMOUNTS 40" xfId="44321" xr:uid="{00000000-0005-0000-0000-00001FAD0000}"/>
    <cellStyle name="OUTPUT AMOUNTS 41" xfId="44322" xr:uid="{00000000-0005-0000-0000-000020AD0000}"/>
    <cellStyle name="OUTPUT AMOUNTS 42" xfId="44323" xr:uid="{00000000-0005-0000-0000-000021AD0000}"/>
    <cellStyle name="OUTPUT AMOUNTS 43" xfId="44324" xr:uid="{00000000-0005-0000-0000-000022AD0000}"/>
    <cellStyle name="OUTPUT AMOUNTS 44" xfId="44325" xr:uid="{00000000-0005-0000-0000-000023AD0000}"/>
    <cellStyle name="OUTPUT AMOUNTS 45" xfId="44326" xr:uid="{00000000-0005-0000-0000-000024AD0000}"/>
    <cellStyle name="OUTPUT AMOUNTS 46" xfId="44327" xr:uid="{00000000-0005-0000-0000-000025AD0000}"/>
    <cellStyle name="OUTPUT AMOUNTS 47" xfId="44328" xr:uid="{00000000-0005-0000-0000-000026AD0000}"/>
    <cellStyle name="OUTPUT AMOUNTS 48" xfId="44329" xr:uid="{00000000-0005-0000-0000-000027AD0000}"/>
    <cellStyle name="OUTPUT AMOUNTS 49" xfId="44330" xr:uid="{00000000-0005-0000-0000-000028AD0000}"/>
    <cellStyle name="OUTPUT AMOUNTS 5" xfId="44331" xr:uid="{00000000-0005-0000-0000-000029AD0000}"/>
    <cellStyle name="OUTPUT AMOUNTS 50" xfId="44332" xr:uid="{00000000-0005-0000-0000-00002AAD0000}"/>
    <cellStyle name="OUTPUT AMOUNTS 51" xfId="44333" xr:uid="{00000000-0005-0000-0000-00002BAD0000}"/>
    <cellStyle name="OUTPUT AMOUNTS 52" xfId="44334" xr:uid="{00000000-0005-0000-0000-00002CAD0000}"/>
    <cellStyle name="OUTPUT AMOUNTS 53" xfId="44335" xr:uid="{00000000-0005-0000-0000-00002DAD0000}"/>
    <cellStyle name="OUTPUT AMOUNTS 54" xfId="44336" xr:uid="{00000000-0005-0000-0000-00002EAD0000}"/>
    <cellStyle name="OUTPUT AMOUNTS 55" xfId="44337" xr:uid="{00000000-0005-0000-0000-00002FAD0000}"/>
    <cellStyle name="OUTPUT AMOUNTS 56" xfId="44338" xr:uid="{00000000-0005-0000-0000-000030AD0000}"/>
    <cellStyle name="OUTPUT AMOUNTS 57" xfId="44339" xr:uid="{00000000-0005-0000-0000-000031AD0000}"/>
    <cellStyle name="OUTPUT AMOUNTS 58" xfId="44340" xr:uid="{00000000-0005-0000-0000-000032AD0000}"/>
    <cellStyle name="OUTPUT AMOUNTS 59" xfId="44341" xr:uid="{00000000-0005-0000-0000-000033AD0000}"/>
    <cellStyle name="OUTPUT AMOUNTS 6" xfId="44342" xr:uid="{00000000-0005-0000-0000-000034AD0000}"/>
    <cellStyle name="OUTPUT AMOUNTS 60" xfId="44343" xr:uid="{00000000-0005-0000-0000-000035AD0000}"/>
    <cellStyle name="OUTPUT AMOUNTS 61" xfId="44344" xr:uid="{00000000-0005-0000-0000-000036AD0000}"/>
    <cellStyle name="OUTPUT AMOUNTS 62" xfId="44345" xr:uid="{00000000-0005-0000-0000-000037AD0000}"/>
    <cellStyle name="OUTPUT AMOUNTS 63" xfId="44346" xr:uid="{00000000-0005-0000-0000-000038AD0000}"/>
    <cellStyle name="OUTPUT AMOUNTS 64" xfId="44347" xr:uid="{00000000-0005-0000-0000-000039AD0000}"/>
    <cellStyle name="OUTPUT AMOUNTS 65" xfId="44348" xr:uid="{00000000-0005-0000-0000-00003AAD0000}"/>
    <cellStyle name="OUTPUT AMOUNTS 66" xfId="44349" xr:uid="{00000000-0005-0000-0000-00003BAD0000}"/>
    <cellStyle name="OUTPUT AMOUNTS 67" xfId="44350" xr:uid="{00000000-0005-0000-0000-00003CAD0000}"/>
    <cellStyle name="OUTPUT AMOUNTS 68" xfId="44351" xr:uid="{00000000-0005-0000-0000-00003DAD0000}"/>
    <cellStyle name="OUTPUT AMOUNTS 69" xfId="44352" xr:uid="{00000000-0005-0000-0000-00003EAD0000}"/>
    <cellStyle name="OUTPUT AMOUNTS 7" xfId="44353" xr:uid="{00000000-0005-0000-0000-00003FAD0000}"/>
    <cellStyle name="OUTPUT AMOUNTS 70" xfId="44354" xr:uid="{00000000-0005-0000-0000-000040AD0000}"/>
    <cellStyle name="OUTPUT AMOUNTS 71" xfId="44355" xr:uid="{00000000-0005-0000-0000-000041AD0000}"/>
    <cellStyle name="OUTPUT AMOUNTS 72" xfId="44356" xr:uid="{00000000-0005-0000-0000-000042AD0000}"/>
    <cellStyle name="OUTPUT AMOUNTS 73" xfId="44357" xr:uid="{00000000-0005-0000-0000-000043AD0000}"/>
    <cellStyle name="OUTPUT AMOUNTS 74" xfId="44358" xr:uid="{00000000-0005-0000-0000-000044AD0000}"/>
    <cellStyle name="OUTPUT AMOUNTS 75" xfId="44359" xr:uid="{00000000-0005-0000-0000-000045AD0000}"/>
    <cellStyle name="OUTPUT AMOUNTS 76" xfId="44360" xr:uid="{00000000-0005-0000-0000-000046AD0000}"/>
    <cellStyle name="OUTPUT AMOUNTS 77" xfId="44361" xr:uid="{00000000-0005-0000-0000-000047AD0000}"/>
    <cellStyle name="OUTPUT AMOUNTS 78" xfId="44362" xr:uid="{00000000-0005-0000-0000-000048AD0000}"/>
    <cellStyle name="OUTPUT AMOUNTS 79" xfId="44363" xr:uid="{00000000-0005-0000-0000-000049AD0000}"/>
    <cellStyle name="OUTPUT AMOUNTS 8" xfId="44364" xr:uid="{00000000-0005-0000-0000-00004AAD0000}"/>
    <cellStyle name="OUTPUT AMOUNTS 80" xfId="44365" xr:uid="{00000000-0005-0000-0000-00004BAD0000}"/>
    <cellStyle name="OUTPUT AMOUNTS 81" xfId="44366" xr:uid="{00000000-0005-0000-0000-00004CAD0000}"/>
    <cellStyle name="OUTPUT AMOUNTS 82" xfId="44367" xr:uid="{00000000-0005-0000-0000-00004DAD0000}"/>
    <cellStyle name="OUTPUT AMOUNTS 9" xfId="44368" xr:uid="{00000000-0005-0000-0000-00004EAD0000}"/>
    <cellStyle name="OUTPUT COLUMN HEADINGS" xfId="44369" xr:uid="{00000000-0005-0000-0000-00004FAD0000}"/>
    <cellStyle name="Output Column Headings 2" xfId="44370" xr:uid="{00000000-0005-0000-0000-000050AD0000}"/>
    <cellStyle name="Output Column Headings 3" xfId="44371" xr:uid="{00000000-0005-0000-0000-000051AD0000}"/>
    <cellStyle name="OUTPUT LINE ITEMS" xfId="44372" xr:uid="{00000000-0005-0000-0000-000052AD0000}"/>
    <cellStyle name="Output Line Items 2" xfId="44373" xr:uid="{00000000-0005-0000-0000-000053AD0000}"/>
    <cellStyle name="Output Line Items 3" xfId="44374" xr:uid="{00000000-0005-0000-0000-000054AD0000}"/>
    <cellStyle name="OUTPUT REPORT TITLE" xfId="44375" xr:uid="{00000000-0005-0000-0000-000055AD0000}"/>
    <cellStyle name="Page Heading Large" xfId="44376" xr:uid="{00000000-0005-0000-0000-000056AD0000}"/>
    <cellStyle name="Page Heading Small" xfId="44377" xr:uid="{00000000-0005-0000-0000-000057AD0000}"/>
    <cellStyle name="per.style" xfId="44378" xr:uid="{00000000-0005-0000-0000-000058AD0000}"/>
    <cellStyle name="Percent" xfId="3" builtinId="5"/>
    <cellStyle name="Percent (0.0)" xfId="44379" xr:uid="{00000000-0005-0000-0000-00005AAD0000}"/>
    <cellStyle name="Percent (0.0) 2" xfId="44380" xr:uid="{00000000-0005-0000-0000-00005BAD0000}"/>
    <cellStyle name="Percent [0]" xfId="44381" xr:uid="{00000000-0005-0000-0000-00005CAD0000}"/>
    <cellStyle name="Percent [00]" xfId="44382" xr:uid="{00000000-0005-0000-0000-00005DAD0000}"/>
    <cellStyle name="Percent [00] 2" xfId="44383" xr:uid="{00000000-0005-0000-0000-00005EAD0000}"/>
    <cellStyle name="Percent [2]" xfId="44384" xr:uid="{00000000-0005-0000-0000-00005FAD0000}"/>
    <cellStyle name="Percent [2] 10" xfId="44385" xr:uid="{00000000-0005-0000-0000-000060AD0000}"/>
    <cellStyle name="Percent [2] 10 2" xfId="44386" xr:uid="{00000000-0005-0000-0000-000061AD0000}"/>
    <cellStyle name="Percent [2] 2" xfId="44387" xr:uid="{00000000-0005-0000-0000-000062AD0000}"/>
    <cellStyle name="Percent [2] 2 2" xfId="44388" xr:uid="{00000000-0005-0000-0000-000063AD0000}"/>
    <cellStyle name="Percent [2] 3" xfId="44389" xr:uid="{00000000-0005-0000-0000-000064AD0000}"/>
    <cellStyle name="Percent [2] 3 2" xfId="44390" xr:uid="{00000000-0005-0000-0000-000065AD0000}"/>
    <cellStyle name="Percent [2] 4" xfId="44391" xr:uid="{00000000-0005-0000-0000-000066AD0000}"/>
    <cellStyle name="Percent [2] 4 2" xfId="44392" xr:uid="{00000000-0005-0000-0000-000067AD0000}"/>
    <cellStyle name="Percent [2] 5" xfId="44393" xr:uid="{00000000-0005-0000-0000-000068AD0000}"/>
    <cellStyle name="Percent [2] 5 2" xfId="44394" xr:uid="{00000000-0005-0000-0000-000069AD0000}"/>
    <cellStyle name="Percent [2] 6" xfId="44395" xr:uid="{00000000-0005-0000-0000-00006AAD0000}"/>
    <cellStyle name="Percent [2] 6 2" xfId="44396" xr:uid="{00000000-0005-0000-0000-00006BAD0000}"/>
    <cellStyle name="Percent [2] 7" xfId="44397" xr:uid="{00000000-0005-0000-0000-00006CAD0000}"/>
    <cellStyle name="Percent [2] 7 2" xfId="44398" xr:uid="{00000000-0005-0000-0000-00006DAD0000}"/>
    <cellStyle name="Percent [2] 8" xfId="44399" xr:uid="{00000000-0005-0000-0000-00006EAD0000}"/>
    <cellStyle name="Percent [2] 8 2" xfId="44400" xr:uid="{00000000-0005-0000-0000-00006FAD0000}"/>
    <cellStyle name="Percent [2] 9" xfId="44401" xr:uid="{00000000-0005-0000-0000-000070AD0000}"/>
    <cellStyle name="Percent [2] 9 2" xfId="44402" xr:uid="{00000000-0005-0000-0000-000071AD0000}"/>
    <cellStyle name="Percent 10" xfId="44403" xr:uid="{00000000-0005-0000-0000-000072AD0000}"/>
    <cellStyle name="Percent 10 2" xfId="44404" xr:uid="{00000000-0005-0000-0000-000073AD0000}"/>
    <cellStyle name="Percent 10 2 2" xfId="44405" xr:uid="{00000000-0005-0000-0000-000074AD0000}"/>
    <cellStyle name="Percent 10 3" xfId="44406" xr:uid="{00000000-0005-0000-0000-000075AD0000}"/>
    <cellStyle name="Percent 10 4" xfId="44407" xr:uid="{00000000-0005-0000-0000-000076AD0000}"/>
    <cellStyle name="Percent 11" xfId="44408" xr:uid="{00000000-0005-0000-0000-000077AD0000}"/>
    <cellStyle name="Percent 11 2" xfId="44409" xr:uid="{00000000-0005-0000-0000-000078AD0000}"/>
    <cellStyle name="Percent 11 3" xfId="44410" xr:uid="{00000000-0005-0000-0000-000079AD0000}"/>
    <cellStyle name="Percent 12" xfId="44411" xr:uid="{00000000-0005-0000-0000-00007AAD0000}"/>
    <cellStyle name="Percent 12 2" xfId="44412" xr:uid="{00000000-0005-0000-0000-00007BAD0000}"/>
    <cellStyle name="Percent 12 3" xfId="44413" xr:uid="{00000000-0005-0000-0000-00007CAD0000}"/>
    <cellStyle name="Percent 13" xfId="44414" xr:uid="{00000000-0005-0000-0000-00007DAD0000}"/>
    <cellStyle name="Percent 13 2" xfId="44415" xr:uid="{00000000-0005-0000-0000-00007EAD0000}"/>
    <cellStyle name="Percent 13 3" xfId="44416" xr:uid="{00000000-0005-0000-0000-00007FAD0000}"/>
    <cellStyle name="Percent 14" xfId="44417" xr:uid="{00000000-0005-0000-0000-000080AD0000}"/>
    <cellStyle name="Percent 14 2" xfId="44418" xr:uid="{00000000-0005-0000-0000-000081AD0000}"/>
    <cellStyle name="Percent 14 3" xfId="44419" xr:uid="{00000000-0005-0000-0000-000082AD0000}"/>
    <cellStyle name="Percent 14 3 2" xfId="44420" xr:uid="{00000000-0005-0000-0000-000083AD0000}"/>
    <cellStyle name="Percent 14 3 2 2" xfId="44421" xr:uid="{00000000-0005-0000-0000-000084AD0000}"/>
    <cellStyle name="Percent 14 3 2 2 2" xfId="44422" xr:uid="{00000000-0005-0000-0000-000085AD0000}"/>
    <cellStyle name="Percent 14 3 2 3" xfId="44423" xr:uid="{00000000-0005-0000-0000-000086AD0000}"/>
    <cellStyle name="Percent 14 3 3" xfId="44424" xr:uid="{00000000-0005-0000-0000-000087AD0000}"/>
    <cellStyle name="Percent 14 3 3 2" xfId="44425" xr:uid="{00000000-0005-0000-0000-000088AD0000}"/>
    <cellStyle name="Percent 14 3 4" xfId="44426" xr:uid="{00000000-0005-0000-0000-000089AD0000}"/>
    <cellStyle name="Percent 14 4" xfId="44427" xr:uid="{00000000-0005-0000-0000-00008AAD0000}"/>
    <cellStyle name="Percent 14 4 2" xfId="44428" xr:uid="{00000000-0005-0000-0000-00008BAD0000}"/>
    <cellStyle name="Percent 14 4 2 2" xfId="44429" xr:uid="{00000000-0005-0000-0000-00008CAD0000}"/>
    <cellStyle name="Percent 14 4 3" xfId="44430" xr:uid="{00000000-0005-0000-0000-00008DAD0000}"/>
    <cellStyle name="Percent 14 5" xfId="44431" xr:uid="{00000000-0005-0000-0000-00008EAD0000}"/>
    <cellStyle name="Percent 14 5 2" xfId="44432" xr:uid="{00000000-0005-0000-0000-00008FAD0000}"/>
    <cellStyle name="Percent 14 6" xfId="44433" xr:uid="{00000000-0005-0000-0000-000090AD0000}"/>
    <cellStyle name="Percent 15" xfId="44434" xr:uid="{00000000-0005-0000-0000-000091AD0000}"/>
    <cellStyle name="Percent 15 2" xfId="44435" xr:uid="{00000000-0005-0000-0000-000092AD0000}"/>
    <cellStyle name="Percent 15 2 2" xfId="44436" xr:uid="{00000000-0005-0000-0000-000093AD0000}"/>
    <cellStyle name="Percent 15 3" xfId="44437" xr:uid="{00000000-0005-0000-0000-000094AD0000}"/>
    <cellStyle name="Percent 15 4" xfId="44438" xr:uid="{00000000-0005-0000-0000-000095AD0000}"/>
    <cellStyle name="Percent 16" xfId="44439" xr:uid="{00000000-0005-0000-0000-000096AD0000}"/>
    <cellStyle name="Percent 16 2" xfId="44440" xr:uid="{00000000-0005-0000-0000-000097AD0000}"/>
    <cellStyle name="Percent 16 3" xfId="44441" xr:uid="{00000000-0005-0000-0000-000098AD0000}"/>
    <cellStyle name="Percent 17" xfId="44442" xr:uid="{00000000-0005-0000-0000-000099AD0000}"/>
    <cellStyle name="Percent 17 2" xfId="44443" xr:uid="{00000000-0005-0000-0000-00009AAD0000}"/>
    <cellStyle name="Percent 18" xfId="44444" xr:uid="{00000000-0005-0000-0000-00009BAD0000}"/>
    <cellStyle name="Percent 18 2" xfId="44445" xr:uid="{00000000-0005-0000-0000-00009CAD0000}"/>
    <cellStyle name="Percent 19" xfId="44446" xr:uid="{00000000-0005-0000-0000-00009DAD0000}"/>
    <cellStyle name="Percent 19 2" xfId="44447" xr:uid="{00000000-0005-0000-0000-00009EAD0000}"/>
    <cellStyle name="Percent 2" xfId="44448" xr:uid="{00000000-0005-0000-0000-00009FAD0000}"/>
    <cellStyle name="Percent 2 10" xfId="44449" xr:uid="{00000000-0005-0000-0000-0000A0AD0000}"/>
    <cellStyle name="Percent 2 11" xfId="44450" xr:uid="{00000000-0005-0000-0000-0000A1AD0000}"/>
    <cellStyle name="Percent 2 12" xfId="44451" xr:uid="{00000000-0005-0000-0000-0000A2AD0000}"/>
    <cellStyle name="Percent 2 13" xfId="44452" xr:uid="{00000000-0005-0000-0000-0000A3AD0000}"/>
    <cellStyle name="Percent 2 14" xfId="44453" xr:uid="{00000000-0005-0000-0000-0000A4AD0000}"/>
    <cellStyle name="Percent 2 15" xfId="44454" xr:uid="{00000000-0005-0000-0000-0000A5AD0000}"/>
    <cellStyle name="Percent 2 16" xfId="44455" xr:uid="{00000000-0005-0000-0000-0000A6AD0000}"/>
    <cellStyle name="Percent 2 17" xfId="44456" xr:uid="{00000000-0005-0000-0000-0000A7AD0000}"/>
    <cellStyle name="Percent 2 18" xfId="44457" xr:uid="{00000000-0005-0000-0000-0000A8AD0000}"/>
    <cellStyle name="Percent 2 19" xfId="44458" xr:uid="{00000000-0005-0000-0000-0000A9AD0000}"/>
    <cellStyle name="Percent 2 2" xfId="44459" xr:uid="{00000000-0005-0000-0000-0000AAAD0000}"/>
    <cellStyle name="Percent 2 2 2" xfId="44460" xr:uid="{00000000-0005-0000-0000-0000ABAD0000}"/>
    <cellStyle name="Percent 2 2 3" xfId="44461" xr:uid="{00000000-0005-0000-0000-0000ACAD0000}"/>
    <cellStyle name="Percent 2 20" xfId="44462" xr:uid="{00000000-0005-0000-0000-0000ADAD0000}"/>
    <cellStyle name="Percent 2 21" xfId="44463" xr:uid="{00000000-0005-0000-0000-0000AEAD0000}"/>
    <cellStyle name="Percent 2 22" xfId="44464" xr:uid="{00000000-0005-0000-0000-0000AFAD0000}"/>
    <cellStyle name="Percent 2 23" xfId="44465" xr:uid="{00000000-0005-0000-0000-0000B0AD0000}"/>
    <cellStyle name="Percent 2 3" xfId="44466" xr:uid="{00000000-0005-0000-0000-0000B1AD0000}"/>
    <cellStyle name="Percent 2 4" xfId="44467" xr:uid="{00000000-0005-0000-0000-0000B2AD0000}"/>
    <cellStyle name="Percent 2 4 10" xfId="44468" xr:uid="{00000000-0005-0000-0000-0000B3AD0000}"/>
    <cellStyle name="Percent 2 4 11" xfId="44469" xr:uid="{00000000-0005-0000-0000-0000B4AD0000}"/>
    <cellStyle name="Percent 2 4 12" xfId="44470" xr:uid="{00000000-0005-0000-0000-0000B5AD0000}"/>
    <cellStyle name="Percent 2 4 13" xfId="44471" xr:uid="{00000000-0005-0000-0000-0000B6AD0000}"/>
    <cellStyle name="Percent 2 4 14" xfId="44472" xr:uid="{00000000-0005-0000-0000-0000B7AD0000}"/>
    <cellStyle name="Percent 2 4 15" xfId="44473" xr:uid="{00000000-0005-0000-0000-0000B8AD0000}"/>
    <cellStyle name="Percent 2 4 16" xfId="44474" xr:uid="{00000000-0005-0000-0000-0000B9AD0000}"/>
    <cellStyle name="Percent 2 4 17" xfId="44475" xr:uid="{00000000-0005-0000-0000-0000BAAD0000}"/>
    <cellStyle name="Percent 2 4 18" xfId="44476" xr:uid="{00000000-0005-0000-0000-0000BBAD0000}"/>
    <cellStyle name="Percent 2 4 19" xfId="44477" xr:uid="{00000000-0005-0000-0000-0000BCAD0000}"/>
    <cellStyle name="Percent 2 4 19 2" xfId="44478" xr:uid="{00000000-0005-0000-0000-0000BDAD0000}"/>
    <cellStyle name="Percent 2 4 19 3" xfId="44479" xr:uid="{00000000-0005-0000-0000-0000BEAD0000}"/>
    <cellStyle name="Percent 2 4 2" xfId="44480" xr:uid="{00000000-0005-0000-0000-0000BFAD0000}"/>
    <cellStyle name="Percent 2 4 2 2" xfId="44481" xr:uid="{00000000-0005-0000-0000-0000C0AD0000}"/>
    <cellStyle name="Percent 2 4 20" xfId="44482" xr:uid="{00000000-0005-0000-0000-0000C1AD0000}"/>
    <cellStyle name="Percent 2 4 21" xfId="44483" xr:uid="{00000000-0005-0000-0000-0000C2AD0000}"/>
    <cellStyle name="Percent 2 4 22" xfId="44484" xr:uid="{00000000-0005-0000-0000-0000C3AD0000}"/>
    <cellStyle name="Percent 2 4 3" xfId="44485" xr:uid="{00000000-0005-0000-0000-0000C4AD0000}"/>
    <cellStyle name="Percent 2 4 4" xfId="44486" xr:uid="{00000000-0005-0000-0000-0000C5AD0000}"/>
    <cellStyle name="Percent 2 4 5" xfId="44487" xr:uid="{00000000-0005-0000-0000-0000C6AD0000}"/>
    <cellStyle name="Percent 2 4 6" xfId="44488" xr:uid="{00000000-0005-0000-0000-0000C7AD0000}"/>
    <cellStyle name="Percent 2 4 7" xfId="44489" xr:uid="{00000000-0005-0000-0000-0000C8AD0000}"/>
    <cellStyle name="Percent 2 4 8" xfId="44490" xr:uid="{00000000-0005-0000-0000-0000C9AD0000}"/>
    <cellStyle name="Percent 2 4 9" xfId="44491" xr:uid="{00000000-0005-0000-0000-0000CAAD0000}"/>
    <cellStyle name="Percent 2 5" xfId="44492" xr:uid="{00000000-0005-0000-0000-0000CBAD0000}"/>
    <cellStyle name="Percent 2 5 10" xfId="44493" xr:uid="{00000000-0005-0000-0000-0000CCAD0000}"/>
    <cellStyle name="Percent 2 5 11" xfId="44494" xr:uid="{00000000-0005-0000-0000-0000CDAD0000}"/>
    <cellStyle name="Percent 2 5 12" xfId="44495" xr:uid="{00000000-0005-0000-0000-0000CEAD0000}"/>
    <cellStyle name="Percent 2 5 13" xfId="44496" xr:uid="{00000000-0005-0000-0000-0000CFAD0000}"/>
    <cellStyle name="Percent 2 5 14" xfId="44497" xr:uid="{00000000-0005-0000-0000-0000D0AD0000}"/>
    <cellStyle name="Percent 2 5 15" xfId="44498" xr:uid="{00000000-0005-0000-0000-0000D1AD0000}"/>
    <cellStyle name="Percent 2 5 16" xfId="44499" xr:uid="{00000000-0005-0000-0000-0000D2AD0000}"/>
    <cellStyle name="Percent 2 5 17" xfId="44500" xr:uid="{00000000-0005-0000-0000-0000D3AD0000}"/>
    <cellStyle name="Percent 2 5 18" xfId="44501" xr:uid="{00000000-0005-0000-0000-0000D4AD0000}"/>
    <cellStyle name="Percent 2 5 19" xfId="44502" xr:uid="{00000000-0005-0000-0000-0000D5AD0000}"/>
    <cellStyle name="Percent 2 5 19 2" xfId="44503" xr:uid="{00000000-0005-0000-0000-0000D6AD0000}"/>
    <cellStyle name="Percent 2 5 19 3" xfId="44504" xr:uid="{00000000-0005-0000-0000-0000D7AD0000}"/>
    <cellStyle name="Percent 2 5 2" xfId="44505" xr:uid="{00000000-0005-0000-0000-0000D8AD0000}"/>
    <cellStyle name="Percent 2 5 20" xfId="44506" xr:uid="{00000000-0005-0000-0000-0000D9AD0000}"/>
    <cellStyle name="Percent 2 5 21" xfId="44507" xr:uid="{00000000-0005-0000-0000-0000DAAD0000}"/>
    <cellStyle name="Percent 2 5 3" xfId="44508" xr:uid="{00000000-0005-0000-0000-0000DBAD0000}"/>
    <cellStyle name="Percent 2 5 4" xfId="44509" xr:uid="{00000000-0005-0000-0000-0000DCAD0000}"/>
    <cellStyle name="Percent 2 5 5" xfId="44510" xr:uid="{00000000-0005-0000-0000-0000DDAD0000}"/>
    <cellStyle name="Percent 2 5 6" xfId="44511" xr:uid="{00000000-0005-0000-0000-0000DEAD0000}"/>
    <cellStyle name="Percent 2 5 7" xfId="44512" xr:uid="{00000000-0005-0000-0000-0000DFAD0000}"/>
    <cellStyle name="Percent 2 5 8" xfId="44513" xr:uid="{00000000-0005-0000-0000-0000E0AD0000}"/>
    <cellStyle name="Percent 2 5 9" xfId="44514" xr:uid="{00000000-0005-0000-0000-0000E1AD0000}"/>
    <cellStyle name="Percent 2 6" xfId="44515" xr:uid="{00000000-0005-0000-0000-0000E2AD0000}"/>
    <cellStyle name="Percent 2 6 2" xfId="44516" xr:uid="{00000000-0005-0000-0000-0000E3AD0000}"/>
    <cellStyle name="Percent 2 6 2 2" xfId="44517" xr:uid="{00000000-0005-0000-0000-0000E4AD0000}"/>
    <cellStyle name="Percent 2 6 2 2 2" xfId="44518" xr:uid="{00000000-0005-0000-0000-0000E5AD0000}"/>
    <cellStyle name="Percent 2 6 2 3" xfId="44519" xr:uid="{00000000-0005-0000-0000-0000E6AD0000}"/>
    <cellStyle name="Percent 2 6 3" xfId="44520" xr:uid="{00000000-0005-0000-0000-0000E7AD0000}"/>
    <cellStyle name="Percent 2 6 3 2" xfId="44521" xr:uid="{00000000-0005-0000-0000-0000E8AD0000}"/>
    <cellStyle name="Percent 2 6 4" xfId="44522" xr:uid="{00000000-0005-0000-0000-0000E9AD0000}"/>
    <cellStyle name="Percent 2 6 5" xfId="44523" xr:uid="{00000000-0005-0000-0000-0000EAAD0000}"/>
    <cellStyle name="Percent 2 7" xfId="44524" xr:uid="{00000000-0005-0000-0000-0000EBAD0000}"/>
    <cellStyle name="Percent 2 7 2" xfId="44525" xr:uid="{00000000-0005-0000-0000-0000ECAD0000}"/>
    <cellStyle name="Percent 2 7 2 2" xfId="44526" xr:uid="{00000000-0005-0000-0000-0000EDAD0000}"/>
    <cellStyle name="Percent 2 7 3" xfId="44527" xr:uid="{00000000-0005-0000-0000-0000EEAD0000}"/>
    <cellStyle name="Percent 2 7 4" xfId="44528" xr:uid="{00000000-0005-0000-0000-0000EFAD0000}"/>
    <cellStyle name="Percent 2 8" xfId="44529" xr:uid="{00000000-0005-0000-0000-0000F0AD0000}"/>
    <cellStyle name="Percent 2 8 2" xfId="44530" xr:uid="{00000000-0005-0000-0000-0000F1AD0000}"/>
    <cellStyle name="Percent 2 8 3" xfId="44531" xr:uid="{00000000-0005-0000-0000-0000F2AD0000}"/>
    <cellStyle name="Percent 2 9" xfId="44532" xr:uid="{00000000-0005-0000-0000-0000F3AD0000}"/>
    <cellStyle name="Percent 2 9 2" xfId="44533" xr:uid="{00000000-0005-0000-0000-0000F4AD0000}"/>
    <cellStyle name="Percent 20" xfId="44534" xr:uid="{00000000-0005-0000-0000-0000F5AD0000}"/>
    <cellStyle name="Percent 20 2" xfId="44535" xr:uid="{00000000-0005-0000-0000-0000F6AD0000}"/>
    <cellStyle name="Percent 21" xfId="44536" xr:uid="{00000000-0005-0000-0000-0000F7AD0000}"/>
    <cellStyle name="Percent 21 2" xfId="44537" xr:uid="{00000000-0005-0000-0000-0000F8AD0000}"/>
    <cellStyle name="Percent 21 2 2" xfId="44538" xr:uid="{00000000-0005-0000-0000-0000F9AD0000}"/>
    <cellStyle name="Percent 21 2 2 2" xfId="44539" xr:uid="{00000000-0005-0000-0000-0000FAAD0000}"/>
    <cellStyle name="Percent 21 2 2 2 2" xfId="44540" xr:uid="{00000000-0005-0000-0000-0000FBAD0000}"/>
    <cellStyle name="Percent 21 2 2 3" xfId="44541" xr:uid="{00000000-0005-0000-0000-0000FCAD0000}"/>
    <cellStyle name="Percent 21 2 3" xfId="44542" xr:uid="{00000000-0005-0000-0000-0000FDAD0000}"/>
    <cellStyle name="Percent 21 2 3 2" xfId="44543" xr:uid="{00000000-0005-0000-0000-0000FEAD0000}"/>
    <cellStyle name="Percent 21 2 4" xfId="44544" xr:uid="{00000000-0005-0000-0000-0000FFAD0000}"/>
    <cellStyle name="Percent 21 3" xfId="44545" xr:uid="{00000000-0005-0000-0000-000000AE0000}"/>
    <cellStyle name="Percent 21 3 2" xfId="44546" xr:uid="{00000000-0005-0000-0000-000001AE0000}"/>
    <cellStyle name="Percent 21 3 2 2" xfId="44547" xr:uid="{00000000-0005-0000-0000-000002AE0000}"/>
    <cellStyle name="Percent 21 3 3" xfId="44548" xr:uid="{00000000-0005-0000-0000-000003AE0000}"/>
    <cellStyle name="Percent 21 4" xfId="44549" xr:uid="{00000000-0005-0000-0000-000004AE0000}"/>
    <cellStyle name="Percent 21 4 2" xfId="44550" xr:uid="{00000000-0005-0000-0000-000005AE0000}"/>
    <cellStyle name="Percent 21 5" xfId="44551" xr:uid="{00000000-0005-0000-0000-000006AE0000}"/>
    <cellStyle name="Percent 22" xfId="44552" xr:uid="{00000000-0005-0000-0000-000007AE0000}"/>
    <cellStyle name="Percent 23" xfId="44553" xr:uid="{00000000-0005-0000-0000-000008AE0000}"/>
    <cellStyle name="Percent 24" xfId="44554" xr:uid="{00000000-0005-0000-0000-000009AE0000}"/>
    <cellStyle name="Percent 25" xfId="44555" xr:uid="{00000000-0005-0000-0000-00000AAE0000}"/>
    <cellStyle name="Percent 26" xfId="44556" xr:uid="{00000000-0005-0000-0000-00000BAE0000}"/>
    <cellStyle name="Percent 27" xfId="44557" xr:uid="{00000000-0005-0000-0000-00000CAE0000}"/>
    <cellStyle name="Percent 28" xfId="44558" xr:uid="{00000000-0005-0000-0000-00000DAE0000}"/>
    <cellStyle name="Percent 29" xfId="44559" xr:uid="{00000000-0005-0000-0000-00000EAE0000}"/>
    <cellStyle name="Percent 3" xfId="5" xr:uid="{00000000-0005-0000-0000-00000FAE0000}"/>
    <cellStyle name="Percent 3 10" xfId="44560" xr:uid="{00000000-0005-0000-0000-000010AE0000}"/>
    <cellStyle name="Percent 3 11" xfId="44561" xr:uid="{00000000-0005-0000-0000-000011AE0000}"/>
    <cellStyle name="Percent 3 12" xfId="44562" xr:uid="{00000000-0005-0000-0000-000012AE0000}"/>
    <cellStyle name="Percent 3 13" xfId="44563" xr:uid="{00000000-0005-0000-0000-000013AE0000}"/>
    <cellStyle name="Percent 3 14" xfId="44564" xr:uid="{00000000-0005-0000-0000-000014AE0000}"/>
    <cellStyle name="Percent 3 15" xfId="44565" xr:uid="{00000000-0005-0000-0000-000015AE0000}"/>
    <cellStyle name="Percent 3 16" xfId="44566" xr:uid="{00000000-0005-0000-0000-000016AE0000}"/>
    <cellStyle name="Percent 3 17" xfId="44567" xr:uid="{00000000-0005-0000-0000-000017AE0000}"/>
    <cellStyle name="Percent 3 18" xfId="44568" xr:uid="{00000000-0005-0000-0000-000018AE0000}"/>
    <cellStyle name="Percent 3 19" xfId="44569" xr:uid="{00000000-0005-0000-0000-000019AE0000}"/>
    <cellStyle name="Percent 3 2" xfId="44570" xr:uid="{00000000-0005-0000-0000-00001AAE0000}"/>
    <cellStyle name="Percent 3 2 2" xfId="44571" xr:uid="{00000000-0005-0000-0000-00001BAE0000}"/>
    <cellStyle name="Percent 3 2 3" xfId="44572" xr:uid="{00000000-0005-0000-0000-00001CAE0000}"/>
    <cellStyle name="Percent 3 2 4" xfId="44573" xr:uid="{00000000-0005-0000-0000-00001DAE0000}"/>
    <cellStyle name="Percent 3 2 5" xfId="44574" xr:uid="{00000000-0005-0000-0000-00001EAE0000}"/>
    <cellStyle name="Percent 3 20" xfId="44575" xr:uid="{00000000-0005-0000-0000-00001FAE0000}"/>
    <cellStyle name="Percent 3 21" xfId="44576" xr:uid="{00000000-0005-0000-0000-000020AE0000}"/>
    <cellStyle name="Percent 3 21 2" xfId="44577" xr:uid="{00000000-0005-0000-0000-000021AE0000}"/>
    <cellStyle name="Percent 3 21 3" xfId="44578" xr:uid="{00000000-0005-0000-0000-000022AE0000}"/>
    <cellStyle name="Percent 3 22" xfId="44579" xr:uid="{00000000-0005-0000-0000-000023AE0000}"/>
    <cellStyle name="Percent 3 22 2" xfId="44580" xr:uid="{00000000-0005-0000-0000-000024AE0000}"/>
    <cellStyle name="Percent 3 22 3" xfId="44581" xr:uid="{00000000-0005-0000-0000-000025AE0000}"/>
    <cellStyle name="Percent 3 23" xfId="44582" xr:uid="{00000000-0005-0000-0000-000026AE0000}"/>
    <cellStyle name="Percent 3 23 2" xfId="44583" xr:uid="{00000000-0005-0000-0000-000027AE0000}"/>
    <cellStyle name="Percent 3 23 3" xfId="44584" xr:uid="{00000000-0005-0000-0000-000028AE0000}"/>
    <cellStyle name="Percent 3 24" xfId="44585" xr:uid="{00000000-0005-0000-0000-000029AE0000}"/>
    <cellStyle name="Percent 3 25" xfId="44586" xr:uid="{00000000-0005-0000-0000-00002AAE0000}"/>
    <cellStyle name="Percent 3 3" xfId="44587" xr:uid="{00000000-0005-0000-0000-00002BAE0000}"/>
    <cellStyle name="Percent 3 3 2" xfId="44588" xr:uid="{00000000-0005-0000-0000-00002CAE0000}"/>
    <cellStyle name="Percent 3 3 3" xfId="44589" xr:uid="{00000000-0005-0000-0000-00002DAE0000}"/>
    <cellStyle name="Percent 3 4" xfId="44590" xr:uid="{00000000-0005-0000-0000-00002EAE0000}"/>
    <cellStyle name="Percent 3 4 2" xfId="44591" xr:uid="{00000000-0005-0000-0000-00002FAE0000}"/>
    <cellStyle name="Percent 3 4 3" xfId="44592" xr:uid="{00000000-0005-0000-0000-000030AE0000}"/>
    <cellStyle name="Percent 3 5" xfId="44593" xr:uid="{00000000-0005-0000-0000-000031AE0000}"/>
    <cellStyle name="Percent 3 5 2" xfId="44594" xr:uid="{00000000-0005-0000-0000-000032AE0000}"/>
    <cellStyle name="Percent 3 6" xfId="44595" xr:uid="{00000000-0005-0000-0000-000033AE0000}"/>
    <cellStyle name="Percent 3 6 2" xfId="44596" xr:uid="{00000000-0005-0000-0000-000034AE0000}"/>
    <cellStyle name="Percent 3 7" xfId="44597" xr:uid="{00000000-0005-0000-0000-000035AE0000}"/>
    <cellStyle name="Percent 3 8" xfId="44598" xr:uid="{00000000-0005-0000-0000-000036AE0000}"/>
    <cellStyle name="Percent 3 9" xfId="44599" xr:uid="{00000000-0005-0000-0000-000037AE0000}"/>
    <cellStyle name="Percent 30" xfId="44600" xr:uid="{00000000-0005-0000-0000-000038AE0000}"/>
    <cellStyle name="Percent 31" xfId="44601" xr:uid="{00000000-0005-0000-0000-000039AE0000}"/>
    <cellStyle name="Percent 32" xfId="44602" xr:uid="{00000000-0005-0000-0000-00003AAE0000}"/>
    <cellStyle name="Percent 33" xfId="44603" xr:uid="{00000000-0005-0000-0000-00003BAE0000}"/>
    <cellStyle name="Percent 34" xfId="44604" xr:uid="{00000000-0005-0000-0000-00003CAE0000}"/>
    <cellStyle name="Percent 35" xfId="44605" xr:uid="{00000000-0005-0000-0000-00003DAE0000}"/>
    <cellStyle name="Percent 36" xfId="44606" xr:uid="{00000000-0005-0000-0000-00003EAE0000}"/>
    <cellStyle name="Percent 37" xfId="44607" xr:uid="{00000000-0005-0000-0000-00003FAE0000}"/>
    <cellStyle name="Percent 4" xfId="44608" xr:uid="{00000000-0005-0000-0000-000040AE0000}"/>
    <cellStyle name="Percent 4 2" xfId="44609" xr:uid="{00000000-0005-0000-0000-000041AE0000}"/>
    <cellStyle name="Percent 4 2 2" xfId="44610" xr:uid="{00000000-0005-0000-0000-000042AE0000}"/>
    <cellStyle name="Percent 4 2 2 2" xfId="44611" xr:uid="{00000000-0005-0000-0000-000043AE0000}"/>
    <cellStyle name="Percent 4 2 2 2 2" xfId="44612" xr:uid="{00000000-0005-0000-0000-000044AE0000}"/>
    <cellStyle name="Percent 4 2 2 2 3" xfId="44613" xr:uid="{00000000-0005-0000-0000-000045AE0000}"/>
    <cellStyle name="Percent 4 2 2 3" xfId="44614" xr:uid="{00000000-0005-0000-0000-000046AE0000}"/>
    <cellStyle name="Percent 4 2 2 4" xfId="44615" xr:uid="{00000000-0005-0000-0000-000047AE0000}"/>
    <cellStyle name="Percent 4 2 3" xfId="44616" xr:uid="{00000000-0005-0000-0000-000048AE0000}"/>
    <cellStyle name="Percent 4 3" xfId="44617" xr:uid="{00000000-0005-0000-0000-000049AE0000}"/>
    <cellStyle name="Percent 4 4" xfId="44618" xr:uid="{00000000-0005-0000-0000-00004AAE0000}"/>
    <cellStyle name="Percent 4 4 2" xfId="44619" xr:uid="{00000000-0005-0000-0000-00004BAE0000}"/>
    <cellStyle name="Percent 4 4 2 2" xfId="44620" xr:uid="{00000000-0005-0000-0000-00004CAE0000}"/>
    <cellStyle name="Percent 4 4 2 2 2" xfId="44621" xr:uid="{00000000-0005-0000-0000-00004DAE0000}"/>
    <cellStyle name="Percent 4 4 2 2 3" xfId="44622" xr:uid="{00000000-0005-0000-0000-00004EAE0000}"/>
    <cellStyle name="Percent 4 4 2 3" xfId="44623" xr:uid="{00000000-0005-0000-0000-00004FAE0000}"/>
    <cellStyle name="Percent 4 4 2 4" xfId="44624" xr:uid="{00000000-0005-0000-0000-000050AE0000}"/>
    <cellStyle name="Percent 4 5" xfId="44625" xr:uid="{00000000-0005-0000-0000-000051AE0000}"/>
    <cellStyle name="Percent 4 5 2" xfId="44626" xr:uid="{00000000-0005-0000-0000-000052AE0000}"/>
    <cellStyle name="Percent 4 5 2 2" xfId="44627" xr:uid="{00000000-0005-0000-0000-000053AE0000}"/>
    <cellStyle name="Percent 4 5 2 2 2" xfId="44628" xr:uid="{00000000-0005-0000-0000-000054AE0000}"/>
    <cellStyle name="Percent 4 5 2 2 3" xfId="44629" xr:uid="{00000000-0005-0000-0000-000055AE0000}"/>
    <cellStyle name="Percent 4 5 2 3" xfId="44630" xr:uid="{00000000-0005-0000-0000-000056AE0000}"/>
    <cellStyle name="Percent 4 5 2 4" xfId="44631" xr:uid="{00000000-0005-0000-0000-000057AE0000}"/>
    <cellStyle name="Percent 4 6" xfId="44632" xr:uid="{00000000-0005-0000-0000-000058AE0000}"/>
    <cellStyle name="Percent 4 6 2" xfId="44633" xr:uid="{00000000-0005-0000-0000-000059AE0000}"/>
    <cellStyle name="Percent 4 6 2 2" xfId="44634" xr:uid="{00000000-0005-0000-0000-00005AAE0000}"/>
    <cellStyle name="Percent 4 6 2 3" xfId="44635" xr:uid="{00000000-0005-0000-0000-00005BAE0000}"/>
    <cellStyle name="Percent 4 6 3" xfId="44636" xr:uid="{00000000-0005-0000-0000-00005CAE0000}"/>
    <cellStyle name="Percent 4 6 4" xfId="44637" xr:uid="{00000000-0005-0000-0000-00005DAE0000}"/>
    <cellStyle name="Percent 4 7" xfId="44638" xr:uid="{00000000-0005-0000-0000-00005EAE0000}"/>
    <cellStyle name="Percent 4 8" xfId="44639" xr:uid="{00000000-0005-0000-0000-00005FAE0000}"/>
    <cellStyle name="Percent 4 8 2" xfId="44640" xr:uid="{00000000-0005-0000-0000-000060AE0000}"/>
    <cellStyle name="Percent 4 8 3" xfId="44641" xr:uid="{00000000-0005-0000-0000-000061AE0000}"/>
    <cellStyle name="Percent 5" xfId="44642" xr:uid="{00000000-0005-0000-0000-000062AE0000}"/>
    <cellStyle name="Percent 5 2" xfId="44643" xr:uid="{00000000-0005-0000-0000-000063AE0000}"/>
    <cellStyle name="Percent 5 2 2" xfId="44644" xr:uid="{00000000-0005-0000-0000-000064AE0000}"/>
    <cellStyle name="Percent 5 3" xfId="44645" xr:uid="{00000000-0005-0000-0000-000065AE0000}"/>
    <cellStyle name="Percent 5 3 2" xfId="44646" xr:uid="{00000000-0005-0000-0000-000066AE0000}"/>
    <cellStyle name="Percent 5 3 2 2" xfId="44647" xr:uid="{00000000-0005-0000-0000-000067AE0000}"/>
    <cellStyle name="Percent 5 3 2 3" xfId="44648" xr:uid="{00000000-0005-0000-0000-000068AE0000}"/>
    <cellStyle name="Percent 5 3 3" xfId="44649" xr:uid="{00000000-0005-0000-0000-000069AE0000}"/>
    <cellStyle name="Percent 5 3 4" xfId="44650" xr:uid="{00000000-0005-0000-0000-00006AAE0000}"/>
    <cellStyle name="Percent 5 4" xfId="44651" xr:uid="{00000000-0005-0000-0000-00006BAE0000}"/>
    <cellStyle name="Percent 5 5" xfId="44652" xr:uid="{00000000-0005-0000-0000-00006CAE0000}"/>
    <cellStyle name="Percent 6" xfId="44653" xr:uid="{00000000-0005-0000-0000-00006DAE0000}"/>
    <cellStyle name="Percent 6 2" xfId="44654" xr:uid="{00000000-0005-0000-0000-00006EAE0000}"/>
    <cellStyle name="Percent 6 2 2" xfId="44655" xr:uid="{00000000-0005-0000-0000-00006FAE0000}"/>
    <cellStyle name="Percent 6 3" xfId="44656" xr:uid="{00000000-0005-0000-0000-000070AE0000}"/>
    <cellStyle name="Percent 6 3 2" xfId="44657" xr:uid="{00000000-0005-0000-0000-000071AE0000}"/>
    <cellStyle name="Percent 6 3 3" xfId="44658" xr:uid="{00000000-0005-0000-0000-000072AE0000}"/>
    <cellStyle name="Percent 6 4" xfId="44659" xr:uid="{00000000-0005-0000-0000-000073AE0000}"/>
    <cellStyle name="Percent 6 4 2" xfId="44660" xr:uid="{00000000-0005-0000-0000-000074AE0000}"/>
    <cellStyle name="Percent 6 4 3" xfId="44661" xr:uid="{00000000-0005-0000-0000-000075AE0000}"/>
    <cellStyle name="Percent 6 5" xfId="44662" xr:uid="{00000000-0005-0000-0000-000076AE0000}"/>
    <cellStyle name="Percent 6 6" xfId="44663" xr:uid="{00000000-0005-0000-0000-000077AE0000}"/>
    <cellStyle name="Percent 6 7" xfId="44664" xr:uid="{00000000-0005-0000-0000-000078AE0000}"/>
    <cellStyle name="Percent 7" xfId="44665" xr:uid="{00000000-0005-0000-0000-000079AE0000}"/>
    <cellStyle name="Percent 7 2" xfId="44666" xr:uid="{00000000-0005-0000-0000-00007AAE0000}"/>
    <cellStyle name="Percent 7 2 2" xfId="44667" xr:uid="{00000000-0005-0000-0000-00007BAE0000}"/>
    <cellStyle name="Percent 7 2 3" xfId="44668" xr:uid="{00000000-0005-0000-0000-00007CAE0000}"/>
    <cellStyle name="Percent 7 3" xfId="44669" xr:uid="{00000000-0005-0000-0000-00007DAE0000}"/>
    <cellStyle name="Percent 7 4" xfId="44670" xr:uid="{00000000-0005-0000-0000-00007EAE0000}"/>
    <cellStyle name="Percent 7 5" xfId="44671" xr:uid="{00000000-0005-0000-0000-00007FAE0000}"/>
    <cellStyle name="Percent 8" xfId="44672" xr:uid="{00000000-0005-0000-0000-000080AE0000}"/>
    <cellStyle name="Percent 8 2" xfId="44673" xr:uid="{00000000-0005-0000-0000-000081AE0000}"/>
    <cellStyle name="Percent 8 3" xfId="44674" xr:uid="{00000000-0005-0000-0000-000082AE0000}"/>
    <cellStyle name="Percent 8 4" xfId="44675" xr:uid="{00000000-0005-0000-0000-000083AE0000}"/>
    <cellStyle name="Percent 9" xfId="44676" xr:uid="{00000000-0005-0000-0000-000084AE0000}"/>
    <cellStyle name="Percent 9 2" xfId="44677" xr:uid="{00000000-0005-0000-0000-000085AE0000}"/>
    <cellStyle name="Percent 9 3" xfId="44678" xr:uid="{00000000-0005-0000-0000-000086AE0000}"/>
    <cellStyle name="Percent Hard" xfId="44679" xr:uid="{00000000-0005-0000-0000-000087AE0000}"/>
    <cellStyle name="Period" xfId="44680" xr:uid="{00000000-0005-0000-0000-000088AE0000}"/>
    <cellStyle name="PrePop Currency (0)" xfId="44681" xr:uid="{00000000-0005-0000-0000-000089AE0000}"/>
    <cellStyle name="PrePop Currency (2)" xfId="44682" xr:uid="{00000000-0005-0000-0000-00008AAE0000}"/>
    <cellStyle name="PrePop Units (0)" xfId="44683" xr:uid="{00000000-0005-0000-0000-00008BAE0000}"/>
    <cellStyle name="PrePop Units (1)" xfId="44684" xr:uid="{00000000-0005-0000-0000-00008CAE0000}"/>
    <cellStyle name="PrePop Units (2)" xfId="44685" xr:uid="{00000000-0005-0000-0000-00008DAE0000}"/>
    <cellStyle name="Price" xfId="44686" xr:uid="{00000000-0005-0000-0000-00008EAE0000}"/>
    <cellStyle name="Price  .00" xfId="44687" xr:uid="{00000000-0005-0000-0000-00008FAE0000}"/>
    <cellStyle name="Price 10" xfId="44688" xr:uid="{00000000-0005-0000-0000-000090AE0000}"/>
    <cellStyle name="Price 11" xfId="44689" xr:uid="{00000000-0005-0000-0000-000091AE0000}"/>
    <cellStyle name="Price 12" xfId="44690" xr:uid="{00000000-0005-0000-0000-000092AE0000}"/>
    <cellStyle name="Price 13" xfId="44691" xr:uid="{00000000-0005-0000-0000-000093AE0000}"/>
    <cellStyle name="Price 14" xfId="44692" xr:uid="{00000000-0005-0000-0000-000094AE0000}"/>
    <cellStyle name="Price 15" xfId="44693" xr:uid="{00000000-0005-0000-0000-000095AE0000}"/>
    <cellStyle name="Price 16" xfId="44694" xr:uid="{00000000-0005-0000-0000-000096AE0000}"/>
    <cellStyle name="Price 17" xfId="44695" xr:uid="{00000000-0005-0000-0000-000097AE0000}"/>
    <cellStyle name="Price 18" xfId="44696" xr:uid="{00000000-0005-0000-0000-000098AE0000}"/>
    <cellStyle name="Price 2" xfId="44697" xr:uid="{00000000-0005-0000-0000-000099AE0000}"/>
    <cellStyle name="Price 3" xfId="44698" xr:uid="{00000000-0005-0000-0000-00009AAE0000}"/>
    <cellStyle name="Price 4" xfId="44699" xr:uid="{00000000-0005-0000-0000-00009BAE0000}"/>
    <cellStyle name="Price 5" xfId="44700" xr:uid="{00000000-0005-0000-0000-00009CAE0000}"/>
    <cellStyle name="Price 6" xfId="44701" xr:uid="{00000000-0005-0000-0000-00009DAE0000}"/>
    <cellStyle name="Price 7" xfId="44702" xr:uid="{00000000-0005-0000-0000-00009EAE0000}"/>
    <cellStyle name="Price 8" xfId="44703" xr:uid="{00000000-0005-0000-0000-00009FAE0000}"/>
    <cellStyle name="Price 9" xfId="44704" xr:uid="{00000000-0005-0000-0000-0000A0AE0000}"/>
    <cellStyle name="PROJ_NUM" xfId="44705" xr:uid="{00000000-0005-0000-0000-0000A1AE0000}"/>
    <cellStyle name="PSChar" xfId="44706" xr:uid="{00000000-0005-0000-0000-0000A2AE0000}"/>
    <cellStyle name="PSChar 10" xfId="44707" xr:uid="{00000000-0005-0000-0000-0000A3AE0000}"/>
    <cellStyle name="PSChar 10 2" xfId="44708" xr:uid="{00000000-0005-0000-0000-0000A4AE0000}"/>
    <cellStyle name="PSChar 2" xfId="44709" xr:uid="{00000000-0005-0000-0000-0000A5AE0000}"/>
    <cellStyle name="PSChar 2 2" xfId="44710" xr:uid="{00000000-0005-0000-0000-0000A6AE0000}"/>
    <cellStyle name="PSChar 3" xfId="44711" xr:uid="{00000000-0005-0000-0000-0000A7AE0000}"/>
    <cellStyle name="PSChar 3 2" xfId="44712" xr:uid="{00000000-0005-0000-0000-0000A8AE0000}"/>
    <cellStyle name="PSChar 4" xfId="44713" xr:uid="{00000000-0005-0000-0000-0000A9AE0000}"/>
    <cellStyle name="PSChar 4 2" xfId="44714" xr:uid="{00000000-0005-0000-0000-0000AAAE0000}"/>
    <cellStyle name="PSChar 5" xfId="44715" xr:uid="{00000000-0005-0000-0000-0000ABAE0000}"/>
    <cellStyle name="PSChar 5 2" xfId="44716" xr:uid="{00000000-0005-0000-0000-0000ACAE0000}"/>
    <cellStyle name="PSChar 6" xfId="44717" xr:uid="{00000000-0005-0000-0000-0000ADAE0000}"/>
    <cellStyle name="PSChar 6 2" xfId="44718" xr:uid="{00000000-0005-0000-0000-0000AEAE0000}"/>
    <cellStyle name="PSChar 7" xfId="44719" xr:uid="{00000000-0005-0000-0000-0000AFAE0000}"/>
    <cellStyle name="PSChar 7 2" xfId="44720" xr:uid="{00000000-0005-0000-0000-0000B0AE0000}"/>
    <cellStyle name="PSChar 8" xfId="44721" xr:uid="{00000000-0005-0000-0000-0000B1AE0000}"/>
    <cellStyle name="PSChar 8 2" xfId="44722" xr:uid="{00000000-0005-0000-0000-0000B2AE0000}"/>
    <cellStyle name="PSChar 9" xfId="44723" xr:uid="{00000000-0005-0000-0000-0000B3AE0000}"/>
    <cellStyle name="PSChar 9 2" xfId="44724" xr:uid="{00000000-0005-0000-0000-0000B4AE0000}"/>
    <cellStyle name="PSDate" xfId="44725" xr:uid="{00000000-0005-0000-0000-0000B5AE0000}"/>
    <cellStyle name="PSDate 10" xfId="44726" xr:uid="{00000000-0005-0000-0000-0000B6AE0000}"/>
    <cellStyle name="PSDate 10 2" xfId="44727" xr:uid="{00000000-0005-0000-0000-0000B7AE0000}"/>
    <cellStyle name="PSDate 2" xfId="44728" xr:uid="{00000000-0005-0000-0000-0000B8AE0000}"/>
    <cellStyle name="PSDate 2 2" xfId="44729" xr:uid="{00000000-0005-0000-0000-0000B9AE0000}"/>
    <cellStyle name="PSDate 3" xfId="44730" xr:uid="{00000000-0005-0000-0000-0000BAAE0000}"/>
    <cellStyle name="PSDate 3 2" xfId="44731" xr:uid="{00000000-0005-0000-0000-0000BBAE0000}"/>
    <cellStyle name="PSDate 4" xfId="44732" xr:uid="{00000000-0005-0000-0000-0000BCAE0000}"/>
    <cellStyle name="PSDate 4 2" xfId="44733" xr:uid="{00000000-0005-0000-0000-0000BDAE0000}"/>
    <cellStyle name="PSDate 5" xfId="44734" xr:uid="{00000000-0005-0000-0000-0000BEAE0000}"/>
    <cellStyle name="PSDate 5 2" xfId="44735" xr:uid="{00000000-0005-0000-0000-0000BFAE0000}"/>
    <cellStyle name="PSDate 6" xfId="44736" xr:uid="{00000000-0005-0000-0000-0000C0AE0000}"/>
    <cellStyle name="PSDate 6 2" xfId="44737" xr:uid="{00000000-0005-0000-0000-0000C1AE0000}"/>
    <cellStyle name="PSDate 7" xfId="44738" xr:uid="{00000000-0005-0000-0000-0000C2AE0000}"/>
    <cellStyle name="PSDate 7 2" xfId="44739" xr:uid="{00000000-0005-0000-0000-0000C3AE0000}"/>
    <cellStyle name="PSDate 8" xfId="44740" xr:uid="{00000000-0005-0000-0000-0000C4AE0000}"/>
    <cellStyle name="PSDate 8 2" xfId="44741" xr:uid="{00000000-0005-0000-0000-0000C5AE0000}"/>
    <cellStyle name="PSDate 9" xfId="44742" xr:uid="{00000000-0005-0000-0000-0000C6AE0000}"/>
    <cellStyle name="PSDate 9 2" xfId="44743" xr:uid="{00000000-0005-0000-0000-0000C7AE0000}"/>
    <cellStyle name="PSDec" xfId="44744" xr:uid="{00000000-0005-0000-0000-0000C8AE0000}"/>
    <cellStyle name="PSDec 10" xfId="44745" xr:uid="{00000000-0005-0000-0000-0000C9AE0000}"/>
    <cellStyle name="PSDec 10 2" xfId="44746" xr:uid="{00000000-0005-0000-0000-0000CAAE0000}"/>
    <cellStyle name="PSDec 2" xfId="44747" xr:uid="{00000000-0005-0000-0000-0000CBAE0000}"/>
    <cellStyle name="PSDec 2 2" xfId="44748" xr:uid="{00000000-0005-0000-0000-0000CCAE0000}"/>
    <cellStyle name="PSDec 3" xfId="44749" xr:uid="{00000000-0005-0000-0000-0000CDAE0000}"/>
    <cellStyle name="PSDec 3 2" xfId="44750" xr:uid="{00000000-0005-0000-0000-0000CEAE0000}"/>
    <cellStyle name="PSDec 4" xfId="44751" xr:uid="{00000000-0005-0000-0000-0000CFAE0000}"/>
    <cellStyle name="PSDec 4 2" xfId="44752" xr:uid="{00000000-0005-0000-0000-0000D0AE0000}"/>
    <cellStyle name="PSDec 5" xfId="44753" xr:uid="{00000000-0005-0000-0000-0000D1AE0000}"/>
    <cellStyle name="PSDec 5 2" xfId="44754" xr:uid="{00000000-0005-0000-0000-0000D2AE0000}"/>
    <cellStyle name="PSDec 6" xfId="44755" xr:uid="{00000000-0005-0000-0000-0000D3AE0000}"/>
    <cellStyle name="PSDec 6 2" xfId="44756" xr:uid="{00000000-0005-0000-0000-0000D4AE0000}"/>
    <cellStyle name="PSDec 7" xfId="44757" xr:uid="{00000000-0005-0000-0000-0000D5AE0000}"/>
    <cellStyle name="PSDec 7 2" xfId="44758" xr:uid="{00000000-0005-0000-0000-0000D6AE0000}"/>
    <cellStyle name="PSDec 8" xfId="44759" xr:uid="{00000000-0005-0000-0000-0000D7AE0000}"/>
    <cellStyle name="PSDec 8 2" xfId="44760" xr:uid="{00000000-0005-0000-0000-0000D8AE0000}"/>
    <cellStyle name="PSDec 9" xfId="44761" xr:uid="{00000000-0005-0000-0000-0000D9AE0000}"/>
    <cellStyle name="PSDec 9 2" xfId="44762" xr:uid="{00000000-0005-0000-0000-0000DAAE0000}"/>
    <cellStyle name="PSHeading" xfId="44763" xr:uid="{00000000-0005-0000-0000-0000DBAE0000}"/>
    <cellStyle name="PSHeading 10" xfId="44764" xr:uid="{00000000-0005-0000-0000-0000DCAE0000}"/>
    <cellStyle name="PSHeading 10 2" xfId="44765" xr:uid="{00000000-0005-0000-0000-0000DDAE0000}"/>
    <cellStyle name="PSHeading 2" xfId="44766" xr:uid="{00000000-0005-0000-0000-0000DEAE0000}"/>
    <cellStyle name="PSHeading 2 2" xfId="44767" xr:uid="{00000000-0005-0000-0000-0000DFAE0000}"/>
    <cellStyle name="PSHeading 3" xfId="44768" xr:uid="{00000000-0005-0000-0000-0000E0AE0000}"/>
    <cellStyle name="PSHeading 3 2" xfId="44769" xr:uid="{00000000-0005-0000-0000-0000E1AE0000}"/>
    <cellStyle name="PSHeading 4" xfId="44770" xr:uid="{00000000-0005-0000-0000-0000E2AE0000}"/>
    <cellStyle name="PSHeading 4 2" xfId="44771" xr:uid="{00000000-0005-0000-0000-0000E3AE0000}"/>
    <cellStyle name="PSHeading 5" xfId="44772" xr:uid="{00000000-0005-0000-0000-0000E4AE0000}"/>
    <cellStyle name="PSHeading 5 2" xfId="44773" xr:uid="{00000000-0005-0000-0000-0000E5AE0000}"/>
    <cellStyle name="PSHeading 6" xfId="44774" xr:uid="{00000000-0005-0000-0000-0000E6AE0000}"/>
    <cellStyle name="PSHeading 6 2" xfId="44775" xr:uid="{00000000-0005-0000-0000-0000E7AE0000}"/>
    <cellStyle name="PSHeading 7" xfId="44776" xr:uid="{00000000-0005-0000-0000-0000E8AE0000}"/>
    <cellStyle name="PSHeading 7 2" xfId="44777" xr:uid="{00000000-0005-0000-0000-0000E9AE0000}"/>
    <cellStyle name="PSHeading 8" xfId="44778" xr:uid="{00000000-0005-0000-0000-0000EAAE0000}"/>
    <cellStyle name="PSHeading 8 2" xfId="44779" xr:uid="{00000000-0005-0000-0000-0000EBAE0000}"/>
    <cellStyle name="PSHeading 9" xfId="44780" xr:uid="{00000000-0005-0000-0000-0000ECAE0000}"/>
    <cellStyle name="PSHeading 9 2" xfId="44781" xr:uid="{00000000-0005-0000-0000-0000EDAE0000}"/>
    <cellStyle name="PSInt" xfId="44782" xr:uid="{00000000-0005-0000-0000-0000EEAE0000}"/>
    <cellStyle name="PSInt 10" xfId="44783" xr:uid="{00000000-0005-0000-0000-0000EFAE0000}"/>
    <cellStyle name="PSInt 10 2" xfId="44784" xr:uid="{00000000-0005-0000-0000-0000F0AE0000}"/>
    <cellStyle name="PSInt 2" xfId="44785" xr:uid="{00000000-0005-0000-0000-0000F1AE0000}"/>
    <cellStyle name="PSInt 2 2" xfId="44786" xr:uid="{00000000-0005-0000-0000-0000F2AE0000}"/>
    <cellStyle name="PSInt 3" xfId="44787" xr:uid="{00000000-0005-0000-0000-0000F3AE0000}"/>
    <cellStyle name="PSInt 3 2" xfId="44788" xr:uid="{00000000-0005-0000-0000-0000F4AE0000}"/>
    <cellStyle name="PSInt 4" xfId="44789" xr:uid="{00000000-0005-0000-0000-0000F5AE0000}"/>
    <cellStyle name="PSInt 4 2" xfId="44790" xr:uid="{00000000-0005-0000-0000-0000F6AE0000}"/>
    <cellStyle name="PSInt 5" xfId="44791" xr:uid="{00000000-0005-0000-0000-0000F7AE0000}"/>
    <cellStyle name="PSInt 5 2" xfId="44792" xr:uid="{00000000-0005-0000-0000-0000F8AE0000}"/>
    <cellStyle name="PSInt 6" xfId="44793" xr:uid="{00000000-0005-0000-0000-0000F9AE0000}"/>
    <cellStyle name="PSInt 6 2" xfId="44794" xr:uid="{00000000-0005-0000-0000-0000FAAE0000}"/>
    <cellStyle name="PSInt 7" xfId="44795" xr:uid="{00000000-0005-0000-0000-0000FBAE0000}"/>
    <cellStyle name="PSInt 7 2" xfId="44796" xr:uid="{00000000-0005-0000-0000-0000FCAE0000}"/>
    <cellStyle name="PSInt 8" xfId="44797" xr:uid="{00000000-0005-0000-0000-0000FDAE0000}"/>
    <cellStyle name="PSInt 8 2" xfId="44798" xr:uid="{00000000-0005-0000-0000-0000FEAE0000}"/>
    <cellStyle name="PSInt 9" xfId="44799" xr:uid="{00000000-0005-0000-0000-0000FFAE0000}"/>
    <cellStyle name="PSInt 9 2" xfId="44800" xr:uid="{00000000-0005-0000-0000-000000AF0000}"/>
    <cellStyle name="PSSpacer" xfId="44801" xr:uid="{00000000-0005-0000-0000-000001AF0000}"/>
    <cellStyle name="PSSpacer 10" xfId="44802" xr:uid="{00000000-0005-0000-0000-000002AF0000}"/>
    <cellStyle name="PSSpacer 10 2" xfId="44803" xr:uid="{00000000-0005-0000-0000-000003AF0000}"/>
    <cellStyle name="PSSpacer 2" xfId="44804" xr:uid="{00000000-0005-0000-0000-000004AF0000}"/>
    <cellStyle name="PSSpacer 2 2" xfId="44805" xr:uid="{00000000-0005-0000-0000-000005AF0000}"/>
    <cellStyle name="PSSpacer 3" xfId="44806" xr:uid="{00000000-0005-0000-0000-000006AF0000}"/>
    <cellStyle name="PSSpacer 3 2" xfId="44807" xr:uid="{00000000-0005-0000-0000-000007AF0000}"/>
    <cellStyle name="PSSpacer 4" xfId="44808" xr:uid="{00000000-0005-0000-0000-000008AF0000}"/>
    <cellStyle name="PSSpacer 4 2" xfId="44809" xr:uid="{00000000-0005-0000-0000-000009AF0000}"/>
    <cellStyle name="PSSpacer 5" xfId="44810" xr:uid="{00000000-0005-0000-0000-00000AAF0000}"/>
    <cellStyle name="PSSpacer 5 2" xfId="44811" xr:uid="{00000000-0005-0000-0000-00000BAF0000}"/>
    <cellStyle name="PSSpacer 6" xfId="44812" xr:uid="{00000000-0005-0000-0000-00000CAF0000}"/>
    <cellStyle name="PSSpacer 6 2" xfId="44813" xr:uid="{00000000-0005-0000-0000-00000DAF0000}"/>
    <cellStyle name="PSSpacer 7" xfId="44814" xr:uid="{00000000-0005-0000-0000-00000EAF0000}"/>
    <cellStyle name="PSSpacer 7 2" xfId="44815" xr:uid="{00000000-0005-0000-0000-00000FAF0000}"/>
    <cellStyle name="PSSpacer 8" xfId="44816" xr:uid="{00000000-0005-0000-0000-000010AF0000}"/>
    <cellStyle name="PSSpacer 8 2" xfId="44817" xr:uid="{00000000-0005-0000-0000-000011AF0000}"/>
    <cellStyle name="PSSpacer 9" xfId="44818" xr:uid="{00000000-0005-0000-0000-000012AF0000}"/>
    <cellStyle name="PSSpacer 9 2" xfId="44819" xr:uid="{00000000-0005-0000-0000-000013AF0000}"/>
    <cellStyle name="Qty" xfId="44820" xr:uid="{00000000-0005-0000-0000-000014AF0000}"/>
    <cellStyle name="Qty 2" xfId="44821" xr:uid="{00000000-0005-0000-0000-000015AF0000}"/>
    <cellStyle name="R" xfId="44822" xr:uid="{00000000-0005-0000-0000-000016AF0000}"/>
    <cellStyle name="regstoresfromspecstores" xfId="44823" xr:uid="{00000000-0005-0000-0000-000017AF0000}"/>
    <cellStyle name="RevList" xfId="44824" xr:uid="{00000000-0005-0000-0000-000018AF0000}"/>
    <cellStyle name="RM" xfId="44825" xr:uid="{00000000-0005-0000-0000-000019AF0000}"/>
    <cellStyle name="RowLabel" xfId="44826" xr:uid="{00000000-0005-0000-0000-00001AAF0000}"/>
    <cellStyle name="RowLabels" xfId="44827" xr:uid="{00000000-0005-0000-0000-00001BAF0000}"/>
    <cellStyle name="Shaded" xfId="44828" xr:uid="{00000000-0005-0000-0000-00001CAF0000}"/>
    <cellStyle name="SHADEDSTORES" xfId="44829" xr:uid="{00000000-0005-0000-0000-00001DAF0000}"/>
    <cellStyle name="SHADEDSTORES 10" xfId="44830" xr:uid="{00000000-0005-0000-0000-00001EAF0000}"/>
    <cellStyle name="SHADEDSTORES 10 2" xfId="44831" xr:uid="{00000000-0005-0000-0000-00001FAF0000}"/>
    <cellStyle name="SHADEDSTORES 10 3" xfId="44832" xr:uid="{00000000-0005-0000-0000-000020AF0000}"/>
    <cellStyle name="SHADEDSTORES 10 4" xfId="44833" xr:uid="{00000000-0005-0000-0000-000021AF0000}"/>
    <cellStyle name="SHADEDSTORES 10 5" xfId="44834" xr:uid="{00000000-0005-0000-0000-000022AF0000}"/>
    <cellStyle name="SHADEDSTORES 10 6" xfId="44835" xr:uid="{00000000-0005-0000-0000-000023AF0000}"/>
    <cellStyle name="SHADEDSTORES 11" xfId="44836" xr:uid="{00000000-0005-0000-0000-000024AF0000}"/>
    <cellStyle name="SHADEDSTORES 12" xfId="44837" xr:uid="{00000000-0005-0000-0000-000025AF0000}"/>
    <cellStyle name="SHADEDSTORES 13" xfId="44838" xr:uid="{00000000-0005-0000-0000-000026AF0000}"/>
    <cellStyle name="SHADEDSTORES 14" xfId="44839" xr:uid="{00000000-0005-0000-0000-000027AF0000}"/>
    <cellStyle name="SHADEDSTORES 2" xfId="44840" xr:uid="{00000000-0005-0000-0000-000028AF0000}"/>
    <cellStyle name="SHADEDSTORES 2 10" xfId="44841" xr:uid="{00000000-0005-0000-0000-000029AF0000}"/>
    <cellStyle name="SHADEDSTORES 2 10 2" xfId="44842" xr:uid="{00000000-0005-0000-0000-00002AAF0000}"/>
    <cellStyle name="SHADEDSTORES 2 10 3" xfId="44843" xr:uid="{00000000-0005-0000-0000-00002BAF0000}"/>
    <cellStyle name="SHADEDSTORES 2 10 4" xfId="44844" xr:uid="{00000000-0005-0000-0000-00002CAF0000}"/>
    <cellStyle name="SHADEDSTORES 2 10 5" xfId="44845" xr:uid="{00000000-0005-0000-0000-00002DAF0000}"/>
    <cellStyle name="SHADEDSTORES 2 10 6" xfId="44846" xr:uid="{00000000-0005-0000-0000-00002EAF0000}"/>
    <cellStyle name="SHADEDSTORES 2 11" xfId="44847" xr:uid="{00000000-0005-0000-0000-00002FAF0000}"/>
    <cellStyle name="SHADEDSTORES 2 12" xfId="44848" xr:uid="{00000000-0005-0000-0000-000030AF0000}"/>
    <cellStyle name="SHADEDSTORES 2 13" xfId="44849" xr:uid="{00000000-0005-0000-0000-000031AF0000}"/>
    <cellStyle name="SHADEDSTORES 2 14" xfId="44850" xr:uid="{00000000-0005-0000-0000-000032AF0000}"/>
    <cellStyle name="SHADEDSTORES 2 2" xfId="44851" xr:uid="{00000000-0005-0000-0000-000033AF0000}"/>
    <cellStyle name="SHADEDSTORES 2 2 10" xfId="44852" xr:uid="{00000000-0005-0000-0000-000034AF0000}"/>
    <cellStyle name="SHADEDSTORES 2 2 11" xfId="44853" xr:uid="{00000000-0005-0000-0000-000035AF0000}"/>
    <cellStyle name="SHADEDSTORES 2 2 12" xfId="44854" xr:uid="{00000000-0005-0000-0000-000036AF0000}"/>
    <cellStyle name="SHADEDSTORES 2 2 13" xfId="44855" xr:uid="{00000000-0005-0000-0000-000037AF0000}"/>
    <cellStyle name="SHADEDSTORES 2 2 2" xfId="44856" xr:uid="{00000000-0005-0000-0000-000038AF0000}"/>
    <cellStyle name="SHADEDSTORES 2 2 2 2" xfId="44857" xr:uid="{00000000-0005-0000-0000-000039AF0000}"/>
    <cellStyle name="SHADEDSTORES 2 2 2 2 2" xfId="44858" xr:uid="{00000000-0005-0000-0000-00003AAF0000}"/>
    <cellStyle name="SHADEDSTORES 2 2 2 2 2 2" xfId="44859" xr:uid="{00000000-0005-0000-0000-00003BAF0000}"/>
    <cellStyle name="SHADEDSTORES 2 2 2 2 2 3" xfId="44860" xr:uid="{00000000-0005-0000-0000-00003CAF0000}"/>
    <cellStyle name="SHADEDSTORES 2 2 2 2 2 4" xfId="44861" xr:uid="{00000000-0005-0000-0000-00003DAF0000}"/>
    <cellStyle name="SHADEDSTORES 2 2 2 2 2 5" xfId="44862" xr:uid="{00000000-0005-0000-0000-00003EAF0000}"/>
    <cellStyle name="SHADEDSTORES 2 2 2 2 2 6" xfId="44863" xr:uid="{00000000-0005-0000-0000-00003FAF0000}"/>
    <cellStyle name="SHADEDSTORES 2 2 2 2 3" xfId="44864" xr:uid="{00000000-0005-0000-0000-000040AF0000}"/>
    <cellStyle name="SHADEDSTORES 2 2 2 2 4" xfId="44865" xr:uid="{00000000-0005-0000-0000-000041AF0000}"/>
    <cellStyle name="SHADEDSTORES 2 2 2 2 5" xfId="44866" xr:uid="{00000000-0005-0000-0000-000042AF0000}"/>
    <cellStyle name="SHADEDSTORES 2 2 2 2 6" xfId="44867" xr:uid="{00000000-0005-0000-0000-000043AF0000}"/>
    <cellStyle name="SHADEDSTORES 2 2 2 3" xfId="44868" xr:uid="{00000000-0005-0000-0000-000044AF0000}"/>
    <cellStyle name="SHADEDSTORES 2 2 2 3 2" xfId="44869" xr:uid="{00000000-0005-0000-0000-000045AF0000}"/>
    <cellStyle name="SHADEDSTORES 2 2 2 3 2 2" xfId="44870" xr:uid="{00000000-0005-0000-0000-000046AF0000}"/>
    <cellStyle name="SHADEDSTORES 2 2 2 3 2 3" xfId="44871" xr:uid="{00000000-0005-0000-0000-000047AF0000}"/>
    <cellStyle name="SHADEDSTORES 2 2 2 3 2 4" xfId="44872" xr:uid="{00000000-0005-0000-0000-000048AF0000}"/>
    <cellStyle name="SHADEDSTORES 2 2 2 3 2 5" xfId="44873" xr:uid="{00000000-0005-0000-0000-000049AF0000}"/>
    <cellStyle name="SHADEDSTORES 2 2 2 3 2 6" xfId="44874" xr:uid="{00000000-0005-0000-0000-00004AAF0000}"/>
    <cellStyle name="SHADEDSTORES 2 2 2 3 3" xfId="44875" xr:uid="{00000000-0005-0000-0000-00004BAF0000}"/>
    <cellStyle name="SHADEDSTORES 2 2 2 3 4" xfId="44876" xr:uid="{00000000-0005-0000-0000-00004CAF0000}"/>
    <cellStyle name="SHADEDSTORES 2 2 2 3 5" xfId="44877" xr:uid="{00000000-0005-0000-0000-00004DAF0000}"/>
    <cellStyle name="SHADEDSTORES 2 2 2 3 6" xfId="44878" xr:uid="{00000000-0005-0000-0000-00004EAF0000}"/>
    <cellStyle name="SHADEDSTORES 2 2 2 4" xfId="44879" xr:uid="{00000000-0005-0000-0000-00004FAF0000}"/>
    <cellStyle name="SHADEDSTORES 2 2 2 4 2" xfId="44880" xr:uid="{00000000-0005-0000-0000-000050AF0000}"/>
    <cellStyle name="SHADEDSTORES 2 2 2 4 3" xfId="44881" xr:uid="{00000000-0005-0000-0000-000051AF0000}"/>
    <cellStyle name="SHADEDSTORES 2 2 2 4 4" xfId="44882" xr:uid="{00000000-0005-0000-0000-000052AF0000}"/>
    <cellStyle name="SHADEDSTORES 2 2 2 4 5" xfId="44883" xr:uid="{00000000-0005-0000-0000-000053AF0000}"/>
    <cellStyle name="SHADEDSTORES 2 2 2 4 6" xfId="44884" xr:uid="{00000000-0005-0000-0000-000054AF0000}"/>
    <cellStyle name="SHADEDSTORES 2 2 2 5" xfId="44885" xr:uid="{00000000-0005-0000-0000-000055AF0000}"/>
    <cellStyle name="SHADEDSTORES 2 2 2 6" xfId="44886" xr:uid="{00000000-0005-0000-0000-000056AF0000}"/>
    <cellStyle name="SHADEDSTORES 2 2 2 7" xfId="44887" xr:uid="{00000000-0005-0000-0000-000057AF0000}"/>
    <cellStyle name="SHADEDSTORES 2 2 2 8" xfId="44888" xr:uid="{00000000-0005-0000-0000-000058AF0000}"/>
    <cellStyle name="SHADEDSTORES 2 2 3" xfId="44889" xr:uid="{00000000-0005-0000-0000-000059AF0000}"/>
    <cellStyle name="SHADEDSTORES 2 2 3 2" xfId="44890" xr:uid="{00000000-0005-0000-0000-00005AAF0000}"/>
    <cellStyle name="SHADEDSTORES 2 2 3 2 2" xfId="44891" xr:uid="{00000000-0005-0000-0000-00005BAF0000}"/>
    <cellStyle name="SHADEDSTORES 2 2 3 2 2 2" xfId="44892" xr:uid="{00000000-0005-0000-0000-00005CAF0000}"/>
    <cellStyle name="SHADEDSTORES 2 2 3 2 2 3" xfId="44893" xr:uid="{00000000-0005-0000-0000-00005DAF0000}"/>
    <cellStyle name="SHADEDSTORES 2 2 3 2 2 4" xfId="44894" xr:uid="{00000000-0005-0000-0000-00005EAF0000}"/>
    <cellStyle name="SHADEDSTORES 2 2 3 2 2 5" xfId="44895" xr:uid="{00000000-0005-0000-0000-00005FAF0000}"/>
    <cellStyle name="SHADEDSTORES 2 2 3 2 2 6" xfId="44896" xr:uid="{00000000-0005-0000-0000-000060AF0000}"/>
    <cellStyle name="SHADEDSTORES 2 2 3 2 3" xfId="44897" xr:uid="{00000000-0005-0000-0000-000061AF0000}"/>
    <cellStyle name="SHADEDSTORES 2 2 3 2 4" xfId="44898" xr:uid="{00000000-0005-0000-0000-000062AF0000}"/>
    <cellStyle name="SHADEDSTORES 2 2 3 2 5" xfId="44899" xr:uid="{00000000-0005-0000-0000-000063AF0000}"/>
    <cellStyle name="SHADEDSTORES 2 2 3 2 6" xfId="44900" xr:uid="{00000000-0005-0000-0000-000064AF0000}"/>
    <cellStyle name="SHADEDSTORES 2 2 3 3" xfId="44901" xr:uid="{00000000-0005-0000-0000-000065AF0000}"/>
    <cellStyle name="SHADEDSTORES 2 2 3 3 2" xfId="44902" xr:uid="{00000000-0005-0000-0000-000066AF0000}"/>
    <cellStyle name="SHADEDSTORES 2 2 3 3 2 2" xfId="44903" xr:uid="{00000000-0005-0000-0000-000067AF0000}"/>
    <cellStyle name="SHADEDSTORES 2 2 3 3 2 3" xfId="44904" xr:uid="{00000000-0005-0000-0000-000068AF0000}"/>
    <cellStyle name="SHADEDSTORES 2 2 3 3 2 4" xfId="44905" xr:uid="{00000000-0005-0000-0000-000069AF0000}"/>
    <cellStyle name="SHADEDSTORES 2 2 3 3 2 5" xfId="44906" xr:uid="{00000000-0005-0000-0000-00006AAF0000}"/>
    <cellStyle name="SHADEDSTORES 2 2 3 3 2 6" xfId="44907" xr:uid="{00000000-0005-0000-0000-00006BAF0000}"/>
    <cellStyle name="SHADEDSTORES 2 2 3 3 3" xfId="44908" xr:uid="{00000000-0005-0000-0000-00006CAF0000}"/>
    <cellStyle name="SHADEDSTORES 2 2 3 3 4" xfId="44909" xr:uid="{00000000-0005-0000-0000-00006DAF0000}"/>
    <cellStyle name="SHADEDSTORES 2 2 3 3 5" xfId="44910" xr:uid="{00000000-0005-0000-0000-00006EAF0000}"/>
    <cellStyle name="SHADEDSTORES 2 2 3 3 6" xfId="44911" xr:uid="{00000000-0005-0000-0000-00006FAF0000}"/>
    <cellStyle name="SHADEDSTORES 2 2 3 4" xfId="44912" xr:uid="{00000000-0005-0000-0000-000070AF0000}"/>
    <cellStyle name="SHADEDSTORES 2 2 3 4 2" xfId="44913" xr:uid="{00000000-0005-0000-0000-000071AF0000}"/>
    <cellStyle name="SHADEDSTORES 2 2 3 4 3" xfId="44914" xr:uid="{00000000-0005-0000-0000-000072AF0000}"/>
    <cellStyle name="SHADEDSTORES 2 2 3 4 4" xfId="44915" xr:uid="{00000000-0005-0000-0000-000073AF0000}"/>
    <cellStyle name="SHADEDSTORES 2 2 3 4 5" xfId="44916" xr:uid="{00000000-0005-0000-0000-000074AF0000}"/>
    <cellStyle name="SHADEDSTORES 2 2 3 4 6" xfId="44917" xr:uid="{00000000-0005-0000-0000-000075AF0000}"/>
    <cellStyle name="SHADEDSTORES 2 2 3 5" xfId="44918" xr:uid="{00000000-0005-0000-0000-000076AF0000}"/>
    <cellStyle name="SHADEDSTORES 2 2 3 6" xfId="44919" xr:uid="{00000000-0005-0000-0000-000077AF0000}"/>
    <cellStyle name="SHADEDSTORES 2 2 3 7" xfId="44920" xr:uid="{00000000-0005-0000-0000-000078AF0000}"/>
    <cellStyle name="SHADEDSTORES 2 2 3 8" xfId="44921" xr:uid="{00000000-0005-0000-0000-000079AF0000}"/>
    <cellStyle name="SHADEDSTORES 2 2 4" xfId="44922" xr:uid="{00000000-0005-0000-0000-00007AAF0000}"/>
    <cellStyle name="SHADEDSTORES 2 2 4 2" xfId="44923" xr:uid="{00000000-0005-0000-0000-00007BAF0000}"/>
    <cellStyle name="SHADEDSTORES 2 2 4 2 2" xfId="44924" xr:uid="{00000000-0005-0000-0000-00007CAF0000}"/>
    <cellStyle name="SHADEDSTORES 2 2 4 2 2 2" xfId="44925" xr:uid="{00000000-0005-0000-0000-00007DAF0000}"/>
    <cellStyle name="SHADEDSTORES 2 2 4 2 2 3" xfId="44926" xr:uid="{00000000-0005-0000-0000-00007EAF0000}"/>
    <cellStyle name="SHADEDSTORES 2 2 4 2 2 4" xfId="44927" xr:uid="{00000000-0005-0000-0000-00007FAF0000}"/>
    <cellStyle name="SHADEDSTORES 2 2 4 2 2 5" xfId="44928" xr:uid="{00000000-0005-0000-0000-000080AF0000}"/>
    <cellStyle name="SHADEDSTORES 2 2 4 2 2 6" xfId="44929" xr:uid="{00000000-0005-0000-0000-000081AF0000}"/>
    <cellStyle name="SHADEDSTORES 2 2 4 2 3" xfId="44930" xr:uid="{00000000-0005-0000-0000-000082AF0000}"/>
    <cellStyle name="SHADEDSTORES 2 2 4 2 4" xfId="44931" xr:uid="{00000000-0005-0000-0000-000083AF0000}"/>
    <cellStyle name="SHADEDSTORES 2 2 4 2 5" xfId="44932" xr:uid="{00000000-0005-0000-0000-000084AF0000}"/>
    <cellStyle name="SHADEDSTORES 2 2 4 2 6" xfId="44933" xr:uid="{00000000-0005-0000-0000-000085AF0000}"/>
    <cellStyle name="SHADEDSTORES 2 2 4 3" xfId="44934" xr:uid="{00000000-0005-0000-0000-000086AF0000}"/>
    <cellStyle name="SHADEDSTORES 2 2 4 3 2" xfId="44935" xr:uid="{00000000-0005-0000-0000-000087AF0000}"/>
    <cellStyle name="SHADEDSTORES 2 2 4 3 2 2" xfId="44936" xr:uid="{00000000-0005-0000-0000-000088AF0000}"/>
    <cellStyle name="SHADEDSTORES 2 2 4 3 2 3" xfId="44937" xr:uid="{00000000-0005-0000-0000-000089AF0000}"/>
    <cellStyle name="SHADEDSTORES 2 2 4 3 2 4" xfId="44938" xr:uid="{00000000-0005-0000-0000-00008AAF0000}"/>
    <cellStyle name="SHADEDSTORES 2 2 4 3 2 5" xfId="44939" xr:uid="{00000000-0005-0000-0000-00008BAF0000}"/>
    <cellStyle name="SHADEDSTORES 2 2 4 3 2 6" xfId="44940" xr:uid="{00000000-0005-0000-0000-00008CAF0000}"/>
    <cellStyle name="SHADEDSTORES 2 2 4 3 3" xfId="44941" xr:uid="{00000000-0005-0000-0000-00008DAF0000}"/>
    <cellStyle name="SHADEDSTORES 2 2 4 3 4" xfId="44942" xr:uid="{00000000-0005-0000-0000-00008EAF0000}"/>
    <cellStyle name="SHADEDSTORES 2 2 4 3 5" xfId="44943" xr:uid="{00000000-0005-0000-0000-00008FAF0000}"/>
    <cellStyle name="SHADEDSTORES 2 2 4 3 6" xfId="44944" xr:uid="{00000000-0005-0000-0000-000090AF0000}"/>
    <cellStyle name="SHADEDSTORES 2 2 4 4" xfId="44945" xr:uid="{00000000-0005-0000-0000-000091AF0000}"/>
    <cellStyle name="SHADEDSTORES 2 2 4 4 2" xfId="44946" xr:uid="{00000000-0005-0000-0000-000092AF0000}"/>
    <cellStyle name="SHADEDSTORES 2 2 4 4 3" xfId="44947" xr:uid="{00000000-0005-0000-0000-000093AF0000}"/>
    <cellStyle name="SHADEDSTORES 2 2 4 4 4" xfId="44948" xr:uid="{00000000-0005-0000-0000-000094AF0000}"/>
    <cellStyle name="SHADEDSTORES 2 2 4 4 5" xfId="44949" xr:uid="{00000000-0005-0000-0000-000095AF0000}"/>
    <cellStyle name="SHADEDSTORES 2 2 4 4 6" xfId="44950" xr:uid="{00000000-0005-0000-0000-000096AF0000}"/>
    <cellStyle name="SHADEDSTORES 2 2 4 5" xfId="44951" xr:uid="{00000000-0005-0000-0000-000097AF0000}"/>
    <cellStyle name="SHADEDSTORES 2 2 4 6" xfId="44952" xr:uid="{00000000-0005-0000-0000-000098AF0000}"/>
    <cellStyle name="SHADEDSTORES 2 2 4 7" xfId="44953" xr:uid="{00000000-0005-0000-0000-000099AF0000}"/>
    <cellStyle name="SHADEDSTORES 2 2 4 8" xfId="44954" xr:uid="{00000000-0005-0000-0000-00009AAF0000}"/>
    <cellStyle name="SHADEDSTORES 2 2 5" xfId="44955" xr:uid="{00000000-0005-0000-0000-00009BAF0000}"/>
    <cellStyle name="SHADEDSTORES 2 2 5 2" xfId="44956" xr:uid="{00000000-0005-0000-0000-00009CAF0000}"/>
    <cellStyle name="SHADEDSTORES 2 2 5 2 2" xfId="44957" xr:uid="{00000000-0005-0000-0000-00009DAF0000}"/>
    <cellStyle name="SHADEDSTORES 2 2 5 2 2 2" xfId="44958" xr:uid="{00000000-0005-0000-0000-00009EAF0000}"/>
    <cellStyle name="SHADEDSTORES 2 2 5 2 2 3" xfId="44959" xr:uid="{00000000-0005-0000-0000-00009FAF0000}"/>
    <cellStyle name="SHADEDSTORES 2 2 5 2 2 4" xfId="44960" xr:uid="{00000000-0005-0000-0000-0000A0AF0000}"/>
    <cellStyle name="SHADEDSTORES 2 2 5 2 2 5" xfId="44961" xr:uid="{00000000-0005-0000-0000-0000A1AF0000}"/>
    <cellStyle name="SHADEDSTORES 2 2 5 2 2 6" xfId="44962" xr:uid="{00000000-0005-0000-0000-0000A2AF0000}"/>
    <cellStyle name="SHADEDSTORES 2 2 5 2 3" xfId="44963" xr:uid="{00000000-0005-0000-0000-0000A3AF0000}"/>
    <cellStyle name="SHADEDSTORES 2 2 5 2 4" xfId="44964" xr:uid="{00000000-0005-0000-0000-0000A4AF0000}"/>
    <cellStyle name="SHADEDSTORES 2 2 5 2 5" xfId="44965" xr:uid="{00000000-0005-0000-0000-0000A5AF0000}"/>
    <cellStyle name="SHADEDSTORES 2 2 5 2 6" xfId="44966" xr:uid="{00000000-0005-0000-0000-0000A6AF0000}"/>
    <cellStyle name="SHADEDSTORES 2 2 5 3" xfId="44967" xr:uid="{00000000-0005-0000-0000-0000A7AF0000}"/>
    <cellStyle name="SHADEDSTORES 2 2 5 3 2" xfId="44968" xr:uid="{00000000-0005-0000-0000-0000A8AF0000}"/>
    <cellStyle name="SHADEDSTORES 2 2 5 3 2 2" xfId="44969" xr:uid="{00000000-0005-0000-0000-0000A9AF0000}"/>
    <cellStyle name="SHADEDSTORES 2 2 5 3 2 3" xfId="44970" xr:uid="{00000000-0005-0000-0000-0000AAAF0000}"/>
    <cellStyle name="SHADEDSTORES 2 2 5 3 2 4" xfId="44971" xr:uid="{00000000-0005-0000-0000-0000ABAF0000}"/>
    <cellStyle name="SHADEDSTORES 2 2 5 3 2 5" xfId="44972" xr:uid="{00000000-0005-0000-0000-0000ACAF0000}"/>
    <cellStyle name="SHADEDSTORES 2 2 5 3 2 6" xfId="44973" xr:uid="{00000000-0005-0000-0000-0000ADAF0000}"/>
    <cellStyle name="SHADEDSTORES 2 2 5 3 3" xfId="44974" xr:uid="{00000000-0005-0000-0000-0000AEAF0000}"/>
    <cellStyle name="SHADEDSTORES 2 2 5 3 4" xfId="44975" xr:uid="{00000000-0005-0000-0000-0000AFAF0000}"/>
    <cellStyle name="SHADEDSTORES 2 2 5 3 5" xfId="44976" xr:uid="{00000000-0005-0000-0000-0000B0AF0000}"/>
    <cellStyle name="SHADEDSTORES 2 2 5 3 6" xfId="44977" xr:uid="{00000000-0005-0000-0000-0000B1AF0000}"/>
    <cellStyle name="SHADEDSTORES 2 2 5 4" xfId="44978" xr:uid="{00000000-0005-0000-0000-0000B2AF0000}"/>
    <cellStyle name="SHADEDSTORES 2 2 5 4 2" xfId="44979" xr:uid="{00000000-0005-0000-0000-0000B3AF0000}"/>
    <cellStyle name="SHADEDSTORES 2 2 5 4 3" xfId="44980" xr:uid="{00000000-0005-0000-0000-0000B4AF0000}"/>
    <cellStyle name="SHADEDSTORES 2 2 5 4 4" xfId="44981" xr:uid="{00000000-0005-0000-0000-0000B5AF0000}"/>
    <cellStyle name="SHADEDSTORES 2 2 5 4 5" xfId="44982" xr:uid="{00000000-0005-0000-0000-0000B6AF0000}"/>
    <cellStyle name="SHADEDSTORES 2 2 5 4 6" xfId="44983" xr:uid="{00000000-0005-0000-0000-0000B7AF0000}"/>
    <cellStyle name="SHADEDSTORES 2 2 5 5" xfId="44984" xr:uid="{00000000-0005-0000-0000-0000B8AF0000}"/>
    <cellStyle name="SHADEDSTORES 2 2 5 6" xfId="44985" xr:uid="{00000000-0005-0000-0000-0000B9AF0000}"/>
    <cellStyle name="SHADEDSTORES 2 2 5 7" xfId="44986" xr:uid="{00000000-0005-0000-0000-0000BAAF0000}"/>
    <cellStyle name="SHADEDSTORES 2 2 5 8" xfId="44987" xr:uid="{00000000-0005-0000-0000-0000BBAF0000}"/>
    <cellStyle name="SHADEDSTORES 2 2 6" xfId="44988" xr:uid="{00000000-0005-0000-0000-0000BCAF0000}"/>
    <cellStyle name="SHADEDSTORES 2 2 6 2" xfId="44989" xr:uid="{00000000-0005-0000-0000-0000BDAF0000}"/>
    <cellStyle name="SHADEDSTORES 2 2 6 2 2" xfId="44990" xr:uid="{00000000-0005-0000-0000-0000BEAF0000}"/>
    <cellStyle name="SHADEDSTORES 2 2 6 2 2 2" xfId="44991" xr:uid="{00000000-0005-0000-0000-0000BFAF0000}"/>
    <cellStyle name="SHADEDSTORES 2 2 6 2 2 3" xfId="44992" xr:uid="{00000000-0005-0000-0000-0000C0AF0000}"/>
    <cellStyle name="SHADEDSTORES 2 2 6 2 2 4" xfId="44993" xr:uid="{00000000-0005-0000-0000-0000C1AF0000}"/>
    <cellStyle name="SHADEDSTORES 2 2 6 2 2 5" xfId="44994" xr:uid="{00000000-0005-0000-0000-0000C2AF0000}"/>
    <cellStyle name="SHADEDSTORES 2 2 6 2 2 6" xfId="44995" xr:uid="{00000000-0005-0000-0000-0000C3AF0000}"/>
    <cellStyle name="SHADEDSTORES 2 2 6 2 3" xfId="44996" xr:uid="{00000000-0005-0000-0000-0000C4AF0000}"/>
    <cellStyle name="SHADEDSTORES 2 2 6 2 4" xfId="44997" xr:uid="{00000000-0005-0000-0000-0000C5AF0000}"/>
    <cellStyle name="SHADEDSTORES 2 2 6 2 5" xfId="44998" xr:uid="{00000000-0005-0000-0000-0000C6AF0000}"/>
    <cellStyle name="SHADEDSTORES 2 2 6 2 6" xfId="44999" xr:uid="{00000000-0005-0000-0000-0000C7AF0000}"/>
    <cellStyle name="SHADEDSTORES 2 2 6 3" xfId="45000" xr:uid="{00000000-0005-0000-0000-0000C8AF0000}"/>
    <cellStyle name="SHADEDSTORES 2 2 6 3 2" xfId="45001" xr:uid="{00000000-0005-0000-0000-0000C9AF0000}"/>
    <cellStyle name="SHADEDSTORES 2 2 6 3 2 2" xfId="45002" xr:uid="{00000000-0005-0000-0000-0000CAAF0000}"/>
    <cellStyle name="SHADEDSTORES 2 2 6 3 2 3" xfId="45003" xr:uid="{00000000-0005-0000-0000-0000CBAF0000}"/>
    <cellStyle name="SHADEDSTORES 2 2 6 3 2 4" xfId="45004" xr:uid="{00000000-0005-0000-0000-0000CCAF0000}"/>
    <cellStyle name="SHADEDSTORES 2 2 6 3 2 5" xfId="45005" xr:uid="{00000000-0005-0000-0000-0000CDAF0000}"/>
    <cellStyle name="SHADEDSTORES 2 2 6 3 2 6" xfId="45006" xr:uid="{00000000-0005-0000-0000-0000CEAF0000}"/>
    <cellStyle name="SHADEDSTORES 2 2 6 3 3" xfId="45007" xr:uid="{00000000-0005-0000-0000-0000CFAF0000}"/>
    <cellStyle name="SHADEDSTORES 2 2 6 3 4" xfId="45008" xr:uid="{00000000-0005-0000-0000-0000D0AF0000}"/>
    <cellStyle name="SHADEDSTORES 2 2 6 3 5" xfId="45009" xr:uid="{00000000-0005-0000-0000-0000D1AF0000}"/>
    <cellStyle name="SHADEDSTORES 2 2 6 3 6" xfId="45010" xr:uid="{00000000-0005-0000-0000-0000D2AF0000}"/>
    <cellStyle name="SHADEDSTORES 2 2 6 4" xfId="45011" xr:uid="{00000000-0005-0000-0000-0000D3AF0000}"/>
    <cellStyle name="SHADEDSTORES 2 2 6 4 2" xfId="45012" xr:uid="{00000000-0005-0000-0000-0000D4AF0000}"/>
    <cellStyle name="SHADEDSTORES 2 2 6 4 3" xfId="45013" xr:uid="{00000000-0005-0000-0000-0000D5AF0000}"/>
    <cellStyle name="SHADEDSTORES 2 2 6 4 4" xfId="45014" xr:uid="{00000000-0005-0000-0000-0000D6AF0000}"/>
    <cellStyle name="SHADEDSTORES 2 2 6 4 5" xfId="45015" xr:uid="{00000000-0005-0000-0000-0000D7AF0000}"/>
    <cellStyle name="SHADEDSTORES 2 2 6 4 6" xfId="45016" xr:uid="{00000000-0005-0000-0000-0000D8AF0000}"/>
    <cellStyle name="SHADEDSTORES 2 2 6 5" xfId="45017" xr:uid="{00000000-0005-0000-0000-0000D9AF0000}"/>
    <cellStyle name="SHADEDSTORES 2 2 6 6" xfId="45018" xr:uid="{00000000-0005-0000-0000-0000DAAF0000}"/>
    <cellStyle name="SHADEDSTORES 2 2 6 7" xfId="45019" xr:uid="{00000000-0005-0000-0000-0000DBAF0000}"/>
    <cellStyle name="SHADEDSTORES 2 2 6 8" xfId="45020" xr:uid="{00000000-0005-0000-0000-0000DCAF0000}"/>
    <cellStyle name="SHADEDSTORES 2 2 7" xfId="45021" xr:uid="{00000000-0005-0000-0000-0000DDAF0000}"/>
    <cellStyle name="SHADEDSTORES 2 2 7 2" xfId="45022" xr:uid="{00000000-0005-0000-0000-0000DEAF0000}"/>
    <cellStyle name="SHADEDSTORES 2 2 7 2 2" xfId="45023" xr:uid="{00000000-0005-0000-0000-0000DFAF0000}"/>
    <cellStyle name="SHADEDSTORES 2 2 7 2 3" xfId="45024" xr:uid="{00000000-0005-0000-0000-0000E0AF0000}"/>
    <cellStyle name="SHADEDSTORES 2 2 7 2 4" xfId="45025" xr:uid="{00000000-0005-0000-0000-0000E1AF0000}"/>
    <cellStyle name="SHADEDSTORES 2 2 7 2 5" xfId="45026" xr:uid="{00000000-0005-0000-0000-0000E2AF0000}"/>
    <cellStyle name="SHADEDSTORES 2 2 7 2 6" xfId="45027" xr:uid="{00000000-0005-0000-0000-0000E3AF0000}"/>
    <cellStyle name="SHADEDSTORES 2 2 7 3" xfId="45028" xr:uid="{00000000-0005-0000-0000-0000E4AF0000}"/>
    <cellStyle name="SHADEDSTORES 2 2 7 4" xfId="45029" xr:uid="{00000000-0005-0000-0000-0000E5AF0000}"/>
    <cellStyle name="SHADEDSTORES 2 2 7 5" xfId="45030" xr:uid="{00000000-0005-0000-0000-0000E6AF0000}"/>
    <cellStyle name="SHADEDSTORES 2 2 7 6" xfId="45031" xr:uid="{00000000-0005-0000-0000-0000E7AF0000}"/>
    <cellStyle name="SHADEDSTORES 2 2 8" xfId="45032" xr:uid="{00000000-0005-0000-0000-0000E8AF0000}"/>
    <cellStyle name="SHADEDSTORES 2 2 8 2" xfId="45033" xr:uid="{00000000-0005-0000-0000-0000E9AF0000}"/>
    <cellStyle name="SHADEDSTORES 2 2 8 2 2" xfId="45034" xr:uid="{00000000-0005-0000-0000-0000EAAF0000}"/>
    <cellStyle name="SHADEDSTORES 2 2 8 2 3" xfId="45035" xr:uid="{00000000-0005-0000-0000-0000EBAF0000}"/>
    <cellStyle name="SHADEDSTORES 2 2 8 2 4" xfId="45036" xr:uid="{00000000-0005-0000-0000-0000ECAF0000}"/>
    <cellStyle name="SHADEDSTORES 2 2 8 2 5" xfId="45037" xr:uid="{00000000-0005-0000-0000-0000EDAF0000}"/>
    <cellStyle name="SHADEDSTORES 2 2 8 2 6" xfId="45038" xr:uid="{00000000-0005-0000-0000-0000EEAF0000}"/>
    <cellStyle name="SHADEDSTORES 2 2 8 3" xfId="45039" xr:uid="{00000000-0005-0000-0000-0000EFAF0000}"/>
    <cellStyle name="SHADEDSTORES 2 2 8 4" xfId="45040" xr:uid="{00000000-0005-0000-0000-0000F0AF0000}"/>
    <cellStyle name="SHADEDSTORES 2 2 8 5" xfId="45041" xr:uid="{00000000-0005-0000-0000-0000F1AF0000}"/>
    <cellStyle name="SHADEDSTORES 2 2 8 6" xfId="45042" xr:uid="{00000000-0005-0000-0000-0000F2AF0000}"/>
    <cellStyle name="SHADEDSTORES 2 2 9" xfId="45043" xr:uid="{00000000-0005-0000-0000-0000F3AF0000}"/>
    <cellStyle name="SHADEDSTORES 2 2 9 2" xfId="45044" xr:uid="{00000000-0005-0000-0000-0000F4AF0000}"/>
    <cellStyle name="SHADEDSTORES 2 2 9 3" xfId="45045" xr:uid="{00000000-0005-0000-0000-0000F5AF0000}"/>
    <cellStyle name="SHADEDSTORES 2 2 9 4" xfId="45046" xr:uid="{00000000-0005-0000-0000-0000F6AF0000}"/>
    <cellStyle name="SHADEDSTORES 2 2 9 5" xfId="45047" xr:uid="{00000000-0005-0000-0000-0000F7AF0000}"/>
    <cellStyle name="SHADEDSTORES 2 2 9 6" xfId="45048" xr:uid="{00000000-0005-0000-0000-0000F8AF0000}"/>
    <cellStyle name="SHADEDSTORES 2 3" xfId="45049" xr:uid="{00000000-0005-0000-0000-0000F9AF0000}"/>
    <cellStyle name="SHADEDSTORES 2 3 2" xfId="45050" xr:uid="{00000000-0005-0000-0000-0000FAAF0000}"/>
    <cellStyle name="SHADEDSTORES 2 3 2 2" xfId="45051" xr:uid="{00000000-0005-0000-0000-0000FBAF0000}"/>
    <cellStyle name="SHADEDSTORES 2 3 2 2 2" xfId="45052" xr:uid="{00000000-0005-0000-0000-0000FCAF0000}"/>
    <cellStyle name="SHADEDSTORES 2 3 2 2 3" xfId="45053" xr:uid="{00000000-0005-0000-0000-0000FDAF0000}"/>
    <cellStyle name="SHADEDSTORES 2 3 2 2 4" xfId="45054" xr:uid="{00000000-0005-0000-0000-0000FEAF0000}"/>
    <cellStyle name="SHADEDSTORES 2 3 2 2 5" xfId="45055" xr:uid="{00000000-0005-0000-0000-0000FFAF0000}"/>
    <cellStyle name="SHADEDSTORES 2 3 2 2 6" xfId="45056" xr:uid="{00000000-0005-0000-0000-000000B00000}"/>
    <cellStyle name="SHADEDSTORES 2 3 2 3" xfId="45057" xr:uid="{00000000-0005-0000-0000-000001B00000}"/>
    <cellStyle name="SHADEDSTORES 2 3 2 4" xfId="45058" xr:uid="{00000000-0005-0000-0000-000002B00000}"/>
    <cellStyle name="SHADEDSTORES 2 3 2 5" xfId="45059" xr:uid="{00000000-0005-0000-0000-000003B00000}"/>
    <cellStyle name="SHADEDSTORES 2 3 2 6" xfId="45060" xr:uid="{00000000-0005-0000-0000-000004B00000}"/>
    <cellStyle name="SHADEDSTORES 2 3 3" xfId="45061" xr:uid="{00000000-0005-0000-0000-000005B00000}"/>
    <cellStyle name="SHADEDSTORES 2 3 3 2" xfId="45062" xr:uid="{00000000-0005-0000-0000-000006B00000}"/>
    <cellStyle name="SHADEDSTORES 2 3 3 2 2" xfId="45063" xr:uid="{00000000-0005-0000-0000-000007B00000}"/>
    <cellStyle name="SHADEDSTORES 2 3 3 2 3" xfId="45064" xr:uid="{00000000-0005-0000-0000-000008B00000}"/>
    <cellStyle name="SHADEDSTORES 2 3 3 2 4" xfId="45065" xr:uid="{00000000-0005-0000-0000-000009B00000}"/>
    <cellStyle name="SHADEDSTORES 2 3 3 2 5" xfId="45066" xr:uid="{00000000-0005-0000-0000-00000AB00000}"/>
    <cellStyle name="SHADEDSTORES 2 3 3 2 6" xfId="45067" xr:uid="{00000000-0005-0000-0000-00000BB00000}"/>
    <cellStyle name="SHADEDSTORES 2 3 3 3" xfId="45068" xr:uid="{00000000-0005-0000-0000-00000CB00000}"/>
    <cellStyle name="SHADEDSTORES 2 3 3 4" xfId="45069" xr:uid="{00000000-0005-0000-0000-00000DB00000}"/>
    <cellStyle name="SHADEDSTORES 2 3 3 5" xfId="45070" xr:uid="{00000000-0005-0000-0000-00000EB00000}"/>
    <cellStyle name="SHADEDSTORES 2 3 3 6" xfId="45071" xr:uid="{00000000-0005-0000-0000-00000FB00000}"/>
    <cellStyle name="SHADEDSTORES 2 3 4" xfId="45072" xr:uid="{00000000-0005-0000-0000-000010B00000}"/>
    <cellStyle name="SHADEDSTORES 2 3 4 2" xfId="45073" xr:uid="{00000000-0005-0000-0000-000011B00000}"/>
    <cellStyle name="SHADEDSTORES 2 3 4 3" xfId="45074" xr:uid="{00000000-0005-0000-0000-000012B00000}"/>
    <cellStyle name="SHADEDSTORES 2 3 4 4" xfId="45075" xr:uid="{00000000-0005-0000-0000-000013B00000}"/>
    <cellStyle name="SHADEDSTORES 2 3 4 5" xfId="45076" xr:uid="{00000000-0005-0000-0000-000014B00000}"/>
    <cellStyle name="SHADEDSTORES 2 3 4 6" xfId="45077" xr:uid="{00000000-0005-0000-0000-000015B00000}"/>
    <cellStyle name="SHADEDSTORES 2 3 5" xfId="45078" xr:uid="{00000000-0005-0000-0000-000016B00000}"/>
    <cellStyle name="SHADEDSTORES 2 3 6" xfId="45079" xr:uid="{00000000-0005-0000-0000-000017B00000}"/>
    <cellStyle name="SHADEDSTORES 2 3 7" xfId="45080" xr:uid="{00000000-0005-0000-0000-000018B00000}"/>
    <cellStyle name="SHADEDSTORES 2 3 8" xfId="45081" xr:uid="{00000000-0005-0000-0000-000019B00000}"/>
    <cellStyle name="SHADEDSTORES 2 4" xfId="45082" xr:uid="{00000000-0005-0000-0000-00001AB00000}"/>
    <cellStyle name="SHADEDSTORES 2 4 2" xfId="45083" xr:uid="{00000000-0005-0000-0000-00001BB00000}"/>
    <cellStyle name="SHADEDSTORES 2 4 2 2" xfId="45084" xr:uid="{00000000-0005-0000-0000-00001CB00000}"/>
    <cellStyle name="SHADEDSTORES 2 4 2 2 2" xfId="45085" xr:uid="{00000000-0005-0000-0000-00001DB00000}"/>
    <cellStyle name="SHADEDSTORES 2 4 2 2 3" xfId="45086" xr:uid="{00000000-0005-0000-0000-00001EB00000}"/>
    <cellStyle name="SHADEDSTORES 2 4 2 2 4" xfId="45087" xr:uid="{00000000-0005-0000-0000-00001FB00000}"/>
    <cellStyle name="SHADEDSTORES 2 4 2 2 5" xfId="45088" xr:uid="{00000000-0005-0000-0000-000020B00000}"/>
    <cellStyle name="SHADEDSTORES 2 4 2 2 6" xfId="45089" xr:uid="{00000000-0005-0000-0000-000021B00000}"/>
    <cellStyle name="SHADEDSTORES 2 4 2 3" xfId="45090" xr:uid="{00000000-0005-0000-0000-000022B00000}"/>
    <cellStyle name="SHADEDSTORES 2 4 2 4" xfId="45091" xr:uid="{00000000-0005-0000-0000-000023B00000}"/>
    <cellStyle name="SHADEDSTORES 2 4 2 5" xfId="45092" xr:uid="{00000000-0005-0000-0000-000024B00000}"/>
    <cellStyle name="SHADEDSTORES 2 4 2 6" xfId="45093" xr:uid="{00000000-0005-0000-0000-000025B00000}"/>
    <cellStyle name="SHADEDSTORES 2 4 3" xfId="45094" xr:uid="{00000000-0005-0000-0000-000026B00000}"/>
    <cellStyle name="SHADEDSTORES 2 4 3 2" xfId="45095" xr:uid="{00000000-0005-0000-0000-000027B00000}"/>
    <cellStyle name="SHADEDSTORES 2 4 3 2 2" xfId="45096" xr:uid="{00000000-0005-0000-0000-000028B00000}"/>
    <cellStyle name="SHADEDSTORES 2 4 3 2 3" xfId="45097" xr:uid="{00000000-0005-0000-0000-000029B00000}"/>
    <cellStyle name="SHADEDSTORES 2 4 3 2 4" xfId="45098" xr:uid="{00000000-0005-0000-0000-00002AB00000}"/>
    <cellStyle name="SHADEDSTORES 2 4 3 2 5" xfId="45099" xr:uid="{00000000-0005-0000-0000-00002BB00000}"/>
    <cellStyle name="SHADEDSTORES 2 4 3 2 6" xfId="45100" xr:uid="{00000000-0005-0000-0000-00002CB00000}"/>
    <cellStyle name="SHADEDSTORES 2 4 3 3" xfId="45101" xr:uid="{00000000-0005-0000-0000-00002DB00000}"/>
    <cellStyle name="SHADEDSTORES 2 4 3 4" xfId="45102" xr:uid="{00000000-0005-0000-0000-00002EB00000}"/>
    <cellStyle name="SHADEDSTORES 2 4 3 5" xfId="45103" xr:uid="{00000000-0005-0000-0000-00002FB00000}"/>
    <cellStyle name="SHADEDSTORES 2 4 3 6" xfId="45104" xr:uid="{00000000-0005-0000-0000-000030B00000}"/>
    <cellStyle name="SHADEDSTORES 2 4 4" xfId="45105" xr:uid="{00000000-0005-0000-0000-000031B00000}"/>
    <cellStyle name="SHADEDSTORES 2 4 4 2" xfId="45106" xr:uid="{00000000-0005-0000-0000-000032B00000}"/>
    <cellStyle name="SHADEDSTORES 2 4 4 3" xfId="45107" xr:uid="{00000000-0005-0000-0000-000033B00000}"/>
    <cellStyle name="SHADEDSTORES 2 4 4 4" xfId="45108" xr:uid="{00000000-0005-0000-0000-000034B00000}"/>
    <cellStyle name="SHADEDSTORES 2 4 4 5" xfId="45109" xr:uid="{00000000-0005-0000-0000-000035B00000}"/>
    <cellStyle name="SHADEDSTORES 2 4 4 6" xfId="45110" xr:uid="{00000000-0005-0000-0000-000036B00000}"/>
    <cellStyle name="SHADEDSTORES 2 4 5" xfId="45111" xr:uid="{00000000-0005-0000-0000-000037B00000}"/>
    <cellStyle name="SHADEDSTORES 2 4 6" xfId="45112" xr:uid="{00000000-0005-0000-0000-000038B00000}"/>
    <cellStyle name="SHADEDSTORES 2 4 7" xfId="45113" xr:uid="{00000000-0005-0000-0000-000039B00000}"/>
    <cellStyle name="SHADEDSTORES 2 4 8" xfId="45114" xr:uid="{00000000-0005-0000-0000-00003AB00000}"/>
    <cellStyle name="SHADEDSTORES 2 5" xfId="45115" xr:uid="{00000000-0005-0000-0000-00003BB00000}"/>
    <cellStyle name="SHADEDSTORES 2 5 2" xfId="45116" xr:uid="{00000000-0005-0000-0000-00003CB00000}"/>
    <cellStyle name="SHADEDSTORES 2 5 2 2" xfId="45117" xr:uid="{00000000-0005-0000-0000-00003DB00000}"/>
    <cellStyle name="SHADEDSTORES 2 5 2 2 2" xfId="45118" xr:uid="{00000000-0005-0000-0000-00003EB00000}"/>
    <cellStyle name="SHADEDSTORES 2 5 2 2 3" xfId="45119" xr:uid="{00000000-0005-0000-0000-00003FB00000}"/>
    <cellStyle name="SHADEDSTORES 2 5 2 2 4" xfId="45120" xr:uid="{00000000-0005-0000-0000-000040B00000}"/>
    <cellStyle name="SHADEDSTORES 2 5 2 2 5" xfId="45121" xr:uid="{00000000-0005-0000-0000-000041B00000}"/>
    <cellStyle name="SHADEDSTORES 2 5 2 2 6" xfId="45122" xr:uid="{00000000-0005-0000-0000-000042B00000}"/>
    <cellStyle name="SHADEDSTORES 2 5 2 3" xfId="45123" xr:uid="{00000000-0005-0000-0000-000043B00000}"/>
    <cellStyle name="SHADEDSTORES 2 5 2 4" xfId="45124" xr:uid="{00000000-0005-0000-0000-000044B00000}"/>
    <cellStyle name="SHADEDSTORES 2 5 2 5" xfId="45125" xr:uid="{00000000-0005-0000-0000-000045B00000}"/>
    <cellStyle name="SHADEDSTORES 2 5 2 6" xfId="45126" xr:uid="{00000000-0005-0000-0000-000046B00000}"/>
    <cellStyle name="SHADEDSTORES 2 5 3" xfId="45127" xr:uid="{00000000-0005-0000-0000-000047B00000}"/>
    <cellStyle name="SHADEDSTORES 2 5 3 2" xfId="45128" xr:uid="{00000000-0005-0000-0000-000048B00000}"/>
    <cellStyle name="SHADEDSTORES 2 5 3 2 2" xfId="45129" xr:uid="{00000000-0005-0000-0000-000049B00000}"/>
    <cellStyle name="SHADEDSTORES 2 5 3 2 3" xfId="45130" xr:uid="{00000000-0005-0000-0000-00004AB00000}"/>
    <cellStyle name="SHADEDSTORES 2 5 3 2 4" xfId="45131" xr:uid="{00000000-0005-0000-0000-00004BB00000}"/>
    <cellStyle name="SHADEDSTORES 2 5 3 2 5" xfId="45132" xr:uid="{00000000-0005-0000-0000-00004CB00000}"/>
    <cellStyle name="SHADEDSTORES 2 5 3 2 6" xfId="45133" xr:uid="{00000000-0005-0000-0000-00004DB00000}"/>
    <cellStyle name="SHADEDSTORES 2 5 3 3" xfId="45134" xr:uid="{00000000-0005-0000-0000-00004EB00000}"/>
    <cellStyle name="SHADEDSTORES 2 5 3 4" xfId="45135" xr:uid="{00000000-0005-0000-0000-00004FB00000}"/>
    <cellStyle name="SHADEDSTORES 2 5 3 5" xfId="45136" xr:uid="{00000000-0005-0000-0000-000050B00000}"/>
    <cellStyle name="SHADEDSTORES 2 5 3 6" xfId="45137" xr:uid="{00000000-0005-0000-0000-000051B00000}"/>
    <cellStyle name="SHADEDSTORES 2 5 4" xfId="45138" xr:uid="{00000000-0005-0000-0000-000052B00000}"/>
    <cellStyle name="SHADEDSTORES 2 5 4 2" xfId="45139" xr:uid="{00000000-0005-0000-0000-000053B00000}"/>
    <cellStyle name="SHADEDSTORES 2 5 4 3" xfId="45140" xr:uid="{00000000-0005-0000-0000-000054B00000}"/>
    <cellStyle name="SHADEDSTORES 2 5 4 4" xfId="45141" xr:uid="{00000000-0005-0000-0000-000055B00000}"/>
    <cellStyle name="SHADEDSTORES 2 5 4 5" xfId="45142" xr:uid="{00000000-0005-0000-0000-000056B00000}"/>
    <cellStyle name="SHADEDSTORES 2 5 4 6" xfId="45143" xr:uid="{00000000-0005-0000-0000-000057B00000}"/>
    <cellStyle name="SHADEDSTORES 2 5 5" xfId="45144" xr:uid="{00000000-0005-0000-0000-000058B00000}"/>
    <cellStyle name="SHADEDSTORES 2 5 6" xfId="45145" xr:uid="{00000000-0005-0000-0000-000059B00000}"/>
    <cellStyle name="SHADEDSTORES 2 5 7" xfId="45146" xr:uid="{00000000-0005-0000-0000-00005AB00000}"/>
    <cellStyle name="SHADEDSTORES 2 5 8" xfId="45147" xr:uid="{00000000-0005-0000-0000-00005BB00000}"/>
    <cellStyle name="SHADEDSTORES 2 6" xfId="45148" xr:uid="{00000000-0005-0000-0000-00005CB00000}"/>
    <cellStyle name="SHADEDSTORES 2 6 2" xfId="45149" xr:uid="{00000000-0005-0000-0000-00005DB00000}"/>
    <cellStyle name="SHADEDSTORES 2 6 2 2" xfId="45150" xr:uid="{00000000-0005-0000-0000-00005EB00000}"/>
    <cellStyle name="SHADEDSTORES 2 6 2 2 2" xfId="45151" xr:uid="{00000000-0005-0000-0000-00005FB00000}"/>
    <cellStyle name="SHADEDSTORES 2 6 2 2 3" xfId="45152" xr:uid="{00000000-0005-0000-0000-000060B00000}"/>
    <cellStyle name="SHADEDSTORES 2 6 2 2 4" xfId="45153" xr:uid="{00000000-0005-0000-0000-000061B00000}"/>
    <cellStyle name="SHADEDSTORES 2 6 2 2 5" xfId="45154" xr:uid="{00000000-0005-0000-0000-000062B00000}"/>
    <cellStyle name="SHADEDSTORES 2 6 2 2 6" xfId="45155" xr:uid="{00000000-0005-0000-0000-000063B00000}"/>
    <cellStyle name="SHADEDSTORES 2 6 2 3" xfId="45156" xr:uid="{00000000-0005-0000-0000-000064B00000}"/>
    <cellStyle name="SHADEDSTORES 2 6 2 4" xfId="45157" xr:uid="{00000000-0005-0000-0000-000065B00000}"/>
    <cellStyle name="SHADEDSTORES 2 6 2 5" xfId="45158" xr:uid="{00000000-0005-0000-0000-000066B00000}"/>
    <cellStyle name="SHADEDSTORES 2 6 2 6" xfId="45159" xr:uid="{00000000-0005-0000-0000-000067B00000}"/>
    <cellStyle name="SHADEDSTORES 2 6 3" xfId="45160" xr:uid="{00000000-0005-0000-0000-000068B00000}"/>
    <cellStyle name="SHADEDSTORES 2 6 3 2" xfId="45161" xr:uid="{00000000-0005-0000-0000-000069B00000}"/>
    <cellStyle name="SHADEDSTORES 2 6 3 2 2" xfId="45162" xr:uid="{00000000-0005-0000-0000-00006AB00000}"/>
    <cellStyle name="SHADEDSTORES 2 6 3 2 3" xfId="45163" xr:uid="{00000000-0005-0000-0000-00006BB00000}"/>
    <cellStyle name="SHADEDSTORES 2 6 3 2 4" xfId="45164" xr:uid="{00000000-0005-0000-0000-00006CB00000}"/>
    <cellStyle name="SHADEDSTORES 2 6 3 2 5" xfId="45165" xr:uid="{00000000-0005-0000-0000-00006DB00000}"/>
    <cellStyle name="SHADEDSTORES 2 6 3 2 6" xfId="45166" xr:uid="{00000000-0005-0000-0000-00006EB00000}"/>
    <cellStyle name="SHADEDSTORES 2 6 3 3" xfId="45167" xr:uid="{00000000-0005-0000-0000-00006FB00000}"/>
    <cellStyle name="SHADEDSTORES 2 6 3 4" xfId="45168" xr:uid="{00000000-0005-0000-0000-000070B00000}"/>
    <cellStyle name="SHADEDSTORES 2 6 3 5" xfId="45169" xr:uid="{00000000-0005-0000-0000-000071B00000}"/>
    <cellStyle name="SHADEDSTORES 2 6 3 6" xfId="45170" xr:uid="{00000000-0005-0000-0000-000072B00000}"/>
    <cellStyle name="SHADEDSTORES 2 6 4" xfId="45171" xr:uid="{00000000-0005-0000-0000-000073B00000}"/>
    <cellStyle name="SHADEDSTORES 2 6 4 2" xfId="45172" xr:uid="{00000000-0005-0000-0000-000074B00000}"/>
    <cellStyle name="SHADEDSTORES 2 6 4 3" xfId="45173" xr:uid="{00000000-0005-0000-0000-000075B00000}"/>
    <cellStyle name="SHADEDSTORES 2 6 4 4" xfId="45174" xr:uid="{00000000-0005-0000-0000-000076B00000}"/>
    <cellStyle name="SHADEDSTORES 2 6 4 5" xfId="45175" xr:uid="{00000000-0005-0000-0000-000077B00000}"/>
    <cellStyle name="SHADEDSTORES 2 6 4 6" xfId="45176" xr:uid="{00000000-0005-0000-0000-000078B00000}"/>
    <cellStyle name="SHADEDSTORES 2 6 5" xfId="45177" xr:uid="{00000000-0005-0000-0000-000079B00000}"/>
    <cellStyle name="SHADEDSTORES 2 6 6" xfId="45178" xr:uid="{00000000-0005-0000-0000-00007AB00000}"/>
    <cellStyle name="SHADEDSTORES 2 6 7" xfId="45179" xr:uid="{00000000-0005-0000-0000-00007BB00000}"/>
    <cellStyle name="SHADEDSTORES 2 6 8" xfId="45180" xr:uid="{00000000-0005-0000-0000-00007CB00000}"/>
    <cellStyle name="SHADEDSTORES 2 7" xfId="45181" xr:uid="{00000000-0005-0000-0000-00007DB00000}"/>
    <cellStyle name="SHADEDSTORES 2 7 2" xfId="45182" xr:uid="{00000000-0005-0000-0000-00007EB00000}"/>
    <cellStyle name="SHADEDSTORES 2 7 2 2" xfId="45183" xr:uid="{00000000-0005-0000-0000-00007FB00000}"/>
    <cellStyle name="SHADEDSTORES 2 7 2 2 2" xfId="45184" xr:uid="{00000000-0005-0000-0000-000080B00000}"/>
    <cellStyle name="SHADEDSTORES 2 7 2 2 3" xfId="45185" xr:uid="{00000000-0005-0000-0000-000081B00000}"/>
    <cellStyle name="SHADEDSTORES 2 7 2 2 4" xfId="45186" xr:uid="{00000000-0005-0000-0000-000082B00000}"/>
    <cellStyle name="SHADEDSTORES 2 7 2 2 5" xfId="45187" xr:uid="{00000000-0005-0000-0000-000083B00000}"/>
    <cellStyle name="SHADEDSTORES 2 7 2 2 6" xfId="45188" xr:uid="{00000000-0005-0000-0000-000084B00000}"/>
    <cellStyle name="SHADEDSTORES 2 7 2 3" xfId="45189" xr:uid="{00000000-0005-0000-0000-000085B00000}"/>
    <cellStyle name="SHADEDSTORES 2 7 2 4" xfId="45190" xr:uid="{00000000-0005-0000-0000-000086B00000}"/>
    <cellStyle name="SHADEDSTORES 2 7 2 5" xfId="45191" xr:uid="{00000000-0005-0000-0000-000087B00000}"/>
    <cellStyle name="SHADEDSTORES 2 7 2 6" xfId="45192" xr:uid="{00000000-0005-0000-0000-000088B00000}"/>
    <cellStyle name="SHADEDSTORES 2 7 3" xfId="45193" xr:uid="{00000000-0005-0000-0000-000089B00000}"/>
    <cellStyle name="SHADEDSTORES 2 7 3 2" xfId="45194" xr:uid="{00000000-0005-0000-0000-00008AB00000}"/>
    <cellStyle name="SHADEDSTORES 2 7 3 2 2" xfId="45195" xr:uid="{00000000-0005-0000-0000-00008BB00000}"/>
    <cellStyle name="SHADEDSTORES 2 7 3 2 3" xfId="45196" xr:uid="{00000000-0005-0000-0000-00008CB00000}"/>
    <cellStyle name="SHADEDSTORES 2 7 3 2 4" xfId="45197" xr:uid="{00000000-0005-0000-0000-00008DB00000}"/>
    <cellStyle name="SHADEDSTORES 2 7 3 2 5" xfId="45198" xr:uid="{00000000-0005-0000-0000-00008EB00000}"/>
    <cellStyle name="SHADEDSTORES 2 7 3 2 6" xfId="45199" xr:uid="{00000000-0005-0000-0000-00008FB00000}"/>
    <cellStyle name="SHADEDSTORES 2 7 3 3" xfId="45200" xr:uid="{00000000-0005-0000-0000-000090B00000}"/>
    <cellStyle name="SHADEDSTORES 2 7 3 4" xfId="45201" xr:uid="{00000000-0005-0000-0000-000091B00000}"/>
    <cellStyle name="SHADEDSTORES 2 7 3 5" xfId="45202" xr:uid="{00000000-0005-0000-0000-000092B00000}"/>
    <cellStyle name="SHADEDSTORES 2 7 3 6" xfId="45203" xr:uid="{00000000-0005-0000-0000-000093B00000}"/>
    <cellStyle name="SHADEDSTORES 2 7 4" xfId="45204" xr:uid="{00000000-0005-0000-0000-000094B00000}"/>
    <cellStyle name="SHADEDSTORES 2 7 4 2" xfId="45205" xr:uid="{00000000-0005-0000-0000-000095B00000}"/>
    <cellStyle name="SHADEDSTORES 2 7 4 3" xfId="45206" xr:uid="{00000000-0005-0000-0000-000096B00000}"/>
    <cellStyle name="SHADEDSTORES 2 7 4 4" xfId="45207" xr:uid="{00000000-0005-0000-0000-000097B00000}"/>
    <cellStyle name="SHADEDSTORES 2 7 4 5" xfId="45208" xr:uid="{00000000-0005-0000-0000-000098B00000}"/>
    <cellStyle name="SHADEDSTORES 2 7 4 6" xfId="45209" xr:uid="{00000000-0005-0000-0000-000099B00000}"/>
    <cellStyle name="SHADEDSTORES 2 7 5" xfId="45210" xr:uid="{00000000-0005-0000-0000-00009AB00000}"/>
    <cellStyle name="SHADEDSTORES 2 7 6" xfId="45211" xr:uid="{00000000-0005-0000-0000-00009BB00000}"/>
    <cellStyle name="SHADEDSTORES 2 7 7" xfId="45212" xr:uid="{00000000-0005-0000-0000-00009CB00000}"/>
    <cellStyle name="SHADEDSTORES 2 7 8" xfId="45213" xr:uid="{00000000-0005-0000-0000-00009DB00000}"/>
    <cellStyle name="SHADEDSTORES 2 8" xfId="45214" xr:uid="{00000000-0005-0000-0000-00009EB00000}"/>
    <cellStyle name="SHADEDSTORES 2 8 2" xfId="45215" xr:uid="{00000000-0005-0000-0000-00009FB00000}"/>
    <cellStyle name="SHADEDSTORES 2 8 2 2" xfId="45216" xr:uid="{00000000-0005-0000-0000-0000A0B00000}"/>
    <cellStyle name="SHADEDSTORES 2 8 2 3" xfId="45217" xr:uid="{00000000-0005-0000-0000-0000A1B00000}"/>
    <cellStyle name="SHADEDSTORES 2 8 2 4" xfId="45218" xr:uid="{00000000-0005-0000-0000-0000A2B00000}"/>
    <cellStyle name="SHADEDSTORES 2 8 2 5" xfId="45219" xr:uid="{00000000-0005-0000-0000-0000A3B00000}"/>
    <cellStyle name="SHADEDSTORES 2 8 2 6" xfId="45220" xr:uid="{00000000-0005-0000-0000-0000A4B00000}"/>
    <cellStyle name="SHADEDSTORES 2 8 3" xfId="45221" xr:uid="{00000000-0005-0000-0000-0000A5B00000}"/>
    <cellStyle name="SHADEDSTORES 2 8 4" xfId="45222" xr:uid="{00000000-0005-0000-0000-0000A6B00000}"/>
    <cellStyle name="SHADEDSTORES 2 8 5" xfId="45223" xr:uid="{00000000-0005-0000-0000-0000A7B00000}"/>
    <cellStyle name="SHADEDSTORES 2 8 6" xfId="45224" xr:uid="{00000000-0005-0000-0000-0000A8B00000}"/>
    <cellStyle name="SHADEDSTORES 2 9" xfId="45225" xr:uid="{00000000-0005-0000-0000-0000A9B00000}"/>
    <cellStyle name="SHADEDSTORES 2 9 2" xfId="45226" xr:uid="{00000000-0005-0000-0000-0000AAB00000}"/>
    <cellStyle name="SHADEDSTORES 2 9 2 2" xfId="45227" xr:uid="{00000000-0005-0000-0000-0000ABB00000}"/>
    <cellStyle name="SHADEDSTORES 2 9 2 3" xfId="45228" xr:uid="{00000000-0005-0000-0000-0000ACB00000}"/>
    <cellStyle name="SHADEDSTORES 2 9 2 4" xfId="45229" xr:uid="{00000000-0005-0000-0000-0000ADB00000}"/>
    <cellStyle name="SHADEDSTORES 2 9 2 5" xfId="45230" xr:uid="{00000000-0005-0000-0000-0000AEB00000}"/>
    <cellStyle name="SHADEDSTORES 2 9 2 6" xfId="45231" xr:uid="{00000000-0005-0000-0000-0000AFB00000}"/>
    <cellStyle name="SHADEDSTORES 2 9 3" xfId="45232" xr:uid="{00000000-0005-0000-0000-0000B0B00000}"/>
    <cellStyle name="SHADEDSTORES 2 9 4" xfId="45233" xr:uid="{00000000-0005-0000-0000-0000B1B00000}"/>
    <cellStyle name="SHADEDSTORES 2 9 5" xfId="45234" xr:uid="{00000000-0005-0000-0000-0000B2B00000}"/>
    <cellStyle name="SHADEDSTORES 2 9 6" xfId="45235" xr:uid="{00000000-0005-0000-0000-0000B3B00000}"/>
    <cellStyle name="SHADEDSTORES 3" xfId="45236" xr:uid="{00000000-0005-0000-0000-0000B4B00000}"/>
    <cellStyle name="SHADEDSTORES 3 10" xfId="45237" xr:uid="{00000000-0005-0000-0000-0000B5B00000}"/>
    <cellStyle name="SHADEDSTORES 3 11" xfId="45238" xr:uid="{00000000-0005-0000-0000-0000B6B00000}"/>
    <cellStyle name="SHADEDSTORES 3 12" xfId="45239" xr:uid="{00000000-0005-0000-0000-0000B7B00000}"/>
    <cellStyle name="SHADEDSTORES 3 13" xfId="45240" xr:uid="{00000000-0005-0000-0000-0000B8B00000}"/>
    <cellStyle name="SHADEDSTORES 3 2" xfId="45241" xr:uid="{00000000-0005-0000-0000-0000B9B00000}"/>
    <cellStyle name="SHADEDSTORES 3 2 2" xfId="45242" xr:uid="{00000000-0005-0000-0000-0000BAB00000}"/>
    <cellStyle name="SHADEDSTORES 3 2 2 2" xfId="45243" xr:uid="{00000000-0005-0000-0000-0000BBB00000}"/>
    <cellStyle name="SHADEDSTORES 3 2 2 2 2" xfId="45244" xr:uid="{00000000-0005-0000-0000-0000BCB00000}"/>
    <cellStyle name="SHADEDSTORES 3 2 2 2 3" xfId="45245" xr:uid="{00000000-0005-0000-0000-0000BDB00000}"/>
    <cellStyle name="SHADEDSTORES 3 2 2 2 4" xfId="45246" xr:uid="{00000000-0005-0000-0000-0000BEB00000}"/>
    <cellStyle name="SHADEDSTORES 3 2 2 2 5" xfId="45247" xr:uid="{00000000-0005-0000-0000-0000BFB00000}"/>
    <cellStyle name="SHADEDSTORES 3 2 2 2 6" xfId="45248" xr:uid="{00000000-0005-0000-0000-0000C0B00000}"/>
    <cellStyle name="SHADEDSTORES 3 2 2 3" xfId="45249" xr:uid="{00000000-0005-0000-0000-0000C1B00000}"/>
    <cellStyle name="SHADEDSTORES 3 2 2 4" xfId="45250" xr:uid="{00000000-0005-0000-0000-0000C2B00000}"/>
    <cellStyle name="SHADEDSTORES 3 2 2 5" xfId="45251" xr:uid="{00000000-0005-0000-0000-0000C3B00000}"/>
    <cellStyle name="SHADEDSTORES 3 2 2 6" xfId="45252" xr:uid="{00000000-0005-0000-0000-0000C4B00000}"/>
    <cellStyle name="SHADEDSTORES 3 2 3" xfId="45253" xr:uid="{00000000-0005-0000-0000-0000C5B00000}"/>
    <cellStyle name="SHADEDSTORES 3 2 3 2" xfId="45254" xr:uid="{00000000-0005-0000-0000-0000C6B00000}"/>
    <cellStyle name="SHADEDSTORES 3 2 3 2 2" xfId="45255" xr:uid="{00000000-0005-0000-0000-0000C7B00000}"/>
    <cellStyle name="SHADEDSTORES 3 2 3 2 3" xfId="45256" xr:uid="{00000000-0005-0000-0000-0000C8B00000}"/>
    <cellStyle name="SHADEDSTORES 3 2 3 2 4" xfId="45257" xr:uid="{00000000-0005-0000-0000-0000C9B00000}"/>
    <cellStyle name="SHADEDSTORES 3 2 3 2 5" xfId="45258" xr:uid="{00000000-0005-0000-0000-0000CAB00000}"/>
    <cellStyle name="SHADEDSTORES 3 2 3 2 6" xfId="45259" xr:uid="{00000000-0005-0000-0000-0000CBB00000}"/>
    <cellStyle name="SHADEDSTORES 3 2 3 3" xfId="45260" xr:uid="{00000000-0005-0000-0000-0000CCB00000}"/>
    <cellStyle name="SHADEDSTORES 3 2 3 4" xfId="45261" xr:uid="{00000000-0005-0000-0000-0000CDB00000}"/>
    <cellStyle name="SHADEDSTORES 3 2 3 5" xfId="45262" xr:uid="{00000000-0005-0000-0000-0000CEB00000}"/>
    <cellStyle name="SHADEDSTORES 3 2 3 6" xfId="45263" xr:uid="{00000000-0005-0000-0000-0000CFB00000}"/>
    <cellStyle name="SHADEDSTORES 3 2 4" xfId="45264" xr:uid="{00000000-0005-0000-0000-0000D0B00000}"/>
    <cellStyle name="SHADEDSTORES 3 2 4 2" xfId="45265" xr:uid="{00000000-0005-0000-0000-0000D1B00000}"/>
    <cellStyle name="SHADEDSTORES 3 2 4 3" xfId="45266" xr:uid="{00000000-0005-0000-0000-0000D2B00000}"/>
    <cellStyle name="SHADEDSTORES 3 2 4 4" xfId="45267" xr:uid="{00000000-0005-0000-0000-0000D3B00000}"/>
    <cellStyle name="SHADEDSTORES 3 2 4 5" xfId="45268" xr:uid="{00000000-0005-0000-0000-0000D4B00000}"/>
    <cellStyle name="SHADEDSTORES 3 2 4 6" xfId="45269" xr:uid="{00000000-0005-0000-0000-0000D5B00000}"/>
    <cellStyle name="SHADEDSTORES 3 2 5" xfId="45270" xr:uid="{00000000-0005-0000-0000-0000D6B00000}"/>
    <cellStyle name="SHADEDSTORES 3 2 6" xfId="45271" xr:uid="{00000000-0005-0000-0000-0000D7B00000}"/>
    <cellStyle name="SHADEDSTORES 3 2 7" xfId="45272" xr:uid="{00000000-0005-0000-0000-0000D8B00000}"/>
    <cellStyle name="SHADEDSTORES 3 2 8" xfId="45273" xr:uid="{00000000-0005-0000-0000-0000D9B00000}"/>
    <cellStyle name="SHADEDSTORES 3 3" xfId="45274" xr:uid="{00000000-0005-0000-0000-0000DAB00000}"/>
    <cellStyle name="SHADEDSTORES 3 3 2" xfId="45275" xr:uid="{00000000-0005-0000-0000-0000DBB00000}"/>
    <cellStyle name="SHADEDSTORES 3 3 2 2" xfId="45276" xr:uid="{00000000-0005-0000-0000-0000DCB00000}"/>
    <cellStyle name="SHADEDSTORES 3 3 2 2 2" xfId="45277" xr:uid="{00000000-0005-0000-0000-0000DDB00000}"/>
    <cellStyle name="SHADEDSTORES 3 3 2 2 3" xfId="45278" xr:uid="{00000000-0005-0000-0000-0000DEB00000}"/>
    <cellStyle name="SHADEDSTORES 3 3 2 2 4" xfId="45279" xr:uid="{00000000-0005-0000-0000-0000DFB00000}"/>
    <cellStyle name="SHADEDSTORES 3 3 2 2 5" xfId="45280" xr:uid="{00000000-0005-0000-0000-0000E0B00000}"/>
    <cellStyle name="SHADEDSTORES 3 3 2 2 6" xfId="45281" xr:uid="{00000000-0005-0000-0000-0000E1B00000}"/>
    <cellStyle name="SHADEDSTORES 3 3 2 3" xfId="45282" xr:uid="{00000000-0005-0000-0000-0000E2B00000}"/>
    <cellStyle name="SHADEDSTORES 3 3 2 4" xfId="45283" xr:uid="{00000000-0005-0000-0000-0000E3B00000}"/>
    <cellStyle name="SHADEDSTORES 3 3 2 5" xfId="45284" xr:uid="{00000000-0005-0000-0000-0000E4B00000}"/>
    <cellStyle name="SHADEDSTORES 3 3 2 6" xfId="45285" xr:uid="{00000000-0005-0000-0000-0000E5B00000}"/>
    <cellStyle name="SHADEDSTORES 3 3 3" xfId="45286" xr:uid="{00000000-0005-0000-0000-0000E6B00000}"/>
    <cellStyle name="SHADEDSTORES 3 3 3 2" xfId="45287" xr:uid="{00000000-0005-0000-0000-0000E7B00000}"/>
    <cellStyle name="SHADEDSTORES 3 3 3 2 2" xfId="45288" xr:uid="{00000000-0005-0000-0000-0000E8B00000}"/>
    <cellStyle name="SHADEDSTORES 3 3 3 2 3" xfId="45289" xr:uid="{00000000-0005-0000-0000-0000E9B00000}"/>
    <cellStyle name="SHADEDSTORES 3 3 3 2 4" xfId="45290" xr:uid="{00000000-0005-0000-0000-0000EAB00000}"/>
    <cellStyle name="SHADEDSTORES 3 3 3 2 5" xfId="45291" xr:uid="{00000000-0005-0000-0000-0000EBB00000}"/>
    <cellStyle name="SHADEDSTORES 3 3 3 2 6" xfId="45292" xr:uid="{00000000-0005-0000-0000-0000ECB00000}"/>
    <cellStyle name="SHADEDSTORES 3 3 3 3" xfId="45293" xr:uid="{00000000-0005-0000-0000-0000EDB00000}"/>
    <cellStyle name="SHADEDSTORES 3 3 3 4" xfId="45294" xr:uid="{00000000-0005-0000-0000-0000EEB00000}"/>
    <cellStyle name="SHADEDSTORES 3 3 3 5" xfId="45295" xr:uid="{00000000-0005-0000-0000-0000EFB00000}"/>
    <cellStyle name="SHADEDSTORES 3 3 3 6" xfId="45296" xr:uid="{00000000-0005-0000-0000-0000F0B00000}"/>
    <cellStyle name="SHADEDSTORES 3 3 4" xfId="45297" xr:uid="{00000000-0005-0000-0000-0000F1B00000}"/>
    <cellStyle name="SHADEDSTORES 3 3 4 2" xfId="45298" xr:uid="{00000000-0005-0000-0000-0000F2B00000}"/>
    <cellStyle name="SHADEDSTORES 3 3 4 3" xfId="45299" xr:uid="{00000000-0005-0000-0000-0000F3B00000}"/>
    <cellStyle name="SHADEDSTORES 3 3 4 4" xfId="45300" xr:uid="{00000000-0005-0000-0000-0000F4B00000}"/>
    <cellStyle name="SHADEDSTORES 3 3 4 5" xfId="45301" xr:uid="{00000000-0005-0000-0000-0000F5B00000}"/>
    <cellStyle name="SHADEDSTORES 3 3 4 6" xfId="45302" xr:uid="{00000000-0005-0000-0000-0000F6B00000}"/>
    <cellStyle name="SHADEDSTORES 3 3 5" xfId="45303" xr:uid="{00000000-0005-0000-0000-0000F7B00000}"/>
    <cellStyle name="SHADEDSTORES 3 3 6" xfId="45304" xr:uid="{00000000-0005-0000-0000-0000F8B00000}"/>
    <cellStyle name="SHADEDSTORES 3 3 7" xfId="45305" xr:uid="{00000000-0005-0000-0000-0000F9B00000}"/>
    <cellStyle name="SHADEDSTORES 3 3 8" xfId="45306" xr:uid="{00000000-0005-0000-0000-0000FAB00000}"/>
    <cellStyle name="SHADEDSTORES 3 4" xfId="45307" xr:uid="{00000000-0005-0000-0000-0000FBB00000}"/>
    <cellStyle name="SHADEDSTORES 3 4 2" xfId="45308" xr:uid="{00000000-0005-0000-0000-0000FCB00000}"/>
    <cellStyle name="SHADEDSTORES 3 4 2 2" xfId="45309" xr:uid="{00000000-0005-0000-0000-0000FDB00000}"/>
    <cellStyle name="SHADEDSTORES 3 4 2 2 2" xfId="45310" xr:uid="{00000000-0005-0000-0000-0000FEB00000}"/>
    <cellStyle name="SHADEDSTORES 3 4 2 2 3" xfId="45311" xr:uid="{00000000-0005-0000-0000-0000FFB00000}"/>
    <cellStyle name="SHADEDSTORES 3 4 2 2 4" xfId="45312" xr:uid="{00000000-0005-0000-0000-000000B10000}"/>
    <cellStyle name="SHADEDSTORES 3 4 2 2 5" xfId="45313" xr:uid="{00000000-0005-0000-0000-000001B10000}"/>
    <cellStyle name="SHADEDSTORES 3 4 2 2 6" xfId="45314" xr:uid="{00000000-0005-0000-0000-000002B10000}"/>
    <cellStyle name="SHADEDSTORES 3 4 2 3" xfId="45315" xr:uid="{00000000-0005-0000-0000-000003B10000}"/>
    <cellStyle name="SHADEDSTORES 3 4 2 4" xfId="45316" xr:uid="{00000000-0005-0000-0000-000004B10000}"/>
    <cellStyle name="SHADEDSTORES 3 4 2 5" xfId="45317" xr:uid="{00000000-0005-0000-0000-000005B10000}"/>
    <cellStyle name="SHADEDSTORES 3 4 2 6" xfId="45318" xr:uid="{00000000-0005-0000-0000-000006B10000}"/>
    <cellStyle name="SHADEDSTORES 3 4 3" xfId="45319" xr:uid="{00000000-0005-0000-0000-000007B10000}"/>
    <cellStyle name="SHADEDSTORES 3 4 3 2" xfId="45320" xr:uid="{00000000-0005-0000-0000-000008B10000}"/>
    <cellStyle name="SHADEDSTORES 3 4 3 2 2" xfId="45321" xr:uid="{00000000-0005-0000-0000-000009B10000}"/>
    <cellStyle name="SHADEDSTORES 3 4 3 2 3" xfId="45322" xr:uid="{00000000-0005-0000-0000-00000AB10000}"/>
    <cellStyle name="SHADEDSTORES 3 4 3 2 4" xfId="45323" xr:uid="{00000000-0005-0000-0000-00000BB10000}"/>
    <cellStyle name="SHADEDSTORES 3 4 3 2 5" xfId="45324" xr:uid="{00000000-0005-0000-0000-00000CB10000}"/>
    <cellStyle name="SHADEDSTORES 3 4 3 2 6" xfId="45325" xr:uid="{00000000-0005-0000-0000-00000DB10000}"/>
    <cellStyle name="SHADEDSTORES 3 4 3 3" xfId="45326" xr:uid="{00000000-0005-0000-0000-00000EB10000}"/>
    <cellStyle name="SHADEDSTORES 3 4 3 4" xfId="45327" xr:uid="{00000000-0005-0000-0000-00000FB10000}"/>
    <cellStyle name="SHADEDSTORES 3 4 3 5" xfId="45328" xr:uid="{00000000-0005-0000-0000-000010B10000}"/>
    <cellStyle name="SHADEDSTORES 3 4 3 6" xfId="45329" xr:uid="{00000000-0005-0000-0000-000011B10000}"/>
    <cellStyle name="SHADEDSTORES 3 4 4" xfId="45330" xr:uid="{00000000-0005-0000-0000-000012B10000}"/>
    <cellStyle name="SHADEDSTORES 3 4 4 2" xfId="45331" xr:uid="{00000000-0005-0000-0000-000013B10000}"/>
    <cellStyle name="SHADEDSTORES 3 4 4 3" xfId="45332" xr:uid="{00000000-0005-0000-0000-000014B10000}"/>
    <cellStyle name="SHADEDSTORES 3 4 4 4" xfId="45333" xr:uid="{00000000-0005-0000-0000-000015B10000}"/>
    <cellStyle name="SHADEDSTORES 3 4 4 5" xfId="45334" xr:uid="{00000000-0005-0000-0000-000016B10000}"/>
    <cellStyle name="SHADEDSTORES 3 4 4 6" xfId="45335" xr:uid="{00000000-0005-0000-0000-000017B10000}"/>
    <cellStyle name="SHADEDSTORES 3 4 5" xfId="45336" xr:uid="{00000000-0005-0000-0000-000018B10000}"/>
    <cellStyle name="SHADEDSTORES 3 4 6" xfId="45337" xr:uid="{00000000-0005-0000-0000-000019B10000}"/>
    <cellStyle name="SHADEDSTORES 3 4 7" xfId="45338" xr:uid="{00000000-0005-0000-0000-00001AB10000}"/>
    <cellStyle name="SHADEDSTORES 3 4 8" xfId="45339" xr:uid="{00000000-0005-0000-0000-00001BB10000}"/>
    <cellStyle name="SHADEDSTORES 3 5" xfId="45340" xr:uid="{00000000-0005-0000-0000-00001CB10000}"/>
    <cellStyle name="SHADEDSTORES 3 5 2" xfId="45341" xr:uid="{00000000-0005-0000-0000-00001DB10000}"/>
    <cellStyle name="SHADEDSTORES 3 5 2 2" xfId="45342" xr:uid="{00000000-0005-0000-0000-00001EB10000}"/>
    <cellStyle name="SHADEDSTORES 3 5 2 2 2" xfId="45343" xr:uid="{00000000-0005-0000-0000-00001FB10000}"/>
    <cellStyle name="SHADEDSTORES 3 5 2 2 3" xfId="45344" xr:uid="{00000000-0005-0000-0000-000020B10000}"/>
    <cellStyle name="SHADEDSTORES 3 5 2 2 4" xfId="45345" xr:uid="{00000000-0005-0000-0000-000021B10000}"/>
    <cellStyle name="SHADEDSTORES 3 5 2 2 5" xfId="45346" xr:uid="{00000000-0005-0000-0000-000022B10000}"/>
    <cellStyle name="SHADEDSTORES 3 5 2 2 6" xfId="45347" xr:uid="{00000000-0005-0000-0000-000023B10000}"/>
    <cellStyle name="SHADEDSTORES 3 5 2 3" xfId="45348" xr:uid="{00000000-0005-0000-0000-000024B10000}"/>
    <cellStyle name="SHADEDSTORES 3 5 2 4" xfId="45349" xr:uid="{00000000-0005-0000-0000-000025B10000}"/>
    <cellStyle name="SHADEDSTORES 3 5 2 5" xfId="45350" xr:uid="{00000000-0005-0000-0000-000026B10000}"/>
    <cellStyle name="SHADEDSTORES 3 5 2 6" xfId="45351" xr:uid="{00000000-0005-0000-0000-000027B10000}"/>
    <cellStyle name="SHADEDSTORES 3 5 3" xfId="45352" xr:uid="{00000000-0005-0000-0000-000028B10000}"/>
    <cellStyle name="SHADEDSTORES 3 5 3 2" xfId="45353" xr:uid="{00000000-0005-0000-0000-000029B10000}"/>
    <cellStyle name="SHADEDSTORES 3 5 3 2 2" xfId="45354" xr:uid="{00000000-0005-0000-0000-00002AB10000}"/>
    <cellStyle name="SHADEDSTORES 3 5 3 2 3" xfId="45355" xr:uid="{00000000-0005-0000-0000-00002BB10000}"/>
    <cellStyle name="SHADEDSTORES 3 5 3 2 4" xfId="45356" xr:uid="{00000000-0005-0000-0000-00002CB10000}"/>
    <cellStyle name="SHADEDSTORES 3 5 3 2 5" xfId="45357" xr:uid="{00000000-0005-0000-0000-00002DB10000}"/>
    <cellStyle name="SHADEDSTORES 3 5 3 2 6" xfId="45358" xr:uid="{00000000-0005-0000-0000-00002EB10000}"/>
    <cellStyle name="SHADEDSTORES 3 5 3 3" xfId="45359" xr:uid="{00000000-0005-0000-0000-00002FB10000}"/>
    <cellStyle name="SHADEDSTORES 3 5 3 4" xfId="45360" xr:uid="{00000000-0005-0000-0000-000030B10000}"/>
    <cellStyle name="SHADEDSTORES 3 5 3 5" xfId="45361" xr:uid="{00000000-0005-0000-0000-000031B10000}"/>
    <cellStyle name="SHADEDSTORES 3 5 3 6" xfId="45362" xr:uid="{00000000-0005-0000-0000-000032B10000}"/>
    <cellStyle name="SHADEDSTORES 3 5 4" xfId="45363" xr:uid="{00000000-0005-0000-0000-000033B10000}"/>
    <cellStyle name="SHADEDSTORES 3 5 4 2" xfId="45364" xr:uid="{00000000-0005-0000-0000-000034B10000}"/>
    <cellStyle name="SHADEDSTORES 3 5 4 3" xfId="45365" xr:uid="{00000000-0005-0000-0000-000035B10000}"/>
    <cellStyle name="SHADEDSTORES 3 5 4 4" xfId="45366" xr:uid="{00000000-0005-0000-0000-000036B10000}"/>
    <cellStyle name="SHADEDSTORES 3 5 4 5" xfId="45367" xr:uid="{00000000-0005-0000-0000-000037B10000}"/>
    <cellStyle name="SHADEDSTORES 3 5 4 6" xfId="45368" xr:uid="{00000000-0005-0000-0000-000038B10000}"/>
    <cellStyle name="SHADEDSTORES 3 5 5" xfId="45369" xr:uid="{00000000-0005-0000-0000-000039B10000}"/>
    <cellStyle name="SHADEDSTORES 3 5 6" xfId="45370" xr:uid="{00000000-0005-0000-0000-00003AB10000}"/>
    <cellStyle name="SHADEDSTORES 3 5 7" xfId="45371" xr:uid="{00000000-0005-0000-0000-00003BB10000}"/>
    <cellStyle name="SHADEDSTORES 3 5 8" xfId="45372" xr:uid="{00000000-0005-0000-0000-00003CB10000}"/>
    <cellStyle name="SHADEDSTORES 3 6" xfId="45373" xr:uid="{00000000-0005-0000-0000-00003DB10000}"/>
    <cellStyle name="SHADEDSTORES 3 6 2" xfId="45374" xr:uid="{00000000-0005-0000-0000-00003EB10000}"/>
    <cellStyle name="SHADEDSTORES 3 6 2 2" xfId="45375" xr:uid="{00000000-0005-0000-0000-00003FB10000}"/>
    <cellStyle name="SHADEDSTORES 3 6 2 2 2" xfId="45376" xr:uid="{00000000-0005-0000-0000-000040B10000}"/>
    <cellStyle name="SHADEDSTORES 3 6 2 2 3" xfId="45377" xr:uid="{00000000-0005-0000-0000-000041B10000}"/>
    <cellStyle name="SHADEDSTORES 3 6 2 2 4" xfId="45378" xr:uid="{00000000-0005-0000-0000-000042B10000}"/>
    <cellStyle name="SHADEDSTORES 3 6 2 2 5" xfId="45379" xr:uid="{00000000-0005-0000-0000-000043B10000}"/>
    <cellStyle name="SHADEDSTORES 3 6 2 2 6" xfId="45380" xr:uid="{00000000-0005-0000-0000-000044B10000}"/>
    <cellStyle name="SHADEDSTORES 3 6 2 3" xfId="45381" xr:uid="{00000000-0005-0000-0000-000045B10000}"/>
    <cellStyle name="SHADEDSTORES 3 6 2 4" xfId="45382" xr:uid="{00000000-0005-0000-0000-000046B10000}"/>
    <cellStyle name="SHADEDSTORES 3 6 2 5" xfId="45383" xr:uid="{00000000-0005-0000-0000-000047B10000}"/>
    <cellStyle name="SHADEDSTORES 3 6 2 6" xfId="45384" xr:uid="{00000000-0005-0000-0000-000048B10000}"/>
    <cellStyle name="SHADEDSTORES 3 6 3" xfId="45385" xr:uid="{00000000-0005-0000-0000-000049B10000}"/>
    <cellStyle name="SHADEDSTORES 3 6 3 2" xfId="45386" xr:uid="{00000000-0005-0000-0000-00004AB10000}"/>
    <cellStyle name="SHADEDSTORES 3 6 3 2 2" xfId="45387" xr:uid="{00000000-0005-0000-0000-00004BB10000}"/>
    <cellStyle name="SHADEDSTORES 3 6 3 2 3" xfId="45388" xr:uid="{00000000-0005-0000-0000-00004CB10000}"/>
    <cellStyle name="SHADEDSTORES 3 6 3 2 4" xfId="45389" xr:uid="{00000000-0005-0000-0000-00004DB10000}"/>
    <cellStyle name="SHADEDSTORES 3 6 3 2 5" xfId="45390" xr:uid="{00000000-0005-0000-0000-00004EB10000}"/>
    <cellStyle name="SHADEDSTORES 3 6 3 2 6" xfId="45391" xr:uid="{00000000-0005-0000-0000-00004FB10000}"/>
    <cellStyle name="SHADEDSTORES 3 6 3 3" xfId="45392" xr:uid="{00000000-0005-0000-0000-000050B10000}"/>
    <cellStyle name="SHADEDSTORES 3 6 3 4" xfId="45393" xr:uid="{00000000-0005-0000-0000-000051B10000}"/>
    <cellStyle name="SHADEDSTORES 3 6 3 5" xfId="45394" xr:uid="{00000000-0005-0000-0000-000052B10000}"/>
    <cellStyle name="SHADEDSTORES 3 6 3 6" xfId="45395" xr:uid="{00000000-0005-0000-0000-000053B10000}"/>
    <cellStyle name="SHADEDSTORES 3 6 4" xfId="45396" xr:uid="{00000000-0005-0000-0000-000054B10000}"/>
    <cellStyle name="SHADEDSTORES 3 6 4 2" xfId="45397" xr:uid="{00000000-0005-0000-0000-000055B10000}"/>
    <cellStyle name="SHADEDSTORES 3 6 4 3" xfId="45398" xr:uid="{00000000-0005-0000-0000-000056B10000}"/>
    <cellStyle name="SHADEDSTORES 3 6 4 4" xfId="45399" xr:uid="{00000000-0005-0000-0000-000057B10000}"/>
    <cellStyle name="SHADEDSTORES 3 6 4 5" xfId="45400" xr:uid="{00000000-0005-0000-0000-000058B10000}"/>
    <cellStyle name="SHADEDSTORES 3 6 4 6" xfId="45401" xr:uid="{00000000-0005-0000-0000-000059B10000}"/>
    <cellStyle name="SHADEDSTORES 3 6 5" xfId="45402" xr:uid="{00000000-0005-0000-0000-00005AB10000}"/>
    <cellStyle name="SHADEDSTORES 3 6 6" xfId="45403" xr:uid="{00000000-0005-0000-0000-00005BB10000}"/>
    <cellStyle name="SHADEDSTORES 3 6 7" xfId="45404" xr:uid="{00000000-0005-0000-0000-00005CB10000}"/>
    <cellStyle name="SHADEDSTORES 3 6 8" xfId="45405" xr:uid="{00000000-0005-0000-0000-00005DB10000}"/>
    <cellStyle name="SHADEDSTORES 3 7" xfId="45406" xr:uid="{00000000-0005-0000-0000-00005EB10000}"/>
    <cellStyle name="SHADEDSTORES 3 7 2" xfId="45407" xr:uid="{00000000-0005-0000-0000-00005FB10000}"/>
    <cellStyle name="SHADEDSTORES 3 7 2 2" xfId="45408" xr:uid="{00000000-0005-0000-0000-000060B10000}"/>
    <cellStyle name="SHADEDSTORES 3 7 2 3" xfId="45409" xr:uid="{00000000-0005-0000-0000-000061B10000}"/>
    <cellStyle name="SHADEDSTORES 3 7 2 4" xfId="45410" xr:uid="{00000000-0005-0000-0000-000062B10000}"/>
    <cellStyle name="SHADEDSTORES 3 7 2 5" xfId="45411" xr:uid="{00000000-0005-0000-0000-000063B10000}"/>
    <cellStyle name="SHADEDSTORES 3 7 2 6" xfId="45412" xr:uid="{00000000-0005-0000-0000-000064B10000}"/>
    <cellStyle name="SHADEDSTORES 3 7 3" xfId="45413" xr:uid="{00000000-0005-0000-0000-000065B10000}"/>
    <cellStyle name="SHADEDSTORES 3 7 4" xfId="45414" xr:uid="{00000000-0005-0000-0000-000066B10000}"/>
    <cellStyle name="SHADEDSTORES 3 7 5" xfId="45415" xr:uid="{00000000-0005-0000-0000-000067B10000}"/>
    <cellStyle name="SHADEDSTORES 3 7 6" xfId="45416" xr:uid="{00000000-0005-0000-0000-000068B10000}"/>
    <cellStyle name="SHADEDSTORES 3 8" xfId="45417" xr:uid="{00000000-0005-0000-0000-000069B10000}"/>
    <cellStyle name="SHADEDSTORES 3 8 2" xfId="45418" xr:uid="{00000000-0005-0000-0000-00006AB10000}"/>
    <cellStyle name="SHADEDSTORES 3 8 2 2" xfId="45419" xr:uid="{00000000-0005-0000-0000-00006BB10000}"/>
    <cellStyle name="SHADEDSTORES 3 8 2 3" xfId="45420" xr:uid="{00000000-0005-0000-0000-00006CB10000}"/>
    <cellStyle name="SHADEDSTORES 3 8 2 4" xfId="45421" xr:uid="{00000000-0005-0000-0000-00006DB10000}"/>
    <cellStyle name="SHADEDSTORES 3 8 2 5" xfId="45422" xr:uid="{00000000-0005-0000-0000-00006EB10000}"/>
    <cellStyle name="SHADEDSTORES 3 8 2 6" xfId="45423" xr:uid="{00000000-0005-0000-0000-00006FB10000}"/>
    <cellStyle name="SHADEDSTORES 3 8 3" xfId="45424" xr:uid="{00000000-0005-0000-0000-000070B10000}"/>
    <cellStyle name="SHADEDSTORES 3 8 4" xfId="45425" xr:uid="{00000000-0005-0000-0000-000071B10000}"/>
    <cellStyle name="SHADEDSTORES 3 8 5" xfId="45426" xr:uid="{00000000-0005-0000-0000-000072B10000}"/>
    <cellStyle name="SHADEDSTORES 3 8 6" xfId="45427" xr:uid="{00000000-0005-0000-0000-000073B10000}"/>
    <cellStyle name="SHADEDSTORES 3 9" xfId="45428" xr:uid="{00000000-0005-0000-0000-000074B10000}"/>
    <cellStyle name="SHADEDSTORES 3 9 2" xfId="45429" xr:uid="{00000000-0005-0000-0000-000075B10000}"/>
    <cellStyle name="SHADEDSTORES 3 9 3" xfId="45430" xr:uid="{00000000-0005-0000-0000-000076B10000}"/>
    <cellStyle name="SHADEDSTORES 3 9 4" xfId="45431" xr:uid="{00000000-0005-0000-0000-000077B10000}"/>
    <cellStyle name="SHADEDSTORES 3 9 5" xfId="45432" xr:uid="{00000000-0005-0000-0000-000078B10000}"/>
    <cellStyle name="SHADEDSTORES 3 9 6" xfId="45433" xr:uid="{00000000-0005-0000-0000-000079B10000}"/>
    <cellStyle name="SHADEDSTORES 4" xfId="45434" xr:uid="{00000000-0005-0000-0000-00007AB10000}"/>
    <cellStyle name="SHADEDSTORES 4 10" xfId="45435" xr:uid="{00000000-0005-0000-0000-00007BB10000}"/>
    <cellStyle name="SHADEDSTORES 4 11" xfId="45436" xr:uid="{00000000-0005-0000-0000-00007CB10000}"/>
    <cellStyle name="SHADEDSTORES 4 12" xfId="45437" xr:uid="{00000000-0005-0000-0000-00007DB10000}"/>
    <cellStyle name="SHADEDSTORES 4 13" xfId="45438" xr:uid="{00000000-0005-0000-0000-00007EB10000}"/>
    <cellStyle name="SHADEDSTORES 4 2" xfId="45439" xr:uid="{00000000-0005-0000-0000-00007FB10000}"/>
    <cellStyle name="SHADEDSTORES 4 2 2" xfId="45440" xr:uid="{00000000-0005-0000-0000-000080B10000}"/>
    <cellStyle name="SHADEDSTORES 4 2 2 2" xfId="45441" xr:uid="{00000000-0005-0000-0000-000081B10000}"/>
    <cellStyle name="SHADEDSTORES 4 2 2 2 2" xfId="45442" xr:uid="{00000000-0005-0000-0000-000082B10000}"/>
    <cellStyle name="SHADEDSTORES 4 2 2 2 3" xfId="45443" xr:uid="{00000000-0005-0000-0000-000083B10000}"/>
    <cellStyle name="SHADEDSTORES 4 2 2 2 4" xfId="45444" xr:uid="{00000000-0005-0000-0000-000084B10000}"/>
    <cellStyle name="SHADEDSTORES 4 2 2 2 5" xfId="45445" xr:uid="{00000000-0005-0000-0000-000085B10000}"/>
    <cellStyle name="SHADEDSTORES 4 2 2 2 6" xfId="45446" xr:uid="{00000000-0005-0000-0000-000086B10000}"/>
    <cellStyle name="SHADEDSTORES 4 2 2 3" xfId="45447" xr:uid="{00000000-0005-0000-0000-000087B10000}"/>
    <cellStyle name="SHADEDSTORES 4 2 2 4" xfId="45448" xr:uid="{00000000-0005-0000-0000-000088B10000}"/>
    <cellStyle name="SHADEDSTORES 4 2 2 5" xfId="45449" xr:uid="{00000000-0005-0000-0000-000089B10000}"/>
    <cellStyle name="SHADEDSTORES 4 2 2 6" xfId="45450" xr:uid="{00000000-0005-0000-0000-00008AB10000}"/>
    <cellStyle name="SHADEDSTORES 4 2 3" xfId="45451" xr:uid="{00000000-0005-0000-0000-00008BB10000}"/>
    <cellStyle name="SHADEDSTORES 4 2 3 2" xfId="45452" xr:uid="{00000000-0005-0000-0000-00008CB10000}"/>
    <cellStyle name="SHADEDSTORES 4 2 3 2 2" xfId="45453" xr:uid="{00000000-0005-0000-0000-00008DB10000}"/>
    <cellStyle name="SHADEDSTORES 4 2 3 2 3" xfId="45454" xr:uid="{00000000-0005-0000-0000-00008EB10000}"/>
    <cellStyle name="SHADEDSTORES 4 2 3 2 4" xfId="45455" xr:uid="{00000000-0005-0000-0000-00008FB10000}"/>
    <cellStyle name="SHADEDSTORES 4 2 3 2 5" xfId="45456" xr:uid="{00000000-0005-0000-0000-000090B10000}"/>
    <cellStyle name="SHADEDSTORES 4 2 3 2 6" xfId="45457" xr:uid="{00000000-0005-0000-0000-000091B10000}"/>
    <cellStyle name="SHADEDSTORES 4 2 3 3" xfId="45458" xr:uid="{00000000-0005-0000-0000-000092B10000}"/>
    <cellStyle name="SHADEDSTORES 4 2 3 4" xfId="45459" xr:uid="{00000000-0005-0000-0000-000093B10000}"/>
    <cellStyle name="SHADEDSTORES 4 2 3 5" xfId="45460" xr:uid="{00000000-0005-0000-0000-000094B10000}"/>
    <cellStyle name="SHADEDSTORES 4 2 3 6" xfId="45461" xr:uid="{00000000-0005-0000-0000-000095B10000}"/>
    <cellStyle name="SHADEDSTORES 4 2 4" xfId="45462" xr:uid="{00000000-0005-0000-0000-000096B10000}"/>
    <cellStyle name="SHADEDSTORES 4 2 4 2" xfId="45463" xr:uid="{00000000-0005-0000-0000-000097B10000}"/>
    <cellStyle name="SHADEDSTORES 4 2 4 3" xfId="45464" xr:uid="{00000000-0005-0000-0000-000098B10000}"/>
    <cellStyle name="SHADEDSTORES 4 2 4 4" xfId="45465" xr:uid="{00000000-0005-0000-0000-000099B10000}"/>
    <cellStyle name="SHADEDSTORES 4 2 4 5" xfId="45466" xr:uid="{00000000-0005-0000-0000-00009AB10000}"/>
    <cellStyle name="SHADEDSTORES 4 2 4 6" xfId="45467" xr:uid="{00000000-0005-0000-0000-00009BB10000}"/>
    <cellStyle name="SHADEDSTORES 4 2 5" xfId="45468" xr:uid="{00000000-0005-0000-0000-00009CB10000}"/>
    <cellStyle name="SHADEDSTORES 4 2 6" xfId="45469" xr:uid="{00000000-0005-0000-0000-00009DB10000}"/>
    <cellStyle name="SHADEDSTORES 4 2 7" xfId="45470" xr:uid="{00000000-0005-0000-0000-00009EB10000}"/>
    <cellStyle name="SHADEDSTORES 4 2 8" xfId="45471" xr:uid="{00000000-0005-0000-0000-00009FB10000}"/>
    <cellStyle name="SHADEDSTORES 4 3" xfId="45472" xr:uid="{00000000-0005-0000-0000-0000A0B10000}"/>
    <cellStyle name="SHADEDSTORES 4 3 2" xfId="45473" xr:uid="{00000000-0005-0000-0000-0000A1B10000}"/>
    <cellStyle name="SHADEDSTORES 4 3 2 2" xfId="45474" xr:uid="{00000000-0005-0000-0000-0000A2B10000}"/>
    <cellStyle name="SHADEDSTORES 4 3 2 2 2" xfId="45475" xr:uid="{00000000-0005-0000-0000-0000A3B10000}"/>
    <cellStyle name="SHADEDSTORES 4 3 2 2 3" xfId="45476" xr:uid="{00000000-0005-0000-0000-0000A4B10000}"/>
    <cellStyle name="SHADEDSTORES 4 3 2 2 4" xfId="45477" xr:uid="{00000000-0005-0000-0000-0000A5B10000}"/>
    <cellStyle name="SHADEDSTORES 4 3 2 2 5" xfId="45478" xr:uid="{00000000-0005-0000-0000-0000A6B10000}"/>
    <cellStyle name="SHADEDSTORES 4 3 2 2 6" xfId="45479" xr:uid="{00000000-0005-0000-0000-0000A7B10000}"/>
    <cellStyle name="SHADEDSTORES 4 3 2 3" xfId="45480" xr:uid="{00000000-0005-0000-0000-0000A8B10000}"/>
    <cellStyle name="SHADEDSTORES 4 3 2 4" xfId="45481" xr:uid="{00000000-0005-0000-0000-0000A9B10000}"/>
    <cellStyle name="SHADEDSTORES 4 3 2 5" xfId="45482" xr:uid="{00000000-0005-0000-0000-0000AAB10000}"/>
    <cellStyle name="SHADEDSTORES 4 3 2 6" xfId="45483" xr:uid="{00000000-0005-0000-0000-0000ABB10000}"/>
    <cellStyle name="SHADEDSTORES 4 3 3" xfId="45484" xr:uid="{00000000-0005-0000-0000-0000ACB10000}"/>
    <cellStyle name="SHADEDSTORES 4 3 3 2" xfId="45485" xr:uid="{00000000-0005-0000-0000-0000ADB10000}"/>
    <cellStyle name="SHADEDSTORES 4 3 3 2 2" xfId="45486" xr:uid="{00000000-0005-0000-0000-0000AEB10000}"/>
    <cellStyle name="SHADEDSTORES 4 3 3 2 3" xfId="45487" xr:uid="{00000000-0005-0000-0000-0000AFB10000}"/>
    <cellStyle name="SHADEDSTORES 4 3 3 2 4" xfId="45488" xr:uid="{00000000-0005-0000-0000-0000B0B10000}"/>
    <cellStyle name="SHADEDSTORES 4 3 3 2 5" xfId="45489" xr:uid="{00000000-0005-0000-0000-0000B1B10000}"/>
    <cellStyle name="SHADEDSTORES 4 3 3 2 6" xfId="45490" xr:uid="{00000000-0005-0000-0000-0000B2B10000}"/>
    <cellStyle name="SHADEDSTORES 4 3 3 3" xfId="45491" xr:uid="{00000000-0005-0000-0000-0000B3B10000}"/>
    <cellStyle name="SHADEDSTORES 4 3 3 4" xfId="45492" xr:uid="{00000000-0005-0000-0000-0000B4B10000}"/>
    <cellStyle name="SHADEDSTORES 4 3 3 5" xfId="45493" xr:uid="{00000000-0005-0000-0000-0000B5B10000}"/>
    <cellStyle name="SHADEDSTORES 4 3 3 6" xfId="45494" xr:uid="{00000000-0005-0000-0000-0000B6B10000}"/>
    <cellStyle name="SHADEDSTORES 4 3 4" xfId="45495" xr:uid="{00000000-0005-0000-0000-0000B7B10000}"/>
    <cellStyle name="SHADEDSTORES 4 3 4 2" xfId="45496" xr:uid="{00000000-0005-0000-0000-0000B8B10000}"/>
    <cellStyle name="SHADEDSTORES 4 3 4 3" xfId="45497" xr:uid="{00000000-0005-0000-0000-0000B9B10000}"/>
    <cellStyle name="SHADEDSTORES 4 3 4 4" xfId="45498" xr:uid="{00000000-0005-0000-0000-0000BAB10000}"/>
    <cellStyle name="SHADEDSTORES 4 3 4 5" xfId="45499" xr:uid="{00000000-0005-0000-0000-0000BBB10000}"/>
    <cellStyle name="SHADEDSTORES 4 3 4 6" xfId="45500" xr:uid="{00000000-0005-0000-0000-0000BCB10000}"/>
    <cellStyle name="SHADEDSTORES 4 3 5" xfId="45501" xr:uid="{00000000-0005-0000-0000-0000BDB10000}"/>
    <cellStyle name="SHADEDSTORES 4 3 6" xfId="45502" xr:uid="{00000000-0005-0000-0000-0000BEB10000}"/>
    <cellStyle name="SHADEDSTORES 4 3 7" xfId="45503" xr:uid="{00000000-0005-0000-0000-0000BFB10000}"/>
    <cellStyle name="SHADEDSTORES 4 3 8" xfId="45504" xr:uid="{00000000-0005-0000-0000-0000C0B10000}"/>
    <cellStyle name="SHADEDSTORES 4 4" xfId="45505" xr:uid="{00000000-0005-0000-0000-0000C1B10000}"/>
    <cellStyle name="SHADEDSTORES 4 4 2" xfId="45506" xr:uid="{00000000-0005-0000-0000-0000C2B10000}"/>
    <cellStyle name="SHADEDSTORES 4 4 2 2" xfId="45507" xr:uid="{00000000-0005-0000-0000-0000C3B10000}"/>
    <cellStyle name="SHADEDSTORES 4 4 2 2 2" xfId="45508" xr:uid="{00000000-0005-0000-0000-0000C4B10000}"/>
    <cellStyle name="SHADEDSTORES 4 4 2 2 3" xfId="45509" xr:uid="{00000000-0005-0000-0000-0000C5B10000}"/>
    <cellStyle name="SHADEDSTORES 4 4 2 2 4" xfId="45510" xr:uid="{00000000-0005-0000-0000-0000C6B10000}"/>
    <cellStyle name="SHADEDSTORES 4 4 2 2 5" xfId="45511" xr:uid="{00000000-0005-0000-0000-0000C7B10000}"/>
    <cellStyle name="SHADEDSTORES 4 4 2 2 6" xfId="45512" xr:uid="{00000000-0005-0000-0000-0000C8B10000}"/>
    <cellStyle name="SHADEDSTORES 4 4 2 3" xfId="45513" xr:uid="{00000000-0005-0000-0000-0000C9B10000}"/>
    <cellStyle name="SHADEDSTORES 4 4 2 4" xfId="45514" xr:uid="{00000000-0005-0000-0000-0000CAB10000}"/>
    <cellStyle name="SHADEDSTORES 4 4 2 5" xfId="45515" xr:uid="{00000000-0005-0000-0000-0000CBB10000}"/>
    <cellStyle name="SHADEDSTORES 4 4 2 6" xfId="45516" xr:uid="{00000000-0005-0000-0000-0000CCB10000}"/>
    <cellStyle name="SHADEDSTORES 4 4 3" xfId="45517" xr:uid="{00000000-0005-0000-0000-0000CDB10000}"/>
    <cellStyle name="SHADEDSTORES 4 4 3 2" xfId="45518" xr:uid="{00000000-0005-0000-0000-0000CEB10000}"/>
    <cellStyle name="SHADEDSTORES 4 4 3 2 2" xfId="45519" xr:uid="{00000000-0005-0000-0000-0000CFB10000}"/>
    <cellStyle name="SHADEDSTORES 4 4 3 2 3" xfId="45520" xr:uid="{00000000-0005-0000-0000-0000D0B10000}"/>
    <cellStyle name="SHADEDSTORES 4 4 3 2 4" xfId="45521" xr:uid="{00000000-0005-0000-0000-0000D1B10000}"/>
    <cellStyle name="SHADEDSTORES 4 4 3 2 5" xfId="45522" xr:uid="{00000000-0005-0000-0000-0000D2B10000}"/>
    <cellStyle name="SHADEDSTORES 4 4 3 2 6" xfId="45523" xr:uid="{00000000-0005-0000-0000-0000D3B10000}"/>
    <cellStyle name="SHADEDSTORES 4 4 3 3" xfId="45524" xr:uid="{00000000-0005-0000-0000-0000D4B10000}"/>
    <cellStyle name="SHADEDSTORES 4 4 3 4" xfId="45525" xr:uid="{00000000-0005-0000-0000-0000D5B10000}"/>
    <cellStyle name="SHADEDSTORES 4 4 3 5" xfId="45526" xr:uid="{00000000-0005-0000-0000-0000D6B10000}"/>
    <cellStyle name="SHADEDSTORES 4 4 3 6" xfId="45527" xr:uid="{00000000-0005-0000-0000-0000D7B10000}"/>
    <cellStyle name="SHADEDSTORES 4 4 4" xfId="45528" xr:uid="{00000000-0005-0000-0000-0000D8B10000}"/>
    <cellStyle name="SHADEDSTORES 4 4 4 2" xfId="45529" xr:uid="{00000000-0005-0000-0000-0000D9B10000}"/>
    <cellStyle name="SHADEDSTORES 4 4 4 3" xfId="45530" xr:uid="{00000000-0005-0000-0000-0000DAB10000}"/>
    <cellStyle name="SHADEDSTORES 4 4 4 4" xfId="45531" xr:uid="{00000000-0005-0000-0000-0000DBB10000}"/>
    <cellStyle name="SHADEDSTORES 4 4 4 5" xfId="45532" xr:uid="{00000000-0005-0000-0000-0000DCB10000}"/>
    <cellStyle name="SHADEDSTORES 4 4 4 6" xfId="45533" xr:uid="{00000000-0005-0000-0000-0000DDB10000}"/>
    <cellStyle name="SHADEDSTORES 4 4 5" xfId="45534" xr:uid="{00000000-0005-0000-0000-0000DEB10000}"/>
    <cellStyle name="SHADEDSTORES 4 4 6" xfId="45535" xr:uid="{00000000-0005-0000-0000-0000DFB10000}"/>
    <cellStyle name="SHADEDSTORES 4 4 7" xfId="45536" xr:uid="{00000000-0005-0000-0000-0000E0B10000}"/>
    <cellStyle name="SHADEDSTORES 4 4 8" xfId="45537" xr:uid="{00000000-0005-0000-0000-0000E1B10000}"/>
    <cellStyle name="SHADEDSTORES 4 5" xfId="45538" xr:uid="{00000000-0005-0000-0000-0000E2B10000}"/>
    <cellStyle name="SHADEDSTORES 4 5 2" xfId="45539" xr:uid="{00000000-0005-0000-0000-0000E3B10000}"/>
    <cellStyle name="SHADEDSTORES 4 5 2 2" xfId="45540" xr:uid="{00000000-0005-0000-0000-0000E4B10000}"/>
    <cellStyle name="SHADEDSTORES 4 5 2 2 2" xfId="45541" xr:uid="{00000000-0005-0000-0000-0000E5B10000}"/>
    <cellStyle name="SHADEDSTORES 4 5 2 2 3" xfId="45542" xr:uid="{00000000-0005-0000-0000-0000E6B10000}"/>
    <cellStyle name="SHADEDSTORES 4 5 2 2 4" xfId="45543" xr:uid="{00000000-0005-0000-0000-0000E7B10000}"/>
    <cellStyle name="SHADEDSTORES 4 5 2 2 5" xfId="45544" xr:uid="{00000000-0005-0000-0000-0000E8B10000}"/>
    <cellStyle name="SHADEDSTORES 4 5 2 2 6" xfId="45545" xr:uid="{00000000-0005-0000-0000-0000E9B10000}"/>
    <cellStyle name="SHADEDSTORES 4 5 2 3" xfId="45546" xr:uid="{00000000-0005-0000-0000-0000EAB10000}"/>
    <cellStyle name="SHADEDSTORES 4 5 2 4" xfId="45547" xr:uid="{00000000-0005-0000-0000-0000EBB10000}"/>
    <cellStyle name="SHADEDSTORES 4 5 2 5" xfId="45548" xr:uid="{00000000-0005-0000-0000-0000ECB10000}"/>
    <cellStyle name="SHADEDSTORES 4 5 2 6" xfId="45549" xr:uid="{00000000-0005-0000-0000-0000EDB10000}"/>
    <cellStyle name="SHADEDSTORES 4 5 3" xfId="45550" xr:uid="{00000000-0005-0000-0000-0000EEB10000}"/>
    <cellStyle name="SHADEDSTORES 4 5 3 2" xfId="45551" xr:uid="{00000000-0005-0000-0000-0000EFB10000}"/>
    <cellStyle name="SHADEDSTORES 4 5 3 2 2" xfId="45552" xr:uid="{00000000-0005-0000-0000-0000F0B10000}"/>
    <cellStyle name="SHADEDSTORES 4 5 3 2 3" xfId="45553" xr:uid="{00000000-0005-0000-0000-0000F1B10000}"/>
    <cellStyle name="SHADEDSTORES 4 5 3 2 4" xfId="45554" xr:uid="{00000000-0005-0000-0000-0000F2B10000}"/>
    <cellStyle name="SHADEDSTORES 4 5 3 2 5" xfId="45555" xr:uid="{00000000-0005-0000-0000-0000F3B10000}"/>
    <cellStyle name="SHADEDSTORES 4 5 3 2 6" xfId="45556" xr:uid="{00000000-0005-0000-0000-0000F4B10000}"/>
    <cellStyle name="SHADEDSTORES 4 5 3 3" xfId="45557" xr:uid="{00000000-0005-0000-0000-0000F5B10000}"/>
    <cellStyle name="SHADEDSTORES 4 5 3 4" xfId="45558" xr:uid="{00000000-0005-0000-0000-0000F6B10000}"/>
    <cellStyle name="SHADEDSTORES 4 5 3 5" xfId="45559" xr:uid="{00000000-0005-0000-0000-0000F7B10000}"/>
    <cellStyle name="SHADEDSTORES 4 5 3 6" xfId="45560" xr:uid="{00000000-0005-0000-0000-0000F8B10000}"/>
    <cellStyle name="SHADEDSTORES 4 5 4" xfId="45561" xr:uid="{00000000-0005-0000-0000-0000F9B10000}"/>
    <cellStyle name="SHADEDSTORES 4 5 4 2" xfId="45562" xr:uid="{00000000-0005-0000-0000-0000FAB10000}"/>
    <cellStyle name="SHADEDSTORES 4 5 4 3" xfId="45563" xr:uid="{00000000-0005-0000-0000-0000FBB10000}"/>
    <cellStyle name="SHADEDSTORES 4 5 4 4" xfId="45564" xr:uid="{00000000-0005-0000-0000-0000FCB10000}"/>
    <cellStyle name="SHADEDSTORES 4 5 4 5" xfId="45565" xr:uid="{00000000-0005-0000-0000-0000FDB10000}"/>
    <cellStyle name="SHADEDSTORES 4 5 4 6" xfId="45566" xr:uid="{00000000-0005-0000-0000-0000FEB10000}"/>
    <cellStyle name="SHADEDSTORES 4 5 5" xfId="45567" xr:uid="{00000000-0005-0000-0000-0000FFB10000}"/>
    <cellStyle name="SHADEDSTORES 4 5 6" xfId="45568" xr:uid="{00000000-0005-0000-0000-000000B20000}"/>
    <cellStyle name="SHADEDSTORES 4 5 7" xfId="45569" xr:uid="{00000000-0005-0000-0000-000001B20000}"/>
    <cellStyle name="SHADEDSTORES 4 5 8" xfId="45570" xr:uid="{00000000-0005-0000-0000-000002B20000}"/>
    <cellStyle name="SHADEDSTORES 4 6" xfId="45571" xr:uid="{00000000-0005-0000-0000-000003B20000}"/>
    <cellStyle name="SHADEDSTORES 4 6 2" xfId="45572" xr:uid="{00000000-0005-0000-0000-000004B20000}"/>
    <cellStyle name="SHADEDSTORES 4 6 2 2" xfId="45573" xr:uid="{00000000-0005-0000-0000-000005B20000}"/>
    <cellStyle name="SHADEDSTORES 4 6 2 2 2" xfId="45574" xr:uid="{00000000-0005-0000-0000-000006B20000}"/>
    <cellStyle name="SHADEDSTORES 4 6 2 2 3" xfId="45575" xr:uid="{00000000-0005-0000-0000-000007B20000}"/>
    <cellStyle name="SHADEDSTORES 4 6 2 2 4" xfId="45576" xr:uid="{00000000-0005-0000-0000-000008B20000}"/>
    <cellStyle name="SHADEDSTORES 4 6 2 2 5" xfId="45577" xr:uid="{00000000-0005-0000-0000-000009B20000}"/>
    <cellStyle name="SHADEDSTORES 4 6 2 2 6" xfId="45578" xr:uid="{00000000-0005-0000-0000-00000AB20000}"/>
    <cellStyle name="SHADEDSTORES 4 6 2 3" xfId="45579" xr:uid="{00000000-0005-0000-0000-00000BB20000}"/>
    <cellStyle name="SHADEDSTORES 4 6 2 4" xfId="45580" xr:uid="{00000000-0005-0000-0000-00000CB20000}"/>
    <cellStyle name="SHADEDSTORES 4 6 2 5" xfId="45581" xr:uid="{00000000-0005-0000-0000-00000DB20000}"/>
    <cellStyle name="SHADEDSTORES 4 6 2 6" xfId="45582" xr:uid="{00000000-0005-0000-0000-00000EB20000}"/>
    <cellStyle name="SHADEDSTORES 4 6 3" xfId="45583" xr:uid="{00000000-0005-0000-0000-00000FB20000}"/>
    <cellStyle name="SHADEDSTORES 4 6 3 2" xfId="45584" xr:uid="{00000000-0005-0000-0000-000010B20000}"/>
    <cellStyle name="SHADEDSTORES 4 6 3 2 2" xfId="45585" xr:uid="{00000000-0005-0000-0000-000011B20000}"/>
    <cellStyle name="SHADEDSTORES 4 6 3 2 3" xfId="45586" xr:uid="{00000000-0005-0000-0000-000012B20000}"/>
    <cellStyle name="SHADEDSTORES 4 6 3 2 4" xfId="45587" xr:uid="{00000000-0005-0000-0000-000013B20000}"/>
    <cellStyle name="SHADEDSTORES 4 6 3 2 5" xfId="45588" xr:uid="{00000000-0005-0000-0000-000014B20000}"/>
    <cellStyle name="SHADEDSTORES 4 6 3 2 6" xfId="45589" xr:uid="{00000000-0005-0000-0000-000015B20000}"/>
    <cellStyle name="SHADEDSTORES 4 6 3 3" xfId="45590" xr:uid="{00000000-0005-0000-0000-000016B20000}"/>
    <cellStyle name="SHADEDSTORES 4 6 3 4" xfId="45591" xr:uid="{00000000-0005-0000-0000-000017B20000}"/>
    <cellStyle name="SHADEDSTORES 4 6 3 5" xfId="45592" xr:uid="{00000000-0005-0000-0000-000018B20000}"/>
    <cellStyle name="SHADEDSTORES 4 6 3 6" xfId="45593" xr:uid="{00000000-0005-0000-0000-000019B20000}"/>
    <cellStyle name="SHADEDSTORES 4 6 4" xfId="45594" xr:uid="{00000000-0005-0000-0000-00001AB20000}"/>
    <cellStyle name="SHADEDSTORES 4 6 4 2" xfId="45595" xr:uid="{00000000-0005-0000-0000-00001BB20000}"/>
    <cellStyle name="SHADEDSTORES 4 6 4 3" xfId="45596" xr:uid="{00000000-0005-0000-0000-00001CB20000}"/>
    <cellStyle name="SHADEDSTORES 4 6 4 4" xfId="45597" xr:uid="{00000000-0005-0000-0000-00001DB20000}"/>
    <cellStyle name="SHADEDSTORES 4 6 4 5" xfId="45598" xr:uid="{00000000-0005-0000-0000-00001EB20000}"/>
    <cellStyle name="SHADEDSTORES 4 6 4 6" xfId="45599" xr:uid="{00000000-0005-0000-0000-00001FB20000}"/>
    <cellStyle name="SHADEDSTORES 4 6 5" xfId="45600" xr:uid="{00000000-0005-0000-0000-000020B20000}"/>
    <cellStyle name="SHADEDSTORES 4 6 6" xfId="45601" xr:uid="{00000000-0005-0000-0000-000021B20000}"/>
    <cellStyle name="SHADEDSTORES 4 6 7" xfId="45602" xr:uid="{00000000-0005-0000-0000-000022B20000}"/>
    <cellStyle name="SHADEDSTORES 4 6 8" xfId="45603" xr:uid="{00000000-0005-0000-0000-000023B20000}"/>
    <cellStyle name="SHADEDSTORES 4 7" xfId="45604" xr:uid="{00000000-0005-0000-0000-000024B20000}"/>
    <cellStyle name="SHADEDSTORES 4 7 2" xfId="45605" xr:uid="{00000000-0005-0000-0000-000025B20000}"/>
    <cellStyle name="SHADEDSTORES 4 7 2 2" xfId="45606" xr:uid="{00000000-0005-0000-0000-000026B20000}"/>
    <cellStyle name="SHADEDSTORES 4 7 2 3" xfId="45607" xr:uid="{00000000-0005-0000-0000-000027B20000}"/>
    <cellStyle name="SHADEDSTORES 4 7 2 4" xfId="45608" xr:uid="{00000000-0005-0000-0000-000028B20000}"/>
    <cellStyle name="SHADEDSTORES 4 7 2 5" xfId="45609" xr:uid="{00000000-0005-0000-0000-000029B20000}"/>
    <cellStyle name="SHADEDSTORES 4 7 2 6" xfId="45610" xr:uid="{00000000-0005-0000-0000-00002AB20000}"/>
    <cellStyle name="SHADEDSTORES 4 7 3" xfId="45611" xr:uid="{00000000-0005-0000-0000-00002BB20000}"/>
    <cellStyle name="SHADEDSTORES 4 7 4" xfId="45612" xr:uid="{00000000-0005-0000-0000-00002CB20000}"/>
    <cellStyle name="SHADEDSTORES 4 7 5" xfId="45613" xr:uid="{00000000-0005-0000-0000-00002DB20000}"/>
    <cellStyle name="SHADEDSTORES 4 7 6" xfId="45614" xr:uid="{00000000-0005-0000-0000-00002EB20000}"/>
    <cellStyle name="SHADEDSTORES 4 8" xfId="45615" xr:uid="{00000000-0005-0000-0000-00002FB20000}"/>
    <cellStyle name="SHADEDSTORES 4 8 2" xfId="45616" xr:uid="{00000000-0005-0000-0000-000030B20000}"/>
    <cellStyle name="SHADEDSTORES 4 8 2 2" xfId="45617" xr:uid="{00000000-0005-0000-0000-000031B20000}"/>
    <cellStyle name="SHADEDSTORES 4 8 2 3" xfId="45618" xr:uid="{00000000-0005-0000-0000-000032B20000}"/>
    <cellStyle name="SHADEDSTORES 4 8 2 4" xfId="45619" xr:uid="{00000000-0005-0000-0000-000033B20000}"/>
    <cellStyle name="SHADEDSTORES 4 8 2 5" xfId="45620" xr:uid="{00000000-0005-0000-0000-000034B20000}"/>
    <cellStyle name="SHADEDSTORES 4 8 2 6" xfId="45621" xr:uid="{00000000-0005-0000-0000-000035B20000}"/>
    <cellStyle name="SHADEDSTORES 4 8 3" xfId="45622" xr:uid="{00000000-0005-0000-0000-000036B20000}"/>
    <cellStyle name="SHADEDSTORES 4 8 4" xfId="45623" xr:uid="{00000000-0005-0000-0000-000037B20000}"/>
    <cellStyle name="SHADEDSTORES 4 8 5" xfId="45624" xr:uid="{00000000-0005-0000-0000-000038B20000}"/>
    <cellStyle name="SHADEDSTORES 4 8 6" xfId="45625" xr:uid="{00000000-0005-0000-0000-000039B20000}"/>
    <cellStyle name="SHADEDSTORES 4 9" xfId="45626" xr:uid="{00000000-0005-0000-0000-00003AB20000}"/>
    <cellStyle name="SHADEDSTORES 4 9 2" xfId="45627" xr:uid="{00000000-0005-0000-0000-00003BB20000}"/>
    <cellStyle name="SHADEDSTORES 4 9 3" xfId="45628" xr:uid="{00000000-0005-0000-0000-00003CB20000}"/>
    <cellStyle name="SHADEDSTORES 4 9 4" xfId="45629" xr:uid="{00000000-0005-0000-0000-00003DB20000}"/>
    <cellStyle name="SHADEDSTORES 4 9 5" xfId="45630" xr:uid="{00000000-0005-0000-0000-00003EB20000}"/>
    <cellStyle name="SHADEDSTORES 4 9 6" xfId="45631" xr:uid="{00000000-0005-0000-0000-00003FB20000}"/>
    <cellStyle name="SHADEDSTORES 5" xfId="45632" xr:uid="{00000000-0005-0000-0000-000040B20000}"/>
    <cellStyle name="SHADEDSTORES 5 2" xfId="45633" xr:uid="{00000000-0005-0000-0000-000041B20000}"/>
    <cellStyle name="SHADEDSTORES 5 2 2" xfId="45634" xr:uid="{00000000-0005-0000-0000-000042B20000}"/>
    <cellStyle name="SHADEDSTORES 5 2 2 2" xfId="45635" xr:uid="{00000000-0005-0000-0000-000043B20000}"/>
    <cellStyle name="SHADEDSTORES 5 2 2 3" xfId="45636" xr:uid="{00000000-0005-0000-0000-000044B20000}"/>
    <cellStyle name="SHADEDSTORES 5 2 2 4" xfId="45637" xr:uid="{00000000-0005-0000-0000-000045B20000}"/>
    <cellStyle name="SHADEDSTORES 5 2 2 5" xfId="45638" xr:uid="{00000000-0005-0000-0000-000046B20000}"/>
    <cellStyle name="SHADEDSTORES 5 2 2 6" xfId="45639" xr:uid="{00000000-0005-0000-0000-000047B20000}"/>
    <cellStyle name="SHADEDSTORES 5 2 3" xfId="45640" xr:uid="{00000000-0005-0000-0000-000048B20000}"/>
    <cellStyle name="SHADEDSTORES 5 2 4" xfId="45641" xr:uid="{00000000-0005-0000-0000-000049B20000}"/>
    <cellStyle name="SHADEDSTORES 5 2 5" xfId="45642" xr:uid="{00000000-0005-0000-0000-00004AB20000}"/>
    <cellStyle name="SHADEDSTORES 5 2 6" xfId="45643" xr:uid="{00000000-0005-0000-0000-00004BB20000}"/>
    <cellStyle name="SHADEDSTORES 5 3" xfId="45644" xr:uid="{00000000-0005-0000-0000-00004CB20000}"/>
    <cellStyle name="SHADEDSTORES 5 3 2" xfId="45645" xr:uid="{00000000-0005-0000-0000-00004DB20000}"/>
    <cellStyle name="SHADEDSTORES 5 3 2 2" xfId="45646" xr:uid="{00000000-0005-0000-0000-00004EB20000}"/>
    <cellStyle name="SHADEDSTORES 5 3 2 3" xfId="45647" xr:uid="{00000000-0005-0000-0000-00004FB20000}"/>
    <cellStyle name="SHADEDSTORES 5 3 2 4" xfId="45648" xr:uid="{00000000-0005-0000-0000-000050B20000}"/>
    <cellStyle name="SHADEDSTORES 5 3 2 5" xfId="45649" xr:uid="{00000000-0005-0000-0000-000051B20000}"/>
    <cellStyle name="SHADEDSTORES 5 3 2 6" xfId="45650" xr:uid="{00000000-0005-0000-0000-000052B20000}"/>
    <cellStyle name="SHADEDSTORES 5 3 3" xfId="45651" xr:uid="{00000000-0005-0000-0000-000053B20000}"/>
    <cellStyle name="SHADEDSTORES 5 3 4" xfId="45652" xr:uid="{00000000-0005-0000-0000-000054B20000}"/>
    <cellStyle name="SHADEDSTORES 5 3 5" xfId="45653" xr:uid="{00000000-0005-0000-0000-000055B20000}"/>
    <cellStyle name="SHADEDSTORES 5 3 6" xfId="45654" xr:uid="{00000000-0005-0000-0000-000056B20000}"/>
    <cellStyle name="SHADEDSTORES 5 4" xfId="45655" xr:uid="{00000000-0005-0000-0000-000057B20000}"/>
    <cellStyle name="SHADEDSTORES 5 4 2" xfId="45656" xr:uid="{00000000-0005-0000-0000-000058B20000}"/>
    <cellStyle name="SHADEDSTORES 5 4 3" xfId="45657" xr:uid="{00000000-0005-0000-0000-000059B20000}"/>
    <cellStyle name="SHADEDSTORES 5 4 4" xfId="45658" xr:uid="{00000000-0005-0000-0000-00005AB20000}"/>
    <cellStyle name="SHADEDSTORES 5 4 5" xfId="45659" xr:uid="{00000000-0005-0000-0000-00005BB20000}"/>
    <cellStyle name="SHADEDSTORES 5 4 6" xfId="45660" xr:uid="{00000000-0005-0000-0000-00005CB20000}"/>
    <cellStyle name="SHADEDSTORES 5 5" xfId="45661" xr:uid="{00000000-0005-0000-0000-00005DB20000}"/>
    <cellStyle name="SHADEDSTORES 5 6" xfId="45662" xr:uid="{00000000-0005-0000-0000-00005EB20000}"/>
    <cellStyle name="SHADEDSTORES 5 7" xfId="45663" xr:uid="{00000000-0005-0000-0000-00005FB20000}"/>
    <cellStyle name="SHADEDSTORES 5 8" xfId="45664" xr:uid="{00000000-0005-0000-0000-000060B20000}"/>
    <cellStyle name="SHADEDSTORES 6" xfId="45665" xr:uid="{00000000-0005-0000-0000-000061B20000}"/>
    <cellStyle name="SHADEDSTORES 6 2" xfId="45666" xr:uid="{00000000-0005-0000-0000-000062B20000}"/>
    <cellStyle name="SHADEDSTORES 6 2 2" xfId="45667" xr:uid="{00000000-0005-0000-0000-000063B20000}"/>
    <cellStyle name="SHADEDSTORES 6 2 2 2" xfId="45668" xr:uid="{00000000-0005-0000-0000-000064B20000}"/>
    <cellStyle name="SHADEDSTORES 6 2 2 3" xfId="45669" xr:uid="{00000000-0005-0000-0000-000065B20000}"/>
    <cellStyle name="SHADEDSTORES 6 2 2 4" xfId="45670" xr:uid="{00000000-0005-0000-0000-000066B20000}"/>
    <cellStyle name="SHADEDSTORES 6 2 2 5" xfId="45671" xr:uid="{00000000-0005-0000-0000-000067B20000}"/>
    <cellStyle name="SHADEDSTORES 6 2 2 6" xfId="45672" xr:uid="{00000000-0005-0000-0000-000068B20000}"/>
    <cellStyle name="SHADEDSTORES 6 2 3" xfId="45673" xr:uid="{00000000-0005-0000-0000-000069B20000}"/>
    <cellStyle name="SHADEDSTORES 6 2 4" xfId="45674" xr:uid="{00000000-0005-0000-0000-00006AB20000}"/>
    <cellStyle name="SHADEDSTORES 6 2 5" xfId="45675" xr:uid="{00000000-0005-0000-0000-00006BB20000}"/>
    <cellStyle name="SHADEDSTORES 6 2 6" xfId="45676" xr:uid="{00000000-0005-0000-0000-00006CB20000}"/>
    <cellStyle name="SHADEDSTORES 6 3" xfId="45677" xr:uid="{00000000-0005-0000-0000-00006DB20000}"/>
    <cellStyle name="SHADEDSTORES 6 3 2" xfId="45678" xr:uid="{00000000-0005-0000-0000-00006EB20000}"/>
    <cellStyle name="SHADEDSTORES 6 3 2 2" xfId="45679" xr:uid="{00000000-0005-0000-0000-00006FB20000}"/>
    <cellStyle name="SHADEDSTORES 6 3 2 3" xfId="45680" xr:uid="{00000000-0005-0000-0000-000070B20000}"/>
    <cellStyle name="SHADEDSTORES 6 3 2 4" xfId="45681" xr:uid="{00000000-0005-0000-0000-000071B20000}"/>
    <cellStyle name="SHADEDSTORES 6 3 2 5" xfId="45682" xr:uid="{00000000-0005-0000-0000-000072B20000}"/>
    <cellStyle name="SHADEDSTORES 6 3 2 6" xfId="45683" xr:uid="{00000000-0005-0000-0000-000073B20000}"/>
    <cellStyle name="SHADEDSTORES 6 3 3" xfId="45684" xr:uid="{00000000-0005-0000-0000-000074B20000}"/>
    <cellStyle name="SHADEDSTORES 6 3 4" xfId="45685" xr:uid="{00000000-0005-0000-0000-000075B20000}"/>
    <cellStyle name="SHADEDSTORES 6 3 5" xfId="45686" xr:uid="{00000000-0005-0000-0000-000076B20000}"/>
    <cellStyle name="SHADEDSTORES 6 3 6" xfId="45687" xr:uid="{00000000-0005-0000-0000-000077B20000}"/>
    <cellStyle name="SHADEDSTORES 6 4" xfId="45688" xr:uid="{00000000-0005-0000-0000-000078B20000}"/>
    <cellStyle name="SHADEDSTORES 6 4 2" xfId="45689" xr:uid="{00000000-0005-0000-0000-000079B20000}"/>
    <cellStyle name="SHADEDSTORES 6 4 3" xfId="45690" xr:uid="{00000000-0005-0000-0000-00007AB20000}"/>
    <cellStyle name="SHADEDSTORES 6 4 4" xfId="45691" xr:uid="{00000000-0005-0000-0000-00007BB20000}"/>
    <cellStyle name="SHADEDSTORES 6 4 5" xfId="45692" xr:uid="{00000000-0005-0000-0000-00007CB20000}"/>
    <cellStyle name="SHADEDSTORES 6 4 6" xfId="45693" xr:uid="{00000000-0005-0000-0000-00007DB20000}"/>
    <cellStyle name="SHADEDSTORES 6 5" xfId="45694" xr:uid="{00000000-0005-0000-0000-00007EB20000}"/>
    <cellStyle name="SHADEDSTORES 6 6" xfId="45695" xr:uid="{00000000-0005-0000-0000-00007FB20000}"/>
    <cellStyle name="SHADEDSTORES 6 7" xfId="45696" xr:uid="{00000000-0005-0000-0000-000080B20000}"/>
    <cellStyle name="SHADEDSTORES 6 8" xfId="45697" xr:uid="{00000000-0005-0000-0000-000081B20000}"/>
    <cellStyle name="SHADEDSTORES 7" xfId="45698" xr:uid="{00000000-0005-0000-0000-000082B20000}"/>
    <cellStyle name="SHADEDSTORES 7 2" xfId="45699" xr:uid="{00000000-0005-0000-0000-000083B20000}"/>
    <cellStyle name="SHADEDSTORES 7 2 2" xfId="45700" xr:uid="{00000000-0005-0000-0000-000084B20000}"/>
    <cellStyle name="SHADEDSTORES 7 2 2 2" xfId="45701" xr:uid="{00000000-0005-0000-0000-000085B20000}"/>
    <cellStyle name="SHADEDSTORES 7 2 2 3" xfId="45702" xr:uid="{00000000-0005-0000-0000-000086B20000}"/>
    <cellStyle name="SHADEDSTORES 7 2 2 4" xfId="45703" xr:uid="{00000000-0005-0000-0000-000087B20000}"/>
    <cellStyle name="SHADEDSTORES 7 2 2 5" xfId="45704" xr:uid="{00000000-0005-0000-0000-000088B20000}"/>
    <cellStyle name="SHADEDSTORES 7 2 2 6" xfId="45705" xr:uid="{00000000-0005-0000-0000-000089B20000}"/>
    <cellStyle name="SHADEDSTORES 7 2 3" xfId="45706" xr:uid="{00000000-0005-0000-0000-00008AB20000}"/>
    <cellStyle name="SHADEDSTORES 7 2 4" xfId="45707" xr:uid="{00000000-0005-0000-0000-00008BB20000}"/>
    <cellStyle name="SHADEDSTORES 7 2 5" xfId="45708" xr:uid="{00000000-0005-0000-0000-00008CB20000}"/>
    <cellStyle name="SHADEDSTORES 7 2 6" xfId="45709" xr:uid="{00000000-0005-0000-0000-00008DB20000}"/>
    <cellStyle name="SHADEDSTORES 7 3" xfId="45710" xr:uid="{00000000-0005-0000-0000-00008EB20000}"/>
    <cellStyle name="SHADEDSTORES 7 3 2" xfId="45711" xr:uid="{00000000-0005-0000-0000-00008FB20000}"/>
    <cellStyle name="SHADEDSTORES 7 3 2 2" xfId="45712" xr:uid="{00000000-0005-0000-0000-000090B20000}"/>
    <cellStyle name="SHADEDSTORES 7 3 2 3" xfId="45713" xr:uid="{00000000-0005-0000-0000-000091B20000}"/>
    <cellStyle name="SHADEDSTORES 7 3 2 4" xfId="45714" xr:uid="{00000000-0005-0000-0000-000092B20000}"/>
    <cellStyle name="SHADEDSTORES 7 3 2 5" xfId="45715" xr:uid="{00000000-0005-0000-0000-000093B20000}"/>
    <cellStyle name="SHADEDSTORES 7 3 2 6" xfId="45716" xr:uid="{00000000-0005-0000-0000-000094B20000}"/>
    <cellStyle name="SHADEDSTORES 7 3 3" xfId="45717" xr:uid="{00000000-0005-0000-0000-000095B20000}"/>
    <cellStyle name="SHADEDSTORES 7 3 4" xfId="45718" xr:uid="{00000000-0005-0000-0000-000096B20000}"/>
    <cellStyle name="SHADEDSTORES 7 3 5" xfId="45719" xr:uid="{00000000-0005-0000-0000-000097B20000}"/>
    <cellStyle name="SHADEDSTORES 7 3 6" xfId="45720" xr:uid="{00000000-0005-0000-0000-000098B20000}"/>
    <cellStyle name="SHADEDSTORES 7 4" xfId="45721" xr:uid="{00000000-0005-0000-0000-000099B20000}"/>
    <cellStyle name="SHADEDSTORES 7 4 2" xfId="45722" xr:uid="{00000000-0005-0000-0000-00009AB20000}"/>
    <cellStyle name="SHADEDSTORES 7 4 3" xfId="45723" xr:uid="{00000000-0005-0000-0000-00009BB20000}"/>
    <cellStyle name="SHADEDSTORES 7 4 4" xfId="45724" xr:uid="{00000000-0005-0000-0000-00009CB20000}"/>
    <cellStyle name="SHADEDSTORES 7 4 5" xfId="45725" xr:uid="{00000000-0005-0000-0000-00009DB20000}"/>
    <cellStyle name="SHADEDSTORES 7 4 6" xfId="45726" xr:uid="{00000000-0005-0000-0000-00009EB20000}"/>
    <cellStyle name="SHADEDSTORES 7 5" xfId="45727" xr:uid="{00000000-0005-0000-0000-00009FB20000}"/>
    <cellStyle name="SHADEDSTORES 7 6" xfId="45728" xr:uid="{00000000-0005-0000-0000-0000A0B20000}"/>
    <cellStyle name="SHADEDSTORES 7 7" xfId="45729" xr:uid="{00000000-0005-0000-0000-0000A1B20000}"/>
    <cellStyle name="SHADEDSTORES 7 8" xfId="45730" xr:uid="{00000000-0005-0000-0000-0000A2B20000}"/>
    <cellStyle name="SHADEDSTORES 8" xfId="45731" xr:uid="{00000000-0005-0000-0000-0000A3B20000}"/>
    <cellStyle name="SHADEDSTORES 8 2" xfId="45732" xr:uid="{00000000-0005-0000-0000-0000A4B20000}"/>
    <cellStyle name="SHADEDSTORES 8 2 2" xfId="45733" xr:uid="{00000000-0005-0000-0000-0000A5B20000}"/>
    <cellStyle name="SHADEDSTORES 8 2 3" xfId="45734" xr:uid="{00000000-0005-0000-0000-0000A6B20000}"/>
    <cellStyle name="SHADEDSTORES 8 2 4" xfId="45735" xr:uid="{00000000-0005-0000-0000-0000A7B20000}"/>
    <cellStyle name="SHADEDSTORES 8 2 5" xfId="45736" xr:uid="{00000000-0005-0000-0000-0000A8B20000}"/>
    <cellStyle name="SHADEDSTORES 8 2 6" xfId="45737" xr:uid="{00000000-0005-0000-0000-0000A9B20000}"/>
    <cellStyle name="SHADEDSTORES 8 3" xfId="45738" xr:uid="{00000000-0005-0000-0000-0000AAB20000}"/>
    <cellStyle name="SHADEDSTORES 8 4" xfId="45739" xr:uid="{00000000-0005-0000-0000-0000ABB20000}"/>
    <cellStyle name="SHADEDSTORES 8 5" xfId="45740" xr:uid="{00000000-0005-0000-0000-0000ACB20000}"/>
    <cellStyle name="SHADEDSTORES 8 6" xfId="45741" xr:uid="{00000000-0005-0000-0000-0000ADB20000}"/>
    <cellStyle name="SHADEDSTORES 9" xfId="45742" xr:uid="{00000000-0005-0000-0000-0000AEB20000}"/>
    <cellStyle name="SHADEDSTORES 9 2" xfId="45743" xr:uid="{00000000-0005-0000-0000-0000AFB20000}"/>
    <cellStyle name="SHADEDSTORES 9 2 2" xfId="45744" xr:uid="{00000000-0005-0000-0000-0000B0B20000}"/>
    <cellStyle name="SHADEDSTORES 9 2 3" xfId="45745" xr:uid="{00000000-0005-0000-0000-0000B1B20000}"/>
    <cellStyle name="SHADEDSTORES 9 2 4" xfId="45746" xr:uid="{00000000-0005-0000-0000-0000B2B20000}"/>
    <cellStyle name="SHADEDSTORES 9 2 5" xfId="45747" xr:uid="{00000000-0005-0000-0000-0000B3B20000}"/>
    <cellStyle name="SHADEDSTORES 9 2 6" xfId="45748" xr:uid="{00000000-0005-0000-0000-0000B4B20000}"/>
    <cellStyle name="SHADEDSTORES 9 3" xfId="45749" xr:uid="{00000000-0005-0000-0000-0000B5B20000}"/>
    <cellStyle name="SHADEDSTORES 9 4" xfId="45750" xr:uid="{00000000-0005-0000-0000-0000B6B20000}"/>
    <cellStyle name="SHADEDSTORES 9 5" xfId="45751" xr:uid="{00000000-0005-0000-0000-0000B7B20000}"/>
    <cellStyle name="SHADEDSTORES 9 6" xfId="45752" xr:uid="{00000000-0005-0000-0000-0000B8B20000}"/>
    <cellStyle name="Sheet Header" xfId="45753" xr:uid="{00000000-0005-0000-0000-0000B9B20000}"/>
    <cellStyle name="specstores" xfId="45754" xr:uid="{00000000-0005-0000-0000-0000BAB20000}"/>
    <cellStyle name="Standard_Anpassen der Amortisation" xfId="45755" xr:uid="{00000000-0005-0000-0000-0000BBB20000}"/>
    <cellStyle name="Structure" xfId="45756" xr:uid="{00000000-0005-0000-0000-0000BCB20000}"/>
    <cellStyle name="Structure 10" xfId="45757" xr:uid="{00000000-0005-0000-0000-0000BDB20000}"/>
    <cellStyle name="Structure 11" xfId="45758" xr:uid="{00000000-0005-0000-0000-0000BEB20000}"/>
    <cellStyle name="Structure 12" xfId="45759" xr:uid="{00000000-0005-0000-0000-0000BFB20000}"/>
    <cellStyle name="Structure 13" xfId="45760" xr:uid="{00000000-0005-0000-0000-0000C0B20000}"/>
    <cellStyle name="Structure 2" xfId="45761" xr:uid="{00000000-0005-0000-0000-0000C1B20000}"/>
    <cellStyle name="Structure 2 10" xfId="45762" xr:uid="{00000000-0005-0000-0000-0000C2B20000}"/>
    <cellStyle name="Structure 2 10 2" xfId="45763" xr:uid="{00000000-0005-0000-0000-0000C3B20000}"/>
    <cellStyle name="Structure 2 10 3" xfId="45764" xr:uid="{00000000-0005-0000-0000-0000C4B20000}"/>
    <cellStyle name="Structure 2 10 4" xfId="45765" xr:uid="{00000000-0005-0000-0000-0000C5B20000}"/>
    <cellStyle name="Structure 2 10 5" xfId="45766" xr:uid="{00000000-0005-0000-0000-0000C6B20000}"/>
    <cellStyle name="Structure 2 10 6" xfId="45767" xr:uid="{00000000-0005-0000-0000-0000C7B20000}"/>
    <cellStyle name="Structure 2 11" xfId="45768" xr:uid="{00000000-0005-0000-0000-0000C8B20000}"/>
    <cellStyle name="Structure 2 12" xfId="45769" xr:uid="{00000000-0005-0000-0000-0000C9B20000}"/>
    <cellStyle name="Structure 2 13" xfId="45770" xr:uid="{00000000-0005-0000-0000-0000CAB20000}"/>
    <cellStyle name="Structure 2 14" xfId="45771" xr:uid="{00000000-0005-0000-0000-0000CBB20000}"/>
    <cellStyle name="Structure 2 2" xfId="45772" xr:uid="{00000000-0005-0000-0000-0000CCB20000}"/>
    <cellStyle name="Structure 2 2 10" xfId="45773" xr:uid="{00000000-0005-0000-0000-0000CDB20000}"/>
    <cellStyle name="Structure 2 2 11" xfId="45774" xr:uid="{00000000-0005-0000-0000-0000CEB20000}"/>
    <cellStyle name="Structure 2 2 12" xfId="45775" xr:uid="{00000000-0005-0000-0000-0000CFB20000}"/>
    <cellStyle name="Structure 2 2 13" xfId="45776" xr:uid="{00000000-0005-0000-0000-0000D0B20000}"/>
    <cellStyle name="Structure 2 2 2" xfId="45777" xr:uid="{00000000-0005-0000-0000-0000D1B20000}"/>
    <cellStyle name="Structure 2 2 2 2" xfId="45778" xr:uid="{00000000-0005-0000-0000-0000D2B20000}"/>
    <cellStyle name="Structure 2 2 2 2 2" xfId="45779" xr:uid="{00000000-0005-0000-0000-0000D3B20000}"/>
    <cellStyle name="Structure 2 2 2 2 2 2" xfId="45780" xr:uid="{00000000-0005-0000-0000-0000D4B20000}"/>
    <cellStyle name="Structure 2 2 2 2 2 3" xfId="45781" xr:uid="{00000000-0005-0000-0000-0000D5B20000}"/>
    <cellStyle name="Structure 2 2 2 2 2 4" xfId="45782" xr:uid="{00000000-0005-0000-0000-0000D6B20000}"/>
    <cellStyle name="Structure 2 2 2 2 2 5" xfId="45783" xr:uid="{00000000-0005-0000-0000-0000D7B20000}"/>
    <cellStyle name="Structure 2 2 2 2 2 6" xfId="45784" xr:uid="{00000000-0005-0000-0000-0000D8B20000}"/>
    <cellStyle name="Structure 2 2 2 2 3" xfId="45785" xr:uid="{00000000-0005-0000-0000-0000D9B20000}"/>
    <cellStyle name="Structure 2 2 2 2 4" xfId="45786" xr:uid="{00000000-0005-0000-0000-0000DAB20000}"/>
    <cellStyle name="Structure 2 2 2 2 5" xfId="45787" xr:uid="{00000000-0005-0000-0000-0000DBB20000}"/>
    <cellStyle name="Structure 2 2 2 2 6" xfId="45788" xr:uid="{00000000-0005-0000-0000-0000DCB20000}"/>
    <cellStyle name="Structure 2 2 2 3" xfId="45789" xr:uid="{00000000-0005-0000-0000-0000DDB20000}"/>
    <cellStyle name="Structure 2 2 2 3 2" xfId="45790" xr:uid="{00000000-0005-0000-0000-0000DEB20000}"/>
    <cellStyle name="Structure 2 2 2 3 2 2" xfId="45791" xr:uid="{00000000-0005-0000-0000-0000DFB20000}"/>
    <cellStyle name="Structure 2 2 2 3 2 3" xfId="45792" xr:uid="{00000000-0005-0000-0000-0000E0B20000}"/>
    <cellStyle name="Structure 2 2 2 3 2 4" xfId="45793" xr:uid="{00000000-0005-0000-0000-0000E1B20000}"/>
    <cellStyle name="Structure 2 2 2 3 2 5" xfId="45794" xr:uid="{00000000-0005-0000-0000-0000E2B20000}"/>
    <cellStyle name="Structure 2 2 2 3 2 6" xfId="45795" xr:uid="{00000000-0005-0000-0000-0000E3B20000}"/>
    <cellStyle name="Structure 2 2 2 3 3" xfId="45796" xr:uid="{00000000-0005-0000-0000-0000E4B20000}"/>
    <cellStyle name="Structure 2 2 2 3 4" xfId="45797" xr:uid="{00000000-0005-0000-0000-0000E5B20000}"/>
    <cellStyle name="Structure 2 2 2 3 5" xfId="45798" xr:uid="{00000000-0005-0000-0000-0000E6B20000}"/>
    <cellStyle name="Structure 2 2 2 3 6" xfId="45799" xr:uid="{00000000-0005-0000-0000-0000E7B20000}"/>
    <cellStyle name="Structure 2 2 2 4" xfId="45800" xr:uid="{00000000-0005-0000-0000-0000E8B20000}"/>
    <cellStyle name="Structure 2 2 2 4 2" xfId="45801" xr:uid="{00000000-0005-0000-0000-0000E9B20000}"/>
    <cellStyle name="Structure 2 2 2 4 3" xfId="45802" xr:uid="{00000000-0005-0000-0000-0000EAB20000}"/>
    <cellStyle name="Structure 2 2 2 4 4" xfId="45803" xr:uid="{00000000-0005-0000-0000-0000EBB20000}"/>
    <cellStyle name="Structure 2 2 2 4 5" xfId="45804" xr:uid="{00000000-0005-0000-0000-0000ECB20000}"/>
    <cellStyle name="Structure 2 2 2 4 6" xfId="45805" xr:uid="{00000000-0005-0000-0000-0000EDB20000}"/>
    <cellStyle name="Structure 2 2 2 5" xfId="45806" xr:uid="{00000000-0005-0000-0000-0000EEB20000}"/>
    <cellStyle name="Structure 2 2 2 6" xfId="45807" xr:uid="{00000000-0005-0000-0000-0000EFB20000}"/>
    <cellStyle name="Structure 2 2 2 7" xfId="45808" xr:uid="{00000000-0005-0000-0000-0000F0B20000}"/>
    <cellStyle name="Structure 2 2 2 8" xfId="45809" xr:uid="{00000000-0005-0000-0000-0000F1B20000}"/>
    <cellStyle name="Structure 2 2 3" xfId="45810" xr:uid="{00000000-0005-0000-0000-0000F2B20000}"/>
    <cellStyle name="Structure 2 2 3 2" xfId="45811" xr:uid="{00000000-0005-0000-0000-0000F3B20000}"/>
    <cellStyle name="Structure 2 2 3 2 2" xfId="45812" xr:uid="{00000000-0005-0000-0000-0000F4B20000}"/>
    <cellStyle name="Structure 2 2 3 2 2 2" xfId="45813" xr:uid="{00000000-0005-0000-0000-0000F5B20000}"/>
    <cellStyle name="Structure 2 2 3 2 2 3" xfId="45814" xr:uid="{00000000-0005-0000-0000-0000F6B20000}"/>
    <cellStyle name="Structure 2 2 3 2 2 4" xfId="45815" xr:uid="{00000000-0005-0000-0000-0000F7B20000}"/>
    <cellStyle name="Structure 2 2 3 2 2 5" xfId="45816" xr:uid="{00000000-0005-0000-0000-0000F8B20000}"/>
    <cellStyle name="Structure 2 2 3 2 2 6" xfId="45817" xr:uid="{00000000-0005-0000-0000-0000F9B20000}"/>
    <cellStyle name="Structure 2 2 3 2 3" xfId="45818" xr:uid="{00000000-0005-0000-0000-0000FAB20000}"/>
    <cellStyle name="Structure 2 2 3 2 4" xfId="45819" xr:uid="{00000000-0005-0000-0000-0000FBB20000}"/>
    <cellStyle name="Structure 2 2 3 2 5" xfId="45820" xr:uid="{00000000-0005-0000-0000-0000FCB20000}"/>
    <cellStyle name="Structure 2 2 3 2 6" xfId="45821" xr:uid="{00000000-0005-0000-0000-0000FDB20000}"/>
    <cellStyle name="Structure 2 2 3 3" xfId="45822" xr:uid="{00000000-0005-0000-0000-0000FEB20000}"/>
    <cellStyle name="Structure 2 2 3 3 2" xfId="45823" xr:uid="{00000000-0005-0000-0000-0000FFB20000}"/>
    <cellStyle name="Structure 2 2 3 3 2 2" xfId="45824" xr:uid="{00000000-0005-0000-0000-000000B30000}"/>
    <cellStyle name="Structure 2 2 3 3 2 3" xfId="45825" xr:uid="{00000000-0005-0000-0000-000001B30000}"/>
    <cellStyle name="Structure 2 2 3 3 2 4" xfId="45826" xr:uid="{00000000-0005-0000-0000-000002B30000}"/>
    <cellStyle name="Structure 2 2 3 3 2 5" xfId="45827" xr:uid="{00000000-0005-0000-0000-000003B30000}"/>
    <cellStyle name="Structure 2 2 3 3 2 6" xfId="45828" xr:uid="{00000000-0005-0000-0000-000004B30000}"/>
    <cellStyle name="Structure 2 2 3 3 3" xfId="45829" xr:uid="{00000000-0005-0000-0000-000005B30000}"/>
    <cellStyle name="Structure 2 2 3 3 4" xfId="45830" xr:uid="{00000000-0005-0000-0000-000006B30000}"/>
    <cellStyle name="Structure 2 2 3 3 5" xfId="45831" xr:uid="{00000000-0005-0000-0000-000007B30000}"/>
    <cellStyle name="Structure 2 2 3 3 6" xfId="45832" xr:uid="{00000000-0005-0000-0000-000008B30000}"/>
    <cellStyle name="Structure 2 2 3 4" xfId="45833" xr:uid="{00000000-0005-0000-0000-000009B30000}"/>
    <cellStyle name="Structure 2 2 3 4 2" xfId="45834" xr:uid="{00000000-0005-0000-0000-00000AB30000}"/>
    <cellStyle name="Structure 2 2 3 4 3" xfId="45835" xr:uid="{00000000-0005-0000-0000-00000BB30000}"/>
    <cellStyle name="Structure 2 2 3 4 4" xfId="45836" xr:uid="{00000000-0005-0000-0000-00000CB30000}"/>
    <cellStyle name="Structure 2 2 3 4 5" xfId="45837" xr:uid="{00000000-0005-0000-0000-00000DB30000}"/>
    <cellStyle name="Structure 2 2 3 4 6" xfId="45838" xr:uid="{00000000-0005-0000-0000-00000EB30000}"/>
    <cellStyle name="Structure 2 2 3 5" xfId="45839" xr:uid="{00000000-0005-0000-0000-00000FB30000}"/>
    <cellStyle name="Structure 2 2 3 6" xfId="45840" xr:uid="{00000000-0005-0000-0000-000010B30000}"/>
    <cellStyle name="Structure 2 2 3 7" xfId="45841" xr:uid="{00000000-0005-0000-0000-000011B30000}"/>
    <cellStyle name="Structure 2 2 3 8" xfId="45842" xr:uid="{00000000-0005-0000-0000-000012B30000}"/>
    <cellStyle name="Structure 2 2 4" xfId="45843" xr:uid="{00000000-0005-0000-0000-000013B30000}"/>
    <cellStyle name="Structure 2 2 4 2" xfId="45844" xr:uid="{00000000-0005-0000-0000-000014B30000}"/>
    <cellStyle name="Structure 2 2 4 2 2" xfId="45845" xr:uid="{00000000-0005-0000-0000-000015B30000}"/>
    <cellStyle name="Structure 2 2 4 2 2 2" xfId="45846" xr:uid="{00000000-0005-0000-0000-000016B30000}"/>
    <cellStyle name="Structure 2 2 4 2 2 3" xfId="45847" xr:uid="{00000000-0005-0000-0000-000017B30000}"/>
    <cellStyle name="Structure 2 2 4 2 2 4" xfId="45848" xr:uid="{00000000-0005-0000-0000-000018B30000}"/>
    <cellStyle name="Structure 2 2 4 2 2 5" xfId="45849" xr:uid="{00000000-0005-0000-0000-000019B30000}"/>
    <cellStyle name="Structure 2 2 4 2 2 6" xfId="45850" xr:uid="{00000000-0005-0000-0000-00001AB30000}"/>
    <cellStyle name="Structure 2 2 4 2 3" xfId="45851" xr:uid="{00000000-0005-0000-0000-00001BB30000}"/>
    <cellStyle name="Structure 2 2 4 2 4" xfId="45852" xr:uid="{00000000-0005-0000-0000-00001CB30000}"/>
    <cellStyle name="Structure 2 2 4 2 5" xfId="45853" xr:uid="{00000000-0005-0000-0000-00001DB30000}"/>
    <cellStyle name="Structure 2 2 4 2 6" xfId="45854" xr:uid="{00000000-0005-0000-0000-00001EB30000}"/>
    <cellStyle name="Structure 2 2 4 3" xfId="45855" xr:uid="{00000000-0005-0000-0000-00001FB30000}"/>
    <cellStyle name="Structure 2 2 4 3 2" xfId="45856" xr:uid="{00000000-0005-0000-0000-000020B30000}"/>
    <cellStyle name="Structure 2 2 4 3 2 2" xfId="45857" xr:uid="{00000000-0005-0000-0000-000021B30000}"/>
    <cellStyle name="Structure 2 2 4 3 2 3" xfId="45858" xr:uid="{00000000-0005-0000-0000-000022B30000}"/>
    <cellStyle name="Structure 2 2 4 3 2 4" xfId="45859" xr:uid="{00000000-0005-0000-0000-000023B30000}"/>
    <cellStyle name="Structure 2 2 4 3 2 5" xfId="45860" xr:uid="{00000000-0005-0000-0000-000024B30000}"/>
    <cellStyle name="Structure 2 2 4 3 2 6" xfId="45861" xr:uid="{00000000-0005-0000-0000-000025B30000}"/>
    <cellStyle name="Structure 2 2 4 3 3" xfId="45862" xr:uid="{00000000-0005-0000-0000-000026B30000}"/>
    <cellStyle name="Structure 2 2 4 3 4" xfId="45863" xr:uid="{00000000-0005-0000-0000-000027B30000}"/>
    <cellStyle name="Structure 2 2 4 3 5" xfId="45864" xr:uid="{00000000-0005-0000-0000-000028B30000}"/>
    <cellStyle name="Structure 2 2 4 3 6" xfId="45865" xr:uid="{00000000-0005-0000-0000-000029B30000}"/>
    <cellStyle name="Structure 2 2 4 4" xfId="45866" xr:uid="{00000000-0005-0000-0000-00002AB30000}"/>
    <cellStyle name="Structure 2 2 4 4 2" xfId="45867" xr:uid="{00000000-0005-0000-0000-00002BB30000}"/>
    <cellStyle name="Structure 2 2 4 4 3" xfId="45868" xr:uid="{00000000-0005-0000-0000-00002CB30000}"/>
    <cellStyle name="Structure 2 2 4 4 4" xfId="45869" xr:uid="{00000000-0005-0000-0000-00002DB30000}"/>
    <cellStyle name="Structure 2 2 4 4 5" xfId="45870" xr:uid="{00000000-0005-0000-0000-00002EB30000}"/>
    <cellStyle name="Structure 2 2 4 4 6" xfId="45871" xr:uid="{00000000-0005-0000-0000-00002FB30000}"/>
    <cellStyle name="Structure 2 2 4 5" xfId="45872" xr:uid="{00000000-0005-0000-0000-000030B30000}"/>
    <cellStyle name="Structure 2 2 4 6" xfId="45873" xr:uid="{00000000-0005-0000-0000-000031B30000}"/>
    <cellStyle name="Structure 2 2 4 7" xfId="45874" xr:uid="{00000000-0005-0000-0000-000032B30000}"/>
    <cellStyle name="Structure 2 2 4 8" xfId="45875" xr:uid="{00000000-0005-0000-0000-000033B30000}"/>
    <cellStyle name="Structure 2 2 5" xfId="45876" xr:uid="{00000000-0005-0000-0000-000034B30000}"/>
    <cellStyle name="Structure 2 2 5 2" xfId="45877" xr:uid="{00000000-0005-0000-0000-000035B30000}"/>
    <cellStyle name="Structure 2 2 5 2 2" xfId="45878" xr:uid="{00000000-0005-0000-0000-000036B30000}"/>
    <cellStyle name="Structure 2 2 5 2 2 2" xfId="45879" xr:uid="{00000000-0005-0000-0000-000037B30000}"/>
    <cellStyle name="Structure 2 2 5 2 2 3" xfId="45880" xr:uid="{00000000-0005-0000-0000-000038B30000}"/>
    <cellStyle name="Structure 2 2 5 2 2 4" xfId="45881" xr:uid="{00000000-0005-0000-0000-000039B30000}"/>
    <cellStyle name="Structure 2 2 5 2 2 5" xfId="45882" xr:uid="{00000000-0005-0000-0000-00003AB30000}"/>
    <cellStyle name="Structure 2 2 5 2 2 6" xfId="45883" xr:uid="{00000000-0005-0000-0000-00003BB30000}"/>
    <cellStyle name="Structure 2 2 5 2 3" xfId="45884" xr:uid="{00000000-0005-0000-0000-00003CB30000}"/>
    <cellStyle name="Structure 2 2 5 2 4" xfId="45885" xr:uid="{00000000-0005-0000-0000-00003DB30000}"/>
    <cellStyle name="Structure 2 2 5 2 5" xfId="45886" xr:uid="{00000000-0005-0000-0000-00003EB30000}"/>
    <cellStyle name="Structure 2 2 5 2 6" xfId="45887" xr:uid="{00000000-0005-0000-0000-00003FB30000}"/>
    <cellStyle name="Structure 2 2 5 3" xfId="45888" xr:uid="{00000000-0005-0000-0000-000040B30000}"/>
    <cellStyle name="Structure 2 2 5 3 2" xfId="45889" xr:uid="{00000000-0005-0000-0000-000041B30000}"/>
    <cellStyle name="Structure 2 2 5 3 2 2" xfId="45890" xr:uid="{00000000-0005-0000-0000-000042B30000}"/>
    <cellStyle name="Structure 2 2 5 3 2 3" xfId="45891" xr:uid="{00000000-0005-0000-0000-000043B30000}"/>
    <cellStyle name="Structure 2 2 5 3 2 4" xfId="45892" xr:uid="{00000000-0005-0000-0000-000044B30000}"/>
    <cellStyle name="Structure 2 2 5 3 2 5" xfId="45893" xr:uid="{00000000-0005-0000-0000-000045B30000}"/>
    <cellStyle name="Structure 2 2 5 3 2 6" xfId="45894" xr:uid="{00000000-0005-0000-0000-000046B30000}"/>
    <cellStyle name="Structure 2 2 5 3 3" xfId="45895" xr:uid="{00000000-0005-0000-0000-000047B30000}"/>
    <cellStyle name="Structure 2 2 5 3 4" xfId="45896" xr:uid="{00000000-0005-0000-0000-000048B30000}"/>
    <cellStyle name="Structure 2 2 5 3 5" xfId="45897" xr:uid="{00000000-0005-0000-0000-000049B30000}"/>
    <cellStyle name="Structure 2 2 5 3 6" xfId="45898" xr:uid="{00000000-0005-0000-0000-00004AB30000}"/>
    <cellStyle name="Structure 2 2 5 4" xfId="45899" xr:uid="{00000000-0005-0000-0000-00004BB30000}"/>
    <cellStyle name="Structure 2 2 5 4 2" xfId="45900" xr:uid="{00000000-0005-0000-0000-00004CB30000}"/>
    <cellStyle name="Structure 2 2 5 4 3" xfId="45901" xr:uid="{00000000-0005-0000-0000-00004DB30000}"/>
    <cellStyle name="Structure 2 2 5 4 4" xfId="45902" xr:uid="{00000000-0005-0000-0000-00004EB30000}"/>
    <cellStyle name="Structure 2 2 5 4 5" xfId="45903" xr:uid="{00000000-0005-0000-0000-00004FB30000}"/>
    <cellStyle name="Structure 2 2 5 4 6" xfId="45904" xr:uid="{00000000-0005-0000-0000-000050B30000}"/>
    <cellStyle name="Structure 2 2 5 5" xfId="45905" xr:uid="{00000000-0005-0000-0000-000051B30000}"/>
    <cellStyle name="Structure 2 2 5 6" xfId="45906" xr:uid="{00000000-0005-0000-0000-000052B30000}"/>
    <cellStyle name="Structure 2 2 5 7" xfId="45907" xr:uid="{00000000-0005-0000-0000-000053B30000}"/>
    <cellStyle name="Structure 2 2 5 8" xfId="45908" xr:uid="{00000000-0005-0000-0000-000054B30000}"/>
    <cellStyle name="Structure 2 2 6" xfId="45909" xr:uid="{00000000-0005-0000-0000-000055B30000}"/>
    <cellStyle name="Structure 2 2 6 2" xfId="45910" xr:uid="{00000000-0005-0000-0000-000056B30000}"/>
    <cellStyle name="Structure 2 2 6 2 2" xfId="45911" xr:uid="{00000000-0005-0000-0000-000057B30000}"/>
    <cellStyle name="Structure 2 2 6 2 2 2" xfId="45912" xr:uid="{00000000-0005-0000-0000-000058B30000}"/>
    <cellStyle name="Structure 2 2 6 2 2 3" xfId="45913" xr:uid="{00000000-0005-0000-0000-000059B30000}"/>
    <cellStyle name="Structure 2 2 6 2 2 4" xfId="45914" xr:uid="{00000000-0005-0000-0000-00005AB30000}"/>
    <cellStyle name="Structure 2 2 6 2 2 5" xfId="45915" xr:uid="{00000000-0005-0000-0000-00005BB30000}"/>
    <cellStyle name="Structure 2 2 6 2 2 6" xfId="45916" xr:uid="{00000000-0005-0000-0000-00005CB30000}"/>
    <cellStyle name="Structure 2 2 6 2 3" xfId="45917" xr:uid="{00000000-0005-0000-0000-00005DB30000}"/>
    <cellStyle name="Structure 2 2 6 2 4" xfId="45918" xr:uid="{00000000-0005-0000-0000-00005EB30000}"/>
    <cellStyle name="Structure 2 2 6 2 5" xfId="45919" xr:uid="{00000000-0005-0000-0000-00005FB30000}"/>
    <cellStyle name="Structure 2 2 6 2 6" xfId="45920" xr:uid="{00000000-0005-0000-0000-000060B30000}"/>
    <cellStyle name="Structure 2 2 6 3" xfId="45921" xr:uid="{00000000-0005-0000-0000-000061B30000}"/>
    <cellStyle name="Structure 2 2 6 3 2" xfId="45922" xr:uid="{00000000-0005-0000-0000-000062B30000}"/>
    <cellStyle name="Structure 2 2 6 3 2 2" xfId="45923" xr:uid="{00000000-0005-0000-0000-000063B30000}"/>
    <cellStyle name="Structure 2 2 6 3 2 3" xfId="45924" xr:uid="{00000000-0005-0000-0000-000064B30000}"/>
    <cellStyle name="Structure 2 2 6 3 2 4" xfId="45925" xr:uid="{00000000-0005-0000-0000-000065B30000}"/>
    <cellStyle name="Structure 2 2 6 3 2 5" xfId="45926" xr:uid="{00000000-0005-0000-0000-000066B30000}"/>
    <cellStyle name="Structure 2 2 6 3 2 6" xfId="45927" xr:uid="{00000000-0005-0000-0000-000067B30000}"/>
    <cellStyle name="Structure 2 2 6 3 3" xfId="45928" xr:uid="{00000000-0005-0000-0000-000068B30000}"/>
    <cellStyle name="Structure 2 2 6 3 4" xfId="45929" xr:uid="{00000000-0005-0000-0000-000069B30000}"/>
    <cellStyle name="Structure 2 2 6 3 5" xfId="45930" xr:uid="{00000000-0005-0000-0000-00006AB30000}"/>
    <cellStyle name="Structure 2 2 6 3 6" xfId="45931" xr:uid="{00000000-0005-0000-0000-00006BB30000}"/>
    <cellStyle name="Structure 2 2 6 4" xfId="45932" xr:uid="{00000000-0005-0000-0000-00006CB30000}"/>
    <cellStyle name="Structure 2 2 6 4 2" xfId="45933" xr:uid="{00000000-0005-0000-0000-00006DB30000}"/>
    <cellStyle name="Structure 2 2 6 4 3" xfId="45934" xr:uid="{00000000-0005-0000-0000-00006EB30000}"/>
    <cellStyle name="Structure 2 2 6 4 4" xfId="45935" xr:uid="{00000000-0005-0000-0000-00006FB30000}"/>
    <cellStyle name="Structure 2 2 6 4 5" xfId="45936" xr:uid="{00000000-0005-0000-0000-000070B30000}"/>
    <cellStyle name="Structure 2 2 6 4 6" xfId="45937" xr:uid="{00000000-0005-0000-0000-000071B30000}"/>
    <cellStyle name="Structure 2 2 6 5" xfId="45938" xr:uid="{00000000-0005-0000-0000-000072B30000}"/>
    <cellStyle name="Structure 2 2 6 6" xfId="45939" xr:uid="{00000000-0005-0000-0000-000073B30000}"/>
    <cellStyle name="Structure 2 2 6 7" xfId="45940" xr:uid="{00000000-0005-0000-0000-000074B30000}"/>
    <cellStyle name="Structure 2 2 6 8" xfId="45941" xr:uid="{00000000-0005-0000-0000-000075B30000}"/>
    <cellStyle name="Structure 2 2 7" xfId="45942" xr:uid="{00000000-0005-0000-0000-000076B30000}"/>
    <cellStyle name="Structure 2 2 7 2" xfId="45943" xr:uid="{00000000-0005-0000-0000-000077B30000}"/>
    <cellStyle name="Structure 2 2 7 2 2" xfId="45944" xr:uid="{00000000-0005-0000-0000-000078B30000}"/>
    <cellStyle name="Structure 2 2 7 2 3" xfId="45945" xr:uid="{00000000-0005-0000-0000-000079B30000}"/>
    <cellStyle name="Structure 2 2 7 2 4" xfId="45946" xr:uid="{00000000-0005-0000-0000-00007AB30000}"/>
    <cellStyle name="Structure 2 2 7 2 5" xfId="45947" xr:uid="{00000000-0005-0000-0000-00007BB30000}"/>
    <cellStyle name="Structure 2 2 7 2 6" xfId="45948" xr:uid="{00000000-0005-0000-0000-00007CB30000}"/>
    <cellStyle name="Structure 2 2 7 3" xfId="45949" xr:uid="{00000000-0005-0000-0000-00007DB30000}"/>
    <cellStyle name="Structure 2 2 7 4" xfId="45950" xr:uid="{00000000-0005-0000-0000-00007EB30000}"/>
    <cellStyle name="Structure 2 2 7 5" xfId="45951" xr:uid="{00000000-0005-0000-0000-00007FB30000}"/>
    <cellStyle name="Structure 2 2 7 6" xfId="45952" xr:uid="{00000000-0005-0000-0000-000080B30000}"/>
    <cellStyle name="Structure 2 2 8" xfId="45953" xr:uid="{00000000-0005-0000-0000-000081B30000}"/>
    <cellStyle name="Structure 2 2 8 2" xfId="45954" xr:uid="{00000000-0005-0000-0000-000082B30000}"/>
    <cellStyle name="Structure 2 2 8 2 2" xfId="45955" xr:uid="{00000000-0005-0000-0000-000083B30000}"/>
    <cellStyle name="Structure 2 2 8 2 3" xfId="45956" xr:uid="{00000000-0005-0000-0000-000084B30000}"/>
    <cellStyle name="Structure 2 2 8 2 4" xfId="45957" xr:uid="{00000000-0005-0000-0000-000085B30000}"/>
    <cellStyle name="Structure 2 2 8 2 5" xfId="45958" xr:uid="{00000000-0005-0000-0000-000086B30000}"/>
    <cellStyle name="Structure 2 2 8 2 6" xfId="45959" xr:uid="{00000000-0005-0000-0000-000087B30000}"/>
    <cellStyle name="Structure 2 2 8 3" xfId="45960" xr:uid="{00000000-0005-0000-0000-000088B30000}"/>
    <cellStyle name="Structure 2 2 8 4" xfId="45961" xr:uid="{00000000-0005-0000-0000-000089B30000}"/>
    <cellStyle name="Structure 2 2 8 5" xfId="45962" xr:uid="{00000000-0005-0000-0000-00008AB30000}"/>
    <cellStyle name="Structure 2 2 8 6" xfId="45963" xr:uid="{00000000-0005-0000-0000-00008BB30000}"/>
    <cellStyle name="Structure 2 2 9" xfId="45964" xr:uid="{00000000-0005-0000-0000-00008CB30000}"/>
    <cellStyle name="Structure 2 2 9 2" xfId="45965" xr:uid="{00000000-0005-0000-0000-00008DB30000}"/>
    <cellStyle name="Structure 2 2 9 3" xfId="45966" xr:uid="{00000000-0005-0000-0000-00008EB30000}"/>
    <cellStyle name="Structure 2 2 9 4" xfId="45967" xr:uid="{00000000-0005-0000-0000-00008FB30000}"/>
    <cellStyle name="Structure 2 2 9 5" xfId="45968" xr:uid="{00000000-0005-0000-0000-000090B30000}"/>
    <cellStyle name="Structure 2 2 9 6" xfId="45969" xr:uid="{00000000-0005-0000-0000-000091B30000}"/>
    <cellStyle name="Structure 2 3" xfId="45970" xr:uid="{00000000-0005-0000-0000-000092B30000}"/>
    <cellStyle name="Structure 2 3 2" xfId="45971" xr:uid="{00000000-0005-0000-0000-000093B30000}"/>
    <cellStyle name="Structure 2 3 2 2" xfId="45972" xr:uid="{00000000-0005-0000-0000-000094B30000}"/>
    <cellStyle name="Structure 2 3 2 2 2" xfId="45973" xr:uid="{00000000-0005-0000-0000-000095B30000}"/>
    <cellStyle name="Structure 2 3 2 2 3" xfId="45974" xr:uid="{00000000-0005-0000-0000-000096B30000}"/>
    <cellStyle name="Structure 2 3 2 2 4" xfId="45975" xr:uid="{00000000-0005-0000-0000-000097B30000}"/>
    <cellStyle name="Structure 2 3 2 2 5" xfId="45976" xr:uid="{00000000-0005-0000-0000-000098B30000}"/>
    <cellStyle name="Structure 2 3 2 2 6" xfId="45977" xr:uid="{00000000-0005-0000-0000-000099B30000}"/>
    <cellStyle name="Structure 2 3 2 3" xfId="45978" xr:uid="{00000000-0005-0000-0000-00009AB30000}"/>
    <cellStyle name="Structure 2 3 2 4" xfId="45979" xr:uid="{00000000-0005-0000-0000-00009BB30000}"/>
    <cellStyle name="Structure 2 3 2 5" xfId="45980" xr:uid="{00000000-0005-0000-0000-00009CB30000}"/>
    <cellStyle name="Structure 2 3 2 6" xfId="45981" xr:uid="{00000000-0005-0000-0000-00009DB30000}"/>
    <cellStyle name="Structure 2 3 3" xfId="45982" xr:uid="{00000000-0005-0000-0000-00009EB30000}"/>
    <cellStyle name="Structure 2 3 3 2" xfId="45983" xr:uid="{00000000-0005-0000-0000-00009FB30000}"/>
    <cellStyle name="Structure 2 3 3 2 2" xfId="45984" xr:uid="{00000000-0005-0000-0000-0000A0B30000}"/>
    <cellStyle name="Structure 2 3 3 2 3" xfId="45985" xr:uid="{00000000-0005-0000-0000-0000A1B30000}"/>
    <cellStyle name="Structure 2 3 3 2 4" xfId="45986" xr:uid="{00000000-0005-0000-0000-0000A2B30000}"/>
    <cellStyle name="Structure 2 3 3 2 5" xfId="45987" xr:uid="{00000000-0005-0000-0000-0000A3B30000}"/>
    <cellStyle name="Structure 2 3 3 2 6" xfId="45988" xr:uid="{00000000-0005-0000-0000-0000A4B30000}"/>
    <cellStyle name="Structure 2 3 3 3" xfId="45989" xr:uid="{00000000-0005-0000-0000-0000A5B30000}"/>
    <cellStyle name="Structure 2 3 3 4" xfId="45990" xr:uid="{00000000-0005-0000-0000-0000A6B30000}"/>
    <cellStyle name="Structure 2 3 3 5" xfId="45991" xr:uid="{00000000-0005-0000-0000-0000A7B30000}"/>
    <cellStyle name="Structure 2 3 3 6" xfId="45992" xr:uid="{00000000-0005-0000-0000-0000A8B30000}"/>
    <cellStyle name="Structure 2 3 4" xfId="45993" xr:uid="{00000000-0005-0000-0000-0000A9B30000}"/>
    <cellStyle name="Structure 2 3 4 2" xfId="45994" xr:uid="{00000000-0005-0000-0000-0000AAB30000}"/>
    <cellStyle name="Structure 2 3 4 3" xfId="45995" xr:uid="{00000000-0005-0000-0000-0000ABB30000}"/>
    <cellStyle name="Structure 2 3 4 4" xfId="45996" xr:uid="{00000000-0005-0000-0000-0000ACB30000}"/>
    <cellStyle name="Structure 2 3 4 5" xfId="45997" xr:uid="{00000000-0005-0000-0000-0000ADB30000}"/>
    <cellStyle name="Structure 2 3 4 6" xfId="45998" xr:uid="{00000000-0005-0000-0000-0000AEB30000}"/>
    <cellStyle name="Structure 2 3 5" xfId="45999" xr:uid="{00000000-0005-0000-0000-0000AFB30000}"/>
    <cellStyle name="Structure 2 3 6" xfId="46000" xr:uid="{00000000-0005-0000-0000-0000B0B30000}"/>
    <cellStyle name="Structure 2 3 7" xfId="46001" xr:uid="{00000000-0005-0000-0000-0000B1B30000}"/>
    <cellStyle name="Structure 2 3 8" xfId="46002" xr:uid="{00000000-0005-0000-0000-0000B2B30000}"/>
    <cellStyle name="Structure 2 4" xfId="46003" xr:uid="{00000000-0005-0000-0000-0000B3B30000}"/>
    <cellStyle name="Structure 2 4 2" xfId="46004" xr:uid="{00000000-0005-0000-0000-0000B4B30000}"/>
    <cellStyle name="Structure 2 4 2 2" xfId="46005" xr:uid="{00000000-0005-0000-0000-0000B5B30000}"/>
    <cellStyle name="Structure 2 4 2 2 2" xfId="46006" xr:uid="{00000000-0005-0000-0000-0000B6B30000}"/>
    <cellStyle name="Structure 2 4 2 2 3" xfId="46007" xr:uid="{00000000-0005-0000-0000-0000B7B30000}"/>
    <cellStyle name="Structure 2 4 2 2 4" xfId="46008" xr:uid="{00000000-0005-0000-0000-0000B8B30000}"/>
    <cellStyle name="Structure 2 4 2 2 5" xfId="46009" xr:uid="{00000000-0005-0000-0000-0000B9B30000}"/>
    <cellStyle name="Structure 2 4 2 2 6" xfId="46010" xr:uid="{00000000-0005-0000-0000-0000BAB30000}"/>
    <cellStyle name="Structure 2 4 2 3" xfId="46011" xr:uid="{00000000-0005-0000-0000-0000BBB30000}"/>
    <cellStyle name="Structure 2 4 2 4" xfId="46012" xr:uid="{00000000-0005-0000-0000-0000BCB30000}"/>
    <cellStyle name="Structure 2 4 2 5" xfId="46013" xr:uid="{00000000-0005-0000-0000-0000BDB30000}"/>
    <cellStyle name="Structure 2 4 2 6" xfId="46014" xr:uid="{00000000-0005-0000-0000-0000BEB30000}"/>
    <cellStyle name="Structure 2 4 3" xfId="46015" xr:uid="{00000000-0005-0000-0000-0000BFB30000}"/>
    <cellStyle name="Structure 2 4 3 2" xfId="46016" xr:uid="{00000000-0005-0000-0000-0000C0B30000}"/>
    <cellStyle name="Structure 2 4 3 2 2" xfId="46017" xr:uid="{00000000-0005-0000-0000-0000C1B30000}"/>
    <cellStyle name="Structure 2 4 3 2 3" xfId="46018" xr:uid="{00000000-0005-0000-0000-0000C2B30000}"/>
    <cellStyle name="Structure 2 4 3 2 4" xfId="46019" xr:uid="{00000000-0005-0000-0000-0000C3B30000}"/>
    <cellStyle name="Structure 2 4 3 2 5" xfId="46020" xr:uid="{00000000-0005-0000-0000-0000C4B30000}"/>
    <cellStyle name="Structure 2 4 3 2 6" xfId="46021" xr:uid="{00000000-0005-0000-0000-0000C5B30000}"/>
    <cellStyle name="Structure 2 4 3 3" xfId="46022" xr:uid="{00000000-0005-0000-0000-0000C6B30000}"/>
    <cellStyle name="Structure 2 4 3 4" xfId="46023" xr:uid="{00000000-0005-0000-0000-0000C7B30000}"/>
    <cellStyle name="Structure 2 4 3 5" xfId="46024" xr:uid="{00000000-0005-0000-0000-0000C8B30000}"/>
    <cellStyle name="Structure 2 4 3 6" xfId="46025" xr:uid="{00000000-0005-0000-0000-0000C9B30000}"/>
    <cellStyle name="Structure 2 4 4" xfId="46026" xr:uid="{00000000-0005-0000-0000-0000CAB30000}"/>
    <cellStyle name="Structure 2 4 4 2" xfId="46027" xr:uid="{00000000-0005-0000-0000-0000CBB30000}"/>
    <cellStyle name="Structure 2 4 4 3" xfId="46028" xr:uid="{00000000-0005-0000-0000-0000CCB30000}"/>
    <cellStyle name="Structure 2 4 4 4" xfId="46029" xr:uid="{00000000-0005-0000-0000-0000CDB30000}"/>
    <cellStyle name="Structure 2 4 4 5" xfId="46030" xr:uid="{00000000-0005-0000-0000-0000CEB30000}"/>
    <cellStyle name="Structure 2 4 4 6" xfId="46031" xr:uid="{00000000-0005-0000-0000-0000CFB30000}"/>
    <cellStyle name="Structure 2 4 5" xfId="46032" xr:uid="{00000000-0005-0000-0000-0000D0B30000}"/>
    <cellStyle name="Structure 2 4 6" xfId="46033" xr:uid="{00000000-0005-0000-0000-0000D1B30000}"/>
    <cellStyle name="Structure 2 4 7" xfId="46034" xr:uid="{00000000-0005-0000-0000-0000D2B30000}"/>
    <cellStyle name="Structure 2 4 8" xfId="46035" xr:uid="{00000000-0005-0000-0000-0000D3B30000}"/>
    <cellStyle name="Structure 2 5" xfId="46036" xr:uid="{00000000-0005-0000-0000-0000D4B30000}"/>
    <cellStyle name="Structure 2 5 2" xfId="46037" xr:uid="{00000000-0005-0000-0000-0000D5B30000}"/>
    <cellStyle name="Structure 2 5 2 2" xfId="46038" xr:uid="{00000000-0005-0000-0000-0000D6B30000}"/>
    <cellStyle name="Structure 2 5 2 2 2" xfId="46039" xr:uid="{00000000-0005-0000-0000-0000D7B30000}"/>
    <cellStyle name="Structure 2 5 2 2 3" xfId="46040" xr:uid="{00000000-0005-0000-0000-0000D8B30000}"/>
    <cellStyle name="Structure 2 5 2 2 4" xfId="46041" xr:uid="{00000000-0005-0000-0000-0000D9B30000}"/>
    <cellStyle name="Structure 2 5 2 2 5" xfId="46042" xr:uid="{00000000-0005-0000-0000-0000DAB30000}"/>
    <cellStyle name="Structure 2 5 2 2 6" xfId="46043" xr:uid="{00000000-0005-0000-0000-0000DBB30000}"/>
    <cellStyle name="Structure 2 5 2 3" xfId="46044" xr:uid="{00000000-0005-0000-0000-0000DCB30000}"/>
    <cellStyle name="Structure 2 5 2 4" xfId="46045" xr:uid="{00000000-0005-0000-0000-0000DDB30000}"/>
    <cellStyle name="Structure 2 5 2 5" xfId="46046" xr:uid="{00000000-0005-0000-0000-0000DEB30000}"/>
    <cellStyle name="Structure 2 5 2 6" xfId="46047" xr:uid="{00000000-0005-0000-0000-0000DFB30000}"/>
    <cellStyle name="Structure 2 5 3" xfId="46048" xr:uid="{00000000-0005-0000-0000-0000E0B30000}"/>
    <cellStyle name="Structure 2 5 3 2" xfId="46049" xr:uid="{00000000-0005-0000-0000-0000E1B30000}"/>
    <cellStyle name="Structure 2 5 3 2 2" xfId="46050" xr:uid="{00000000-0005-0000-0000-0000E2B30000}"/>
    <cellStyle name="Structure 2 5 3 2 3" xfId="46051" xr:uid="{00000000-0005-0000-0000-0000E3B30000}"/>
    <cellStyle name="Structure 2 5 3 2 4" xfId="46052" xr:uid="{00000000-0005-0000-0000-0000E4B30000}"/>
    <cellStyle name="Structure 2 5 3 2 5" xfId="46053" xr:uid="{00000000-0005-0000-0000-0000E5B30000}"/>
    <cellStyle name="Structure 2 5 3 2 6" xfId="46054" xr:uid="{00000000-0005-0000-0000-0000E6B30000}"/>
    <cellStyle name="Structure 2 5 3 3" xfId="46055" xr:uid="{00000000-0005-0000-0000-0000E7B30000}"/>
    <cellStyle name="Structure 2 5 3 4" xfId="46056" xr:uid="{00000000-0005-0000-0000-0000E8B30000}"/>
    <cellStyle name="Structure 2 5 3 5" xfId="46057" xr:uid="{00000000-0005-0000-0000-0000E9B30000}"/>
    <cellStyle name="Structure 2 5 3 6" xfId="46058" xr:uid="{00000000-0005-0000-0000-0000EAB30000}"/>
    <cellStyle name="Structure 2 5 4" xfId="46059" xr:uid="{00000000-0005-0000-0000-0000EBB30000}"/>
    <cellStyle name="Structure 2 5 4 2" xfId="46060" xr:uid="{00000000-0005-0000-0000-0000ECB30000}"/>
    <cellStyle name="Structure 2 5 4 3" xfId="46061" xr:uid="{00000000-0005-0000-0000-0000EDB30000}"/>
    <cellStyle name="Structure 2 5 4 4" xfId="46062" xr:uid="{00000000-0005-0000-0000-0000EEB30000}"/>
    <cellStyle name="Structure 2 5 4 5" xfId="46063" xr:uid="{00000000-0005-0000-0000-0000EFB30000}"/>
    <cellStyle name="Structure 2 5 4 6" xfId="46064" xr:uid="{00000000-0005-0000-0000-0000F0B30000}"/>
    <cellStyle name="Structure 2 5 5" xfId="46065" xr:uid="{00000000-0005-0000-0000-0000F1B30000}"/>
    <cellStyle name="Structure 2 5 6" xfId="46066" xr:uid="{00000000-0005-0000-0000-0000F2B30000}"/>
    <cellStyle name="Structure 2 5 7" xfId="46067" xr:uid="{00000000-0005-0000-0000-0000F3B30000}"/>
    <cellStyle name="Structure 2 5 8" xfId="46068" xr:uid="{00000000-0005-0000-0000-0000F4B30000}"/>
    <cellStyle name="Structure 2 6" xfId="46069" xr:uid="{00000000-0005-0000-0000-0000F5B30000}"/>
    <cellStyle name="Structure 2 6 2" xfId="46070" xr:uid="{00000000-0005-0000-0000-0000F6B30000}"/>
    <cellStyle name="Structure 2 6 2 2" xfId="46071" xr:uid="{00000000-0005-0000-0000-0000F7B30000}"/>
    <cellStyle name="Structure 2 6 2 2 2" xfId="46072" xr:uid="{00000000-0005-0000-0000-0000F8B30000}"/>
    <cellStyle name="Structure 2 6 2 2 3" xfId="46073" xr:uid="{00000000-0005-0000-0000-0000F9B30000}"/>
    <cellStyle name="Structure 2 6 2 2 4" xfId="46074" xr:uid="{00000000-0005-0000-0000-0000FAB30000}"/>
    <cellStyle name="Structure 2 6 2 2 5" xfId="46075" xr:uid="{00000000-0005-0000-0000-0000FBB30000}"/>
    <cellStyle name="Structure 2 6 2 2 6" xfId="46076" xr:uid="{00000000-0005-0000-0000-0000FCB30000}"/>
    <cellStyle name="Structure 2 6 2 3" xfId="46077" xr:uid="{00000000-0005-0000-0000-0000FDB30000}"/>
    <cellStyle name="Structure 2 6 2 4" xfId="46078" xr:uid="{00000000-0005-0000-0000-0000FEB30000}"/>
    <cellStyle name="Structure 2 6 2 5" xfId="46079" xr:uid="{00000000-0005-0000-0000-0000FFB30000}"/>
    <cellStyle name="Structure 2 6 2 6" xfId="46080" xr:uid="{00000000-0005-0000-0000-000000B40000}"/>
    <cellStyle name="Structure 2 6 3" xfId="46081" xr:uid="{00000000-0005-0000-0000-000001B40000}"/>
    <cellStyle name="Structure 2 6 3 2" xfId="46082" xr:uid="{00000000-0005-0000-0000-000002B40000}"/>
    <cellStyle name="Structure 2 6 3 2 2" xfId="46083" xr:uid="{00000000-0005-0000-0000-000003B40000}"/>
    <cellStyle name="Structure 2 6 3 2 3" xfId="46084" xr:uid="{00000000-0005-0000-0000-000004B40000}"/>
    <cellStyle name="Structure 2 6 3 2 4" xfId="46085" xr:uid="{00000000-0005-0000-0000-000005B40000}"/>
    <cellStyle name="Structure 2 6 3 2 5" xfId="46086" xr:uid="{00000000-0005-0000-0000-000006B40000}"/>
    <cellStyle name="Structure 2 6 3 2 6" xfId="46087" xr:uid="{00000000-0005-0000-0000-000007B40000}"/>
    <cellStyle name="Structure 2 6 3 3" xfId="46088" xr:uid="{00000000-0005-0000-0000-000008B40000}"/>
    <cellStyle name="Structure 2 6 3 4" xfId="46089" xr:uid="{00000000-0005-0000-0000-000009B40000}"/>
    <cellStyle name="Structure 2 6 3 5" xfId="46090" xr:uid="{00000000-0005-0000-0000-00000AB40000}"/>
    <cellStyle name="Structure 2 6 3 6" xfId="46091" xr:uid="{00000000-0005-0000-0000-00000BB40000}"/>
    <cellStyle name="Structure 2 6 4" xfId="46092" xr:uid="{00000000-0005-0000-0000-00000CB40000}"/>
    <cellStyle name="Structure 2 6 4 2" xfId="46093" xr:uid="{00000000-0005-0000-0000-00000DB40000}"/>
    <cellStyle name="Structure 2 6 4 3" xfId="46094" xr:uid="{00000000-0005-0000-0000-00000EB40000}"/>
    <cellStyle name="Structure 2 6 4 4" xfId="46095" xr:uid="{00000000-0005-0000-0000-00000FB40000}"/>
    <cellStyle name="Structure 2 6 4 5" xfId="46096" xr:uid="{00000000-0005-0000-0000-000010B40000}"/>
    <cellStyle name="Structure 2 6 4 6" xfId="46097" xr:uid="{00000000-0005-0000-0000-000011B40000}"/>
    <cellStyle name="Structure 2 6 5" xfId="46098" xr:uid="{00000000-0005-0000-0000-000012B40000}"/>
    <cellStyle name="Structure 2 6 6" xfId="46099" xr:uid="{00000000-0005-0000-0000-000013B40000}"/>
    <cellStyle name="Structure 2 6 7" xfId="46100" xr:uid="{00000000-0005-0000-0000-000014B40000}"/>
    <cellStyle name="Structure 2 6 8" xfId="46101" xr:uid="{00000000-0005-0000-0000-000015B40000}"/>
    <cellStyle name="Structure 2 7" xfId="46102" xr:uid="{00000000-0005-0000-0000-000016B40000}"/>
    <cellStyle name="Structure 2 7 2" xfId="46103" xr:uid="{00000000-0005-0000-0000-000017B40000}"/>
    <cellStyle name="Structure 2 7 2 2" xfId="46104" xr:uid="{00000000-0005-0000-0000-000018B40000}"/>
    <cellStyle name="Structure 2 7 2 2 2" xfId="46105" xr:uid="{00000000-0005-0000-0000-000019B40000}"/>
    <cellStyle name="Structure 2 7 2 2 3" xfId="46106" xr:uid="{00000000-0005-0000-0000-00001AB40000}"/>
    <cellStyle name="Structure 2 7 2 2 4" xfId="46107" xr:uid="{00000000-0005-0000-0000-00001BB40000}"/>
    <cellStyle name="Structure 2 7 2 2 5" xfId="46108" xr:uid="{00000000-0005-0000-0000-00001CB40000}"/>
    <cellStyle name="Structure 2 7 2 2 6" xfId="46109" xr:uid="{00000000-0005-0000-0000-00001DB40000}"/>
    <cellStyle name="Structure 2 7 2 3" xfId="46110" xr:uid="{00000000-0005-0000-0000-00001EB40000}"/>
    <cellStyle name="Structure 2 7 2 4" xfId="46111" xr:uid="{00000000-0005-0000-0000-00001FB40000}"/>
    <cellStyle name="Structure 2 7 2 5" xfId="46112" xr:uid="{00000000-0005-0000-0000-000020B40000}"/>
    <cellStyle name="Structure 2 7 2 6" xfId="46113" xr:uid="{00000000-0005-0000-0000-000021B40000}"/>
    <cellStyle name="Structure 2 7 3" xfId="46114" xr:uid="{00000000-0005-0000-0000-000022B40000}"/>
    <cellStyle name="Structure 2 7 3 2" xfId="46115" xr:uid="{00000000-0005-0000-0000-000023B40000}"/>
    <cellStyle name="Structure 2 7 3 2 2" xfId="46116" xr:uid="{00000000-0005-0000-0000-000024B40000}"/>
    <cellStyle name="Structure 2 7 3 2 3" xfId="46117" xr:uid="{00000000-0005-0000-0000-000025B40000}"/>
    <cellStyle name="Structure 2 7 3 2 4" xfId="46118" xr:uid="{00000000-0005-0000-0000-000026B40000}"/>
    <cellStyle name="Structure 2 7 3 2 5" xfId="46119" xr:uid="{00000000-0005-0000-0000-000027B40000}"/>
    <cellStyle name="Structure 2 7 3 2 6" xfId="46120" xr:uid="{00000000-0005-0000-0000-000028B40000}"/>
    <cellStyle name="Structure 2 7 3 3" xfId="46121" xr:uid="{00000000-0005-0000-0000-000029B40000}"/>
    <cellStyle name="Structure 2 7 3 4" xfId="46122" xr:uid="{00000000-0005-0000-0000-00002AB40000}"/>
    <cellStyle name="Structure 2 7 3 5" xfId="46123" xr:uid="{00000000-0005-0000-0000-00002BB40000}"/>
    <cellStyle name="Structure 2 7 3 6" xfId="46124" xr:uid="{00000000-0005-0000-0000-00002CB40000}"/>
    <cellStyle name="Structure 2 7 4" xfId="46125" xr:uid="{00000000-0005-0000-0000-00002DB40000}"/>
    <cellStyle name="Structure 2 7 4 2" xfId="46126" xr:uid="{00000000-0005-0000-0000-00002EB40000}"/>
    <cellStyle name="Structure 2 7 4 3" xfId="46127" xr:uid="{00000000-0005-0000-0000-00002FB40000}"/>
    <cellStyle name="Structure 2 7 4 4" xfId="46128" xr:uid="{00000000-0005-0000-0000-000030B40000}"/>
    <cellStyle name="Structure 2 7 4 5" xfId="46129" xr:uid="{00000000-0005-0000-0000-000031B40000}"/>
    <cellStyle name="Structure 2 7 4 6" xfId="46130" xr:uid="{00000000-0005-0000-0000-000032B40000}"/>
    <cellStyle name="Structure 2 7 5" xfId="46131" xr:uid="{00000000-0005-0000-0000-000033B40000}"/>
    <cellStyle name="Structure 2 7 6" xfId="46132" xr:uid="{00000000-0005-0000-0000-000034B40000}"/>
    <cellStyle name="Structure 2 7 7" xfId="46133" xr:uid="{00000000-0005-0000-0000-000035B40000}"/>
    <cellStyle name="Structure 2 7 8" xfId="46134" xr:uid="{00000000-0005-0000-0000-000036B40000}"/>
    <cellStyle name="Structure 2 8" xfId="46135" xr:uid="{00000000-0005-0000-0000-000037B40000}"/>
    <cellStyle name="Structure 2 8 2" xfId="46136" xr:uid="{00000000-0005-0000-0000-000038B40000}"/>
    <cellStyle name="Structure 2 8 2 2" xfId="46137" xr:uid="{00000000-0005-0000-0000-000039B40000}"/>
    <cellStyle name="Structure 2 8 2 3" xfId="46138" xr:uid="{00000000-0005-0000-0000-00003AB40000}"/>
    <cellStyle name="Structure 2 8 2 4" xfId="46139" xr:uid="{00000000-0005-0000-0000-00003BB40000}"/>
    <cellStyle name="Structure 2 8 2 5" xfId="46140" xr:uid="{00000000-0005-0000-0000-00003CB40000}"/>
    <cellStyle name="Structure 2 8 2 6" xfId="46141" xr:uid="{00000000-0005-0000-0000-00003DB40000}"/>
    <cellStyle name="Structure 2 8 3" xfId="46142" xr:uid="{00000000-0005-0000-0000-00003EB40000}"/>
    <cellStyle name="Structure 2 8 4" xfId="46143" xr:uid="{00000000-0005-0000-0000-00003FB40000}"/>
    <cellStyle name="Structure 2 8 5" xfId="46144" xr:uid="{00000000-0005-0000-0000-000040B40000}"/>
    <cellStyle name="Structure 2 8 6" xfId="46145" xr:uid="{00000000-0005-0000-0000-000041B40000}"/>
    <cellStyle name="Structure 2 9" xfId="46146" xr:uid="{00000000-0005-0000-0000-000042B40000}"/>
    <cellStyle name="Structure 2 9 2" xfId="46147" xr:uid="{00000000-0005-0000-0000-000043B40000}"/>
    <cellStyle name="Structure 2 9 2 2" xfId="46148" xr:uid="{00000000-0005-0000-0000-000044B40000}"/>
    <cellStyle name="Structure 2 9 2 3" xfId="46149" xr:uid="{00000000-0005-0000-0000-000045B40000}"/>
    <cellStyle name="Structure 2 9 2 4" xfId="46150" xr:uid="{00000000-0005-0000-0000-000046B40000}"/>
    <cellStyle name="Structure 2 9 2 5" xfId="46151" xr:uid="{00000000-0005-0000-0000-000047B40000}"/>
    <cellStyle name="Structure 2 9 2 6" xfId="46152" xr:uid="{00000000-0005-0000-0000-000048B40000}"/>
    <cellStyle name="Structure 2 9 3" xfId="46153" xr:uid="{00000000-0005-0000-0000-000049B40000}"/>
    <cellStyle name="Structure 2 9 4" xfId="46154" xr:uid="{00000000-0005-0000-0000-00004AB40000}"/>
    <cellStyle name="Structure 2 9 5" xfId="46155" xr:uid="{00000000-0005-0000-0000-00004BB40000}"/>
    <cellStyle name="Structure 2 9 6" xfId="46156" xr:uid="{00000000-0005-0000-0000-00004CB40000}"/>
    <cellStyle name="Structure 3" xfId="46157" xr:uid="{00000000-0005-0000-0000-00004DB40000}"/>
    <cellStyle name="Structure 3 10" xfId="46158" xr:uid="{00000000-0005-0000-0000-00004EB40000}"/>
    <cellStyle name="Structure 3 11" xfId="46159" xr:uid="{00000000-0005-0000-0000-00004FB40000}"/>
    <cellStyle name="Structure 3 12" xfId="46160" xr:uid="{00000000-0005-0000-0000-000050B40000}"/>
    <cellStyle name="Structure 3 13" xfId="46161" xr:uid="{00000000-0005-0000-0000-000051B40000}"/>
    <cellStyle name="Structure 3 2" xfId="46162" xr:uid="{00000000-0005-0000-0000-000052B40000}"/>
    <cellStyle name="Structure 3 2 2" xfId="46163" xr:uid="{00000000-0005-0000-0000-000053B40000}"/>
    <cellStyle name="Structure 3 2 2 2" xfId="46164" xr:uid="{00000000-0005-0000-0000-000054B40000}"/>
    <cellStyle name="Structure 3 2 2 2 2" xfId="46165" xr:uid="{00000000-0005-0000-0000-000055B40000}"/>
    <cellStyle name="Structure 3 2 2 2 3" xfId="46166" xr:uid="{00000000-0005-0000-0000-000056B40000}"/>
    <cellStyle name="Structure 3 2 2 2 4" xfId="46167" xr:uid="{00000000-0005-0000-0000-000057B40000}"/>
    <cellStyle name="Structure 3 2 2 2 5" xfId="46168" xr:uid="{00000000-0005-0000-0000-000058B40000}"/>
    <cellStyle name="Structure 3 2 2 2 6" xfId="46169" xr:uid="{00000000-0005-0000-0000-000059B40000}"/>
    <cellStyle name="Structure 3 2 2 3" xfId="46170" xr:uid="{00000000-0005-0000-0000-00005AB40000}"/>
    <cellStyle name="Structure 3 2 2 4" xfId="46171" xr:uid="{00000000-0005-0000-0000-00005BB40000}"/>
    <cellStyle name="Structure 3 2 2 5" xfId="46172" xr:uid="{00000000-0005-0000-0000-00005CB40000}"/>
    <cellStyle name="Structure 3 2 2 6" xfId="46173" xr:uid="{00000000-0005-0000-0000-00005DB40000}"/>
    <cellStyle name="Structure 3 2 3" xfId="46174" xr:uid="{00000000-0005-0000-0000-00005EB40000}"/>
    <cellStyle name="Structure 3 2 3 2" xfId="46175" xr:uid="{00000000-0005-0000-0000-00005FB40000}"/>
    <cellStyle name="Structure 3 2 3 2 2" xfId="46176" xr:uid="{00000000-0005-0000-0000-000060B40000}"/>
    <cellStyle name="Structure 3 2 3 2 3" xfId="46177" xr:uid="{00000000-0005-0000-0000-000061B40000}"/>
    <cellStyle name="Structure 3 2 3 2 4" xfId="46178" xr:uid="{00000000-0005-0000-0000-000062B40000}"/>
    <cellStyle name="Structure 3 2 3 2 5" xfId="46179" xr:uid="{00000000-0005-0000-0000-000063B40000}"/>
    <cellStyle name="Structure 3 2 3 2 6" xfId="46180" xr:uid="{00000000-0005-0000-0000-000064B40000}"/>
    <cellStyle name="Structure 3 2 3 3" xfId="46181" xr:uid="{00000000-0005-0000-0000-000065B40000}"/>
    <cellStyle name="Structure 3 2 3 4" xfId="46182" xr:uid="{00000000-0005-0000-0000-000066B40000}"/>
    <cellStyle name="Structure 3 2 3 5" xfId="46183" xr:uid="{00000000-0005-0000-0000-000067B40000}"/>
    <cellStyle name="Structure 3 2 3 6" xfId="46184" xr:uid="{00000000-0005-0000-0000-000068B40000}"/>
    <cellStyle name="Structure 3 2 4" xfId="46185" xr:uid="{00000000-0005-0000-0000-000069B40000}"/>
    <cellStyle name="Structure 3 2 4 2" xfId="46186" xr:uid="{00000000-0005-0000-0000-00006AB40000}"/>
    <cellStyle name="Structure 3 2 4 3" xfId="46187" xr:uid="{00000000-0005-0000-0000-00006BB40000}"/>
    <cellStyle name="Structure 3 2 4 4" xfId="46188" xr:uid="{00000000-0005-0000-0000-00006CB40000}"/>
    <cellStyle name="Structure 3 2 4 5" xfId="46189" xr:uid="{00000000-0005-0000-0000-00006DB40000}"/>
    <cellStyle name="Structure 3 2 4 6" xfId="46190" xr:uid="{00000000-0005-0000-0000-00006EB40000}"/>
    <cellStyle name="Structure 3 2 5" xfId="46191" xr:uid="{00000000-0005-0000-0000-00006FB40000}"/>
    <cellStyle name="Structure 3 2 6" xfId="46192" xr:uid="{00000000-0005-0000-0000-000070B40000}"/>
    <cellStyle name="Structure 3 2 7" xfId="46193" xr:uid="{00000000-0005-0000-0000-000071B40000}"/>
    <cellStyle name="Structure 3 2 8" xfId="46194" xr:uid="{00000000-0005-0000-0000-000072B40000}"/>
    <cellStyle name="Structure 3 3" xfId="46195" xr:uid="{00000000-0005-0000-0000-000073B40000}"/>
    <cellStyle name="Structure 3 3 2" xfId="46196" xr:uid="{00000000-0005-0000-0000-000074B40000}"/>
    <cellStyle name="Structure 3 3 2 2" xfId="46197" xr:uid="{00000000-0005-0000-0000-000075B40000}"/>
    <cellStyle name="Structure 3 3 2 2 2" xfId="46198" xr:uid="{00000000-0005-0000-0000-000076B40000}"/>
    <cellStyle name="Structure 3 3 2 2 3" xfId="46199" xr:uid="{00000000-0005-0000-0000-000077B40000}"/>
    <cellStyle name="Structure 3 3 2 2 4" xfId="46200" xr:uid="{00000000-0005-0000-0000-000078B40000}"/>
    <cellStyle name="Structure 3 3 2 2 5" xfId="46201" xr:uid="{00000000-0005-0000-0000-000079B40000}"/>
    <cellStyle name="Structure 3 3 2 2 6" xfId="46202" xr:uid="{00000000-0005-0000-0000-00007AB40000}"/>
    <cellStyle name="Structure 3 3 2 3" xfId="46203" xr:uid="{00000000-0005-0000-0000-00007BB40000}"/>
    <cellStyle name="Structure 3 3 2 4" xfId="46204" xr:uid="{00000000-0005-0000-0000-00007CB40000}"/>
    <cellStyle name="Structure 3 3 2 5" xfId="46205" xr:uid="{00000000-0005-0000-0000-00007DB40000}"/>
    <cellStyle name="Structure 3 3 2 6" xfId="46206" xr:uid="{00000000-0005-0000-0000-00007EB40000}"/>
    <cellStyle name="Structure 3 3 3" xfId="46207" xr:uid="{00000000-0005-0000-0000-00007FB40000}"/>
    <cellStyle name="Structure 3 3 3 2" xfId="46208" xr:uid="{00000000-0005-0000-0000-000080B40000}"/>
    <cellStyle name="Structure 3 3 3 2 2" xfId="46209" xr:uid="{00000000-0005-0000-0000-000081B40000}"/>
    <cellStyle name="Structure 3 3 3 2 3" xfId="46210" xr:uid="{00000000-0005-0000-0000-000082B40000}"/>
    <cellStyle name="Structure 3 3 3 2 4" xfId="46211" xr:uid="{00000000-0005-0000-0000-000083B40000}"/>
    <cellStyle name="Structure 3 3 3 2 5" xfId="46212" xr:uid="{00000000-0005-0000-0000-000084B40000}"/>
    <cellStyle name="Structure 3 3 3 2 6" xfId="46213" xr:uid="{00000000-0005-0000-0000-000085B40000}"/>
    <cellStyle name="Structure 3 3 3 3" xfId="46214" xr:uid="{00000000-0005-0000-0000-000086B40000}"/>
    <cellStyle name="Structure 3 3 3 4" xfId="46215" xr:uid="{00000000-0005-0000-0000-000087B40000}"/>
    <cellStyle name="Structure 3 3 3 5" xfId="46216" xr:uid="{00000000-0005-0000-0000-000088B40000}"/>
    <cellStyle name="Structure 3 3 3 6" xfId="46217" xr:uid="{00000000-0005-0000-0000-000089B40000}"/>
    <cellStyle name="Structure 3 3 4" xfId="46218" xr:uid="{00000000-0005-0000-0000-00008AB40000}"/>
    <cellStyle name="Structure 3 3 4 2" xfId="46219" xr:uid="{00000000-0005-0000-0000-00008BB40000}"/>
    <cellStyle name="Structure 3 3 4 3" xfId="46220" xr:uid="{00000000-0005-0000-0000-00008CB40000}"/>
    <cellStyle name="Structure 3 3 4 4" xfId="46221" xr:uid="{00000000-0005-0000-0000-00008DB40000}"/>
    <cellStyle name="Structure 3 3 4 5" xfId="46222" xr:uid="{00000000-0005-0000-0000-00008EB40000}"/>
    <cellStyle name="Structure 3 3 4 6" xfId="46223" xr:uid="{00000000-0005-0000-0000-00008FB40000}"/>
    <cellStyle name="Structure 3 3 5" xfId="46224" xr:uid="{00000000-0005-0000-0000-000090B40000}"/>
    <cellStyle name="Structure 3 3 6" xfId="46225" xr:uid="{00000000-0005-0000-0000-000091B40000}"/>
    <cellStyle name="Structure 3 3 7" xfId="46226" xr:uid="{00000000-0005-0000-0000-000092B40000}"/>
    <cellStyle name="Structure 3 3 8" xfId="46227" xr:uid="{00000000-0005-0000-0000-000093B40000}"/>
    <cellStyle name="Structure 3 4" xfId="46228" xr:uid="{00000000-0005-0000-0000-000094B40000}"/>
    <cellStyle name="Structure 3 4 2" xfId="46229" xr:uid="{00000000-0005-0000-0000-000095B40000}"/>
    <cellStyle name="Structure 3 4 2 2" xfId="46230" xr:uid="{00000000-0005-0000-0000-000096B40000}"/>
    <cellStyle name="Structure 3 4 2 2 2" xfId="46231" xr:uid="{00000000-0005-0000-0000-000097B40000}"/>
    <cellStyle name="Structure 3 4 2 2 3" xfId="46232" xr:uid="{00000000-0005-0000-0000-000098B40000}"/>
    <cellStyle name="Structure 3 4 2 2 4" xfId="46233" xr:uid="{00000000-0005-0000-0000-000099B40000}"/>
    <cellStyle name="Structure 3 4 2 2 5" xfId="46234" xr:uid="{00000000-0005-0000-0000-00009AB40000}"/>
    <cellStyle name="Structure 3 4 2 2 6" xfId="46235" xr:uid="{00000000-0005-0000-0000-00009BB40000}"/>
    <cellStyle name="Structure 3 4 2 3" xfId="46236" xr:uid="{00000000-0005-0000-0000-00009CB40000}"/>
    <cellStyle name="Structure 3 4 2 4" xfId="46237" xr:uid="{00000000-0005-0000-0000-00009DB40000}"/>
    <cellStyle name="Structure 3 4 2 5" xfId="46238" xr:uid="{00000000-0005-0000-0000-00009EB40000}"/>
    <cellStyle name="Structure 3 4 2 6" xfId="46239" xr:uid="{00000000-0005-0000-0000-00009FB40000}"/>
    <cellStyle name="Structure 3 4 3" xfId="46240" xr:uid="{00000000-0005-0000-0000-0000A0B40000}"/>
    <cellStyle name="Structure 3 4 3 2" xfId="46241" xr:uid="{00000000-0005-0000-0000-0000A1B40000}"/>
    <cellStyle name="Structure 3 4 3 2 2" xfId="46242" xr:uid="{00000000-0005-0000-0000-0000A2B40000}"/>
    <cellStyle name="Structure 3 4 3 2 3" xfId="46243" xr:uid="{00000000-0005-0000-0000-0000A3B40000}"/>
    <cellStyle name="Structure 3 4 3 2 4" xfId="46244" xr:uid="{00000000-0005-0000-0000-0000A4B40000}"/>
    <cellStyle name="Structure 3 4 3 2 5" xfId="46245" xr:uid="{00000000-0005-0000-0000-0000A5B40000}"/>
    <cellStyle name="Structure 3 4 3 2 6" xfId="46246" xr:uid="{00000000-0005-0000-0000-0000A6B40000}"/>
    <cellStyle name="Structure 3 4 3 3" xfId="46247" xr:uid="{00000000-0005-0000-0000-0000A7B40000}"/>
    <cellStyle name="Structure 3 4 3 4" xfId="46248" xr:uid="{00000000-0005-0000-0000-0000A8B40000}"/>
    <cellStyle name="Structure 3 4 3 5" xfId="46249" xr:uid="{00000000-0005-0000-0000-0000A9B40000}"/>
    <cellStyle name="Structure 3 4 3 6" xfId="46250" xr:uid="{00000000-0005-0000-0000-0000AAB40000}"/>
    <cellStyle name="Structure 3 4 4" xfId="46251" xr:uid="{00000000-0005-0000-0000-0000ABB40000}"/>
    <cellStyle name="Structure 3 4 4 2" xfId="46252" xr:uid="{00000000-0005-0000-0000-0000ACB40000}"/>
    <cellStyle name="Structure 3 4 4 3" xfId="46253" xr:uid="{00000000-0005-0000-0000-0000ADB40000}"/>
    <cellStyle name="Structure 3 4 4 4" xfId="46254" xr:uid="{00000000-0005-0000-0000-0000AEB40000}"/>
    <cellStyle name="Structure 3 4 4 5" xfId="46255" xr:uid="{00000000-0005-0000-0000-0000AFB40000}"/>
    <cellStyle name="Structure 3 4 4 6" xfId="46256" xr:uid="{00000000-0005-0000-0000-0000B0B40000}"/>
    <cellStyle name="Structure 3 4 5" xfId="46257" xr:uid="{00000000-0005-0000-0000-0000B1B40000}"/>
    <cellStyle name="Structure 3 4 6" xfId="46258" xr:uid="{00000000-0005-0000-0000-0000B2B40000}"/>
    <cellStyle name="Structure 3 4 7" xfId="46259" xr:uid="{00000000-0005-0000-0000-0000B3B40000}"/>
    <cellStyle name="Structure 3 4 8" xfId="46260" xr:uid="{00000000-0005-0000-0000-0000B4B40000}"/>
    <cellStyle name="Structure 3 5" xfId="46261" xr:uid="{00000000-0005-0000-0000-0000B5B40000}"/>
    <cellStyle name="Structure 3 5 2" xfId="46262" xr:uid="{00000000-0005-0000-0000-0000B6B40000}"/>
    <cellStyle name="Structure 3 5 2 2" xfId="46263" xr:uid="{00000000-0005-0000-0000-0000B7B40000}"/>
    <cellStyle name="Structure 3 5 2 2 2" xfId="46264" xr:uid="{00000000-0005-0000-0000-0000B8B40000}"/>
    <cellStyle name="Structure 3 5 2 2 3" xfId="46265" xr:uid="{00000000-0005-0000-0000-0000B9B40000}"/>
    <cellStyle name="Structure 3 5 2 2 4" xfId="46266" xr:uid="{00000000-0005-0000-0000-0000BAB40000}"/>
    <cellStyle name="Structure 3 5 2 2 5" xfId="46267" xr:uid="{00000000-0005-0000-0000-0000BBB40000}"/>
    <cellStyle name="Structure 3 5 2 2 6" xfId="46268" xr:uid="{00000000-0005-0000-0000-0000BCB40000}"/>
    <cellStyle name="Structure 3 5 2 3" xfId="46269" xr:uid="{00000000-0005-0000-0000-0000BDB40000}"/>
    <cellStyle name="Structure 3 5 2 4" xfId="46270" xr:uid="{00000000-0005-0000-0000-0000BEB40000}"/>
    <cellStyle name="Structure 3 5 2 5" xfId="46271" xr:uid="{00000000-0005-0000-0000-0000BFB40000}"/>
    <cellStyle name="Structure 3 5 2 6" xfId="46272" xr:uid="{00000000-0005-0000-0000-0000C0B40000}"/>
    <cellStyle name="Structure 3 5 3" xfId="46273" xr:uid="{00000000-0005-0000-0000-0000C1B40000}"/>
    <cellStyle name="Structure 3 5 3 2" xfId="46274" xr:uid="{00000000-0005-0000-0000-0000C2B40000}"/>
    <cellStyle name="Structure 3 5 3 2 2" xfId="46275" xr:uid="{00000000-0005-0000-0000-0000C3B40000}"/>
    <cellStyle name="Structure 3 5 3 2 3" xfId="46276" xr:uid="{00000000-0005-0000-0000-0000C4B40000}"/>
    <cellStyle name="Structure 3 5 3 2 4" xfId="46277" xr:uid="{00000000-0005-0000-0000-0000C5B40000}"/>
    <cellStyle name="Structure 3 5 3 2 5" xfId="46278" xr:uid="{00000000-0005-0000-0000-0000C6B40000}"/>
    <cellStyle name="Structure 3 5 3 2 6" xfId="46279" xr:uid="{00000000-0005-0000-0000-0000C7B40000}"/>
    <cellStyle name="Structure 3 5 3 3" xfId="46280" xr:uid="{00000000-0005-0000-0000-0000C8B40000}"/>
    <cellStyle name="Structure 3 5 3 4" xfId="46281" xr:uid="{00000000-0005-0000-0000-0000C9B40000}"/>
    <cellStyle name="Structure 3 5 3 5" xfId="46282" xr:uid="{00000000-0005-0000-0000-0000CAB40000}"/>
    <cellStyle name="Structure 3 5 3 6" xfId="46283" xr:uid="{00000000-0005-0000-0000-0000CBB40000}"/>
    <cellStyle name="Structure 3 5 4" xfId="46284" xr:uid="{00000000-0005-0000-0000-0000CCB40000}"/>
    <cellStyle name="Structure 3 5 4 2" xfId="46285" xr:uid="{00000000-0005-0000-0000-0000CDB40000}"/>
    <cellStyle name="Structure 3 5 4 3" xfId="46286" xr:uid="{00000000-0005-0000-0000-0000CEB40000}"/>
    <cellStyle name="Structure 3 5 4 4" xfId="46287" xr:uid="{00000000-0005-0000-0000-0000CFB40000}"/>
    <cellStyle name="Structure 3 5 4 5" xfId="46288" xr:uid="{00000000-0005-0000-0000-0000D0B40000}"/>
    <cellStyle name="Structure 3 5 4 6" xfId="46289" xr:uid="{00000000-0005-0000-0000-0000D1B40000}"/>
    <cellStyle name="Structure 3 5 5" xfId="46290" xr:uid="{00000000-0005-0000-0000-0000D2B40000}"/>
    <cellStyle name="Structure 3 5 6" xfId="46291" xr:uid="{00000000-0005-0000-0000-0000D3B40000}"/>
    <cellStyle name="Structure 3 5 7" xfId="46292" xr:uid="{00000000-0005-0000-0000-0000D4B40000}"/>
    <cellStyle name="Structure 3 5 8" xfId="46293" xr:uid="{00000000-0005-0000-0000-0000D5B40000}"/>
    <cellStyle name="Structure 3 6" xfId="46294" xr:uid="{00000000-0005-0000-0000-0000D6B40000}"/>
    <cellStyle name="Structure 3 6 2" xfId="46295" xr:uid="{00000000-0005-0000-0000-0000D7B40000}"/>
    <cellStyle name="Structure 3 6 2 2" xfId="46296" xr:uid="{00000000-0005-0000-0000-0000D8B40000}"/>
    <cellStyle name="Structure 3 6 2 2 2" xfId="46297" xr:uid="{00000000-0005-0000-0000-0000D9B40000}"/>
    <cellStyle name="Structure 3 6 2 2 3" xfId="46298" xr:uid="{00000000-0005-0000-0000-0000DAB40000}"/>
    <cellStyle name="Structure 3 6 2 2 4" xfId="46299" xr:uid="{00000000-0005-0000-0000-0000DBB40000}"/>
    <cellStyle name="Structure 3 6 2 2 5" xfId="46300" xr:uid="{00000000-0005-0000-0000-0000DCB40000}"/>
    <cellStyle name="Structure 3 6 2 2 6" xfId="46301" xr:uid="{00000000-0005-0000-0000-0000DDB40000}"/>
    <cellStyle name="Structure 3 6 2 3" xfId="46302" xr:uid="{00000000-0005-0000-0000-0000DEB40000}"/>
    <cellStyle name="Structure 3 6 2 4" xfId="46303" xr:uid="{00000000-0005-0000-0000-0000DFB40000}"/>
    <cellStyle name="Structure 3 6 2 5" xfId="46304" xr:uid="{00000000-0005-0000-0000-0000E0B40000}"/>
    <cellStyle name="Structure 3 6 2 6" xfId="46305" xr:uid="{00000000-0005-0000-0000-0000E1B40000}"/>
    <cellStyle name="Structure 3 6 3" xfId="46306" xr:uid="{00000000-0005-0000-0000-0000E2B40000}"/>
    <cellStyle name="Structure 3 6 3 2" xfId="46307" xr:uid="{00000000-0005-0000-0000-0000E3B40000}"/>
    <cellStyle name="Structure 3 6 3 2 2" xfId="46308" xr:uid="{00000000-0005-0000-0000-0000E4B40000}"/>
    <cellStyle name="Structure 3 6 3 2 3" xfId="46309" xr:uid="{00000000-0005-0000-0000-0000E5B40000}"/>
    <cellStyle name="Structure 3 6 3 2 4" xfId="46310" xr:uid="{00000000-0005-0000-0000-0000E6B40000}"/>
    <cellStyle name="Structure 3 6 3 2 5" xfId="46311" xr:uid="{00000000-0005-0000-0000-0000E7B40000}"/>
    <cellStyle name="Structure 3 6 3 2 6" xfId="46312" xr:uid="{00000000-0005-0000-0000-0000E8B40000}"/>
    <cellStyle name="Structure 3 6 3 3" xfId="46313" xr:uid="{00000000-0005-0000-0000-0000E9B40000}"/>
    <cellStyle name="Structure 3 6 3 4" xfId="46314" xr:uid="{00000000-0005-0000-0000-0000EAB40000}"/>
    <cellStyle name="Structure 3 6 3 5" xfId="46315" xr:uid="{00000000-0005-0000-0000-0000EBB40000}"/>
    <cellStyle name="Structure 3 6 3 6" xfId="46316" xr:uid="{00000000-0005-0000-0000-0000ECB40000}"/>
    <cellStyle name="Structure 3 6 4" xfId="46317" xr:uid="{00000000-0005-0000-0000-0000EDB40000}"/>
    <cellStyle name="Structure 3 6 4 2" xfId="46318" xr:uid="{00000000-0005-0000-0000-0000EEB40000}"/>
    <cellStyle name="Structure 3 6 4 3" xfId="46319" xr:uid="{00000000-0005-0000-0000-0000EFB40000}"/>
    <cellStyle name="Structure 3 6 4 4" xfId="46320" xr:uid="{00000000-0005-0000-0000-0000F0B40000}"/>
    <cellStyle name="Structure 3 6 4 5" xfId="46321" xr:uid="{00000000-0005-0000-0000-0000F1B40000}"/>
    <cellStyle name="Structure 3 6 4 6" xfId="46322" xr:uid="{00000000-0005-0000-0000-0000F2B40000}"/>
    <cellStyle name="Structure 3 6 5" xfId="46323" xr:uid="{00000000-0005-0000-0000-0000F3B40000}"/>
    <cellStyle name="Structure 3 6 6" xfId="46324" xr:uid="{00000000-0005-0000-0000-0000F4B40000}"/>
    <cellStyle name="Structure 3 6 7" xfId="46325" xr:uid="{00000000-0005-0000-0000-0000F5B40000}"/>
    <cellStyle name="Structure 3 6 8" xfId="46326" xr:uid="{00000000-0005-0000-0000-0000F6B40000}"/>
    <cellStyle name="Structure 3 7" xfId="46327" xr:uid="{00000000-0005-0000-0000-0000F7B40000}"/>
    <cellStyle name="Structure 3 7 2" xfId="46328" xr:uid="{00000000-0005-0000-0000-0000F8B40000}"/>
    <cellStyle name="Structure 3 7 2 2" xfId="46329" xr:uid="{00000000-0005-0000-0000-0000F9B40000}"/>
    <cellStyle name="Structure 3 7 2 3" xfId="46330" xr:uid="{00000000-0005-0000-0000-0000FAB40000}"/>
    <cellStyle name="Structure 3 7 2 4" xfId="46331" xr:uid="{00000000-0005-0000-0000-0000FBB40000}"/>
    <cellStyle name="Structure 3 7 2 5" xfId="46332" xr:uid="{00000000-0005-0000-0000-0000FCB40000}"/>
    <cellStyle name="Structure 3 7 2 6" xfId="46333" xr:uid="{00000000-0005-0000-0000-0000FDB40000}"/>
    <cellStyle name="Structure 3 7 3" xfId="46334" xr:uid="{00000000-0005-0000-0000-0000FEB40000}"/>
    <cellStyle name="Structure 3 7 4" xfId="46335" xr:uid="{00000000-0005-0000-0000-0000FFB40000}"/>
    <cellStyle name="Structure 3 7 5" xfId="46336" xr:uid="{00000000-0005-0000-0000-000000B50000}"/>
    <cellStyle name="Structure 3 7 6" xfId="46337" xr:uid="{00000000-0005-0000-0000-000001B50000}"/>
    <cellStyle name="Structure 3 8" xfId="46338" xr:uid="{00000000-0005-0000-0000-000002B50000}"/>
    <cellStyle name="Structure 3 8 2" xfId="46339" xr:uid="{00000000-0005-0000-0000-000003B50000}"/>
    <cellStyle name="Structure 3 8 2 2" xfId="46340" xr:uid="{00000000-0005-0000-0000-000004B50000}"/>
    <cellStyle name="Structure 3 8 2 3" xfId="46341" xr:uid="{00000000-0005-0000-0000-000005B50000}"/>
    <cellStyle name="Structure 3 8 2 4" xfId="46342" xr:uid="{00000000-0005-0000-0000-000006B50000}"/>
    <cellStyle name="Structure 3 8 2 5" xfId="46343" xr:uid="{00000000-0005-0000-0000-000007B50000}"/>
    <cellStyle name="Structure 3 8 2 6" xfId="46344" xr:uid="{00000000-0005-0000-0000-000008B50000}"/>
    <cellStyle name="Structure 3 8 3" xfId="46345" xr:uid="{00000000-0005-0000-0000-000009B50000}"/>
    <cellStyle name="Structure 3 8 4" xfId="46346" xr:uid="{00000000-0005-0000-0000-00000AB50000}"/>
    <cellStyle name="Structure 3 8 5" xfId="46347" xr:uid="{00000000-0005-0000-0000-00000BB50000}"/>
    <cellStyle name="Structure 3 8 6" xfId="46348" xr:uid="{00000000-0005-0000-0000-00000CB50000}"/>
    <cellStyle name="Structure 3 9" xfId="46349" xr:uid="{00000000-0005-0000-0000-00000DB50000}"/>
    <cellStyle name="Structure 3 9 2" xfId="46350" xr:uid="{00000000-0005-0000-0000-00000EB50000}"/>
    <cellStyle name="Structure 3 9 3" xfId="46351" xr:uid="{00000000-0005-0000-0000-00000FB50000}"/>
    <cellStyle name="Structure 3 9 4" xfId="46352" xr:uid="{00000000-0005-0000-0000-000010B50000}"/>
    <cellStyle name="Structure 3 9 5" xfId="46353" xr:uid="{00000000-0005-0000-0000-000011B50000}"/>
    <cellStyle name="Structure 3 9 6" xfId="46354" xr:uid="{00000000-0005-0000-0000-000012B50000}"/>
    <cellStyle name="Structure 4" xfId="46355" xr:uid="{00000000-0005-0000-0000-000013B50000}"/>
    <cellStyle name="Structure 4 2" xfId="46356" xr:uid="{00000000-0005-0000-0000-000014B50000}"/>
    <cellStyle name="Structure 4 2 2" xfId="46357" xr:uid="{00000000-0005-0000-0000-000015B50000}"/>
    <cellStyle name="Structure 4 2 2 2" xfId="46358" xr:uid="{00000000-0005-0000-0000-000016B50000}"/>
    <cellStyle name="Structure 4 2 2 3" xfId="46359" xr:uid="{00000000-0005-0000-0000-000017B50000}"/>
    <cellStyle name="Structure 4 2 2 4" xfId="46360" xr:uid="{00000000-0005-0000-0000-000018B50000}"/>
    <cellStyle name="Structure 4 2 2 5" xfId="46361" xr:uid="{00000000-0005-0000-0000-000019B50000}"/>
    <cellStyle name="Structure 4 2 2 6" xfId="46362" xr:uid="{00000000-0005-0000-0000-00001AB50000}"/>
    <cellStyle name="Structure 4 2 3" xfId="46363" xr:uid="{00000000-0005-0000-0000-00001BB50000}"/>
    <cellStyle name="Structure 4 2 4" xfId="46364" xr:uid="{00000000-0005-0000-0000-00001CB50000}"/>
    <cellStyle name="Structure 4 2 5" xfId="46365" xr:uid="{00000000-0005-0000-0000-00001DB50000}"/>
    <cellStyle name="Structure 4 2 6" xfId="46366" xr:uid="{00000000-0005-0000-0000-00001EB50000}"/>
    <cellStyle name="Structure 4 3" xfId="46367" xr:uid="{00000000-0005-0000-0000-00001FB50000}"/>
    <cellStyle name="Structure 4 3 2" xfId="46368" xr:uid="{00000000-0005-0000-0000-000020B50000}"/>
    <cellStyle name="Structure 4 3 2 2" xfId="46369" xr:uid="{00000000-0005-0000-0000-000021B50000}"/>
    <cellStyle name="Structure 4 3 2 3" xfId="46370" xr:uid="{00000000-0005-0000-0000-000022B50000}"/>
    <cellStyle name="Structure 4 3 2 4" xfId="46371" xr:uid="{00000000-0005-0000-0000-000023B50000}"/>
    <cellStyle name="Structure 4 3 2 5" xfId="46372" xr:uid="{00000000-0005-0000-0000-000024B50000}"/>
    <cellStyle name="Structure 4 3 2 6" xfId="46373" xr:uid="{00000000-0005-0000-0000-000025B50000}"/>
    <cellStyle name="Structure 4 3 3" xfId="46374" xr:uid="{00000000-0005-0000-0000-000026B50000}"/>
    <cellStyle name="Structure 4 3 4" xfId="46375" xr:uid="{00000000-0005-0000-0000-000027B50000}"/>
    <cellStyle name="Structure 4 3 5" xfId="46376" xr:uid="{00000000-0005-0000-0000-000028B50000}"/>
    <cellStyle name="Structure 4 3 6" xfId="46377" xr:uid="{00000000-0005-0000-0000-000029B50000}"/>
    <cellStyle name="Structure 4 4" xfId="46378" xr:uid="{00000000-0005-0000-0000-00002AB50000}"/>
    <cellStyle name="Structure 4 4 2" xfId="46379" xr:uid="{00000000-0005-0000-0000-00002BB50000}"/>
    <cellStyle name="Structure 4 4 3" xfId="46380" xr:uid="{00000000-0005-0000-0000-00002CB50000}"/>
    <cellStyle name="Structure 4 4 4" xfId="46381" xr:uid="{00000000-0005-0000-0000-00002DB50000}"/>
    <cellStyle name="Structure 4 4 5" xfId="46382" xr:uid="{00000000-0005-0000-0000-00002EB50000}"/>
    <cellStyle name="Structure 4 4 6" xfId="46383" xr:uid="{00000000-0005-0000-0000-00002FB50000}"/>
    <cellStyle name="Structure 4 5" xfId="46384" xr:uid="{00000000-0005-0000-0000-000030B50000}"/>
    <cellStyle name="Structure 4 6" xfId="46385" xr:uid="{00000000-0005-0000-0000-000031B50000}"/>
    <cellStyle name="Structure 4 7" xfId="46386" xr:uid="{00000000-0005-0000-0000-000032B50000}"/>
    <cellStyle name="Structure 4 8" xfId="46387" xr:uid="{00000000-0005-0000-0000-000033B50000}"/>
    <cellStyle name="Structure 5" xfId="46388" xr:uid="{00000000-0005-0000-0000-000034B50000}"/>
    <cellStyle name="Structure 5 2" xfId="46389" xr:uid="{00000000-0005-0000-0000-000035B50000}"/>
    <cellStyle name="Structure 5 2 2" xfId="46390" xr:uid="{00000000-0005-0000-0000-000036B50000}"/>
    <cellStyle name="Structure 5 2 2 2" xfId="46391" xr:uid="{00000000-0005-0000-0000-000037B50000}"/>
    <cellStyle name="Structure 5 2 2 3" xfId="46392" xr:uid="{00000000-0005-0000-0000-000038B50000}"/>
    <cellStyle name="Structure 5 2 2 4" xfId="46393" xr:uid="{00000000-0005-0000-0000-000039B50000}"/>
    <cellStyle name="Structure 5 2 2 5" xfId="46394" xr:uid="{00000000-0005-0000-0000-00003AB50000}"/>
    <cellStyle name="Structure 5 2 2 6" xfId="46395" xr:uid="{00000000-0005-0000-0000-00003BB50000}"/>
    <cellStyle name="Structure 5 2 3" xfId="46396" xr:uid="{00000000-0005-0000-0000-00003CB50000}"/>
    <cellStyle name="Structure 5 2 4" xfId="46397" xr:uid="{00000000-0005-0000-0000-00003DB50000}"/>
    <cellStyle name="Structure 5 2 5" xfId="46398" xr:uid="{00000000-0005-0000-0000-00003EB50000}"/>
    <cellStyle name="Structure 5 2 6" xfId="46399" xr:uid="{00000000-0005-0000-0000-00003FB50000}"/>
    <cellStyle name="Structure 5 3" xfId="46400" xr:uid="{00000000-0005-0000-0000-000040B50000}"/>
    <cellStyle name="Structure 5 3 2" xfId="46401" xr:uid="{00000000-0005-0000-0000-000041B50000}"/>
    <cellStyle name="Structure 5 3 2 2" xfId="46402" xr:uid="{00000000-0005-0000-0000-000042B50000}"/>
    <cellStyle name="Structure 5 3 2 3" xfId="46403" xr:uid="{00000000-0005-0000-0000-000043B50000}"/>
    <cellStyle name="Structure 5 3 2 4" xfId="46404" xr:uid="{00000000-0005-0000-0000-000044B50000}"/>
    <cellStyle name="Structure 5 3 2 5" xfId="46405" xr:uid="{00000000-0005-0000-0000-000045B50000}"/>
    <cellStyle name="Structure 5 3 2 6" xfId="46406" xr:uid="{00000000-0005-0000-0000-000046B50000}"/>
    <cellStyle name="Structure 5 3 3" xfId="46407" xr:uid="{00000000-0005-0000-0000-000047B50000}"/>
    <cellStyle name="Structure 5 3 4" xfId="46408" xr:uid="{00000000-0005-0000-0000-000048B50000}"/>
    <cellStyle name="Structure 5 3 5" xfId="46409" xr:uid="{00000000-0005-0000-0000-000049B50000}"/>
    <cellStyle name="Structure 5 3 6" xfId="46410" xr:uid="{00000000-0005-0000-0000-00004AB50000}"/>
    <cellStyle name="Structure 5 4" xfId="46411" xr:uid="{00000000-0005-0000-0000-00004BB50000}"/>
    <cellStyle name="Structure 5 4 2" xfId="46412" xr:uid="{00000000-0005-0000-0000-00004CB50000}"/>
    <cellStyle name="Structure 5 4 3" xfId="46413" xr:uid="{00000000-0005-0000-0000-00004DB50000}"/>
    <cellStyle name="Structure 5 4 4" xfId="46414" xr:uid="{00000000-0005-0000-0000-00004EB50000}"/>
    <cellStyle name="Structure 5 4 5" xfId="46415" xr:uid="{00000000-0005-0000-0000-00004FB50000}"/>
    <cellStyle name="Structure 5 4 6" xfId="46416" xr:uid="{00000000-0005-0000-0000-000050B50000}"/>
    <cellStyle name="Structure 5 5" xfId="46417" xr:uid="{00000000-0005-0000-0000-000051B50000}"/>
    <cellStyle name="Structure 5 6" xfId="46418" xr:uid="{00000000-0005-0000-0000-000052B50000}"/>
    <cellStyle name="Structure 5 7" xfId="46419" xr:uid="{00000000-0005-0000-0000-000053B50000}"/>
    <cellStyle name="Structure 5 8" xfId="46420" xr:uid="{00000000-0005-0000-0000-000054B50000}"/>
    <cellStyle name="Structure 6" xfId="46421" xr:uid="{00000000-0005-0000-0000-000055B50000}"/>
    <cellStyle name="Structure 6 2" xfId="46422" xr:uid="{00000000-0005-0000-0000-000056B50000}"/>
    <cellStyle name="Structure 6 2 2" xfId="46423" xr:uid="{00000000-0005-0000-0000-000057B50000}"/>
    <cellStyle name="Structure 6 2 2 2" xfId="46424" xr:uid="{00000000-0005-0000-0000-000058B50000}"/>
    <cellStyle name="Structure 6 2 2 3" xfId="46425" xr:uid="{00000000-0005-0000-0000-000059B50000}"/>
    <cellStyle name="Structure 6 2 2 4" xfId="46426" xr:uid="{00000000-0005-0000-0000-00005AB50000}"/>
    <cellStyle name="Structure 6 2 2 5" xfId="46427" xr:uid="{00000000-0005-0000-0000-00005BB50000}"/>
    <cellStyle name="Structure 6 2 2 6" xfId="46428" xr:uid="{00000000-0005-0000-0000-00005CB50000}"/>
    <cellStyle name="Structure 6 2 3" xfId="46429" xr:uid="{00000000-0005-0000-0000-00005DB50000}"/>
    <cellStyle name="Structure 6 2 4" xfId="46430" xr:uid="{00000000-0005-0000-0000-00005EB50000}"/>
    <cellStyle name="Structure 6 2 5" xfId="46431" xr:uid="{00000000-0005-0000-0000-00005FB50000}"/>
    <cellStyle name="Structure 6 2 6" xfId="46432" xr:uid="{00000000-0005-0000-0000-000060B50000}"/>
    <cellStyle name="Structure 6 3" xfId="46433" xr:uid="{00000000-0005-0000-0000-000061B50000}"/>
    <cellStyle name="Structure 6 3 2" xfId="46434" xr:uid="{00000000-0005-0000-0000-000062B50000}"/>
    <cellStyle name="Structure 6 3 2 2" xfId="46435" xr:uid="{00000000-0005-0000-0000-000063B50000}"/>
    <cellStyle name="Structure 6 3 2 3" xfId="46436" xr:uid="{00000000-0005-0000-0000-000064B50000}"/>
    <cellStyle name="Structure 6 3 2 4" xfId="46437" xr:uid="{00000000-0005-0000-0000-000065B50000}"/>
    <cellStyle name="Structure 6 3 2 5" xfId="46438" xr:uid="{00000000-0005-0000-0000-000066B50000}"/>
    <cellStyle name="Structure 6 3 2 6" xfId="46439" xr:uid="{00000000-0005-0000-0000-000067B50000}"/>
    <cellStyle name="Structure 6 3 3" xfId="46440" xr:uid="{00000000-0005-0000-0000-000068B50000}"/>
    <cellStyle name="Structure 6 3 4" xfId="46441" xr:uid="{00000000-0005-0000-0000-000069B50000}"/>
    <cellStyle name="Structure 6 3 5" xfId="46442" xr:uid="{00000000-0005-0000-0000-00006AB50000}"/>
    <cellStyle name="Structure 6 3 6" xfId="46443" xr:uid="{00000000-0005-0000-0000-00006BB50000}"/>
    <cellStyle name="Structure 6 4" xfId="46444" xr:uid="{00000000-0005-0000-0000-00006CB50000}"/>
    <cellStyle name="Structure 6 4 2" xfId="46445" xr:uid="{00000000-0005-0000-0000-00006DB50000}"/>
    <cellStyle name="Structure 6 4 3" xfId="46446" xr:uid="{00000000-0005-0000-0000-00006EB50000}"/>
    <cellStyle name="Structure 6 4 4" xfId="46447" xr:uid="{00000000-0005-0000-0000-00006FB50000}"/>
    <cellStyle name="Structure 6 4 5" xfId="46448" xr:uid="{00000000-0005-0000-0000-000070B50000}"/>
    <cellStyle name="Structure 6 4 6" xfId="46449" xr:uid="{00000000-0005-0000-0000-000071B50000}"/>
    <cellStyle name="Structure 6 5" xfId="46450" xr:uid="{00000000-0005-0000-0000-000072B50000}"/>
    <cellStyle name="Structure 6 6" xfId="46451" xr:uid="{00000000-0005-0000-0000-000073B50000}"/>
    <cellStyle name="Structure 6 7" xfId="46452" xr:uid="{00000000-0005-0000-0000-000074B50000}"/>
    <cellStyle name="Structure 6 8" xfId="46453" xr:uid="{00000000-0005-0000-0000-000075B50000}"/>
    <cellStyle name="Structure 7" xfId="46454" xr:uid="{00000000-0005-0000-0000-000076B50000}"/>
    <cellStyle name="Structure 7 2" xfId="46455" xr:uid="{00000000-0005-0000-0000-000077B50000}"/>
    <cellStyle name="Structure 7 2 2" xfId="46456" xr:uid="{00000000-0005-0000-0000-000078B50000}"/>
    <cellStyle name="Structure 7 2 3" xfId="46457" xr:uid="{00000000-0005-0000-0000-000079B50000}"/>
    <cellStyle name="Structure 7 2 4" xfId="46458" xr:uid="{00000000-0005-0000-0000-00007AB50000}"/>
    <cellStyle name="Structure 7 2 5" xfId="46459" xr:uid="{00000000-0005-0000-0000-00007BB50000}"/>
    <cellStyle name="Structure 7 2 6" xfId="46460" xr:uid="{00000000-0005-0000-0000-00007CB50000}"/>
    <cellStyle name="Structure 7 3" xfId="46461" xr:uid="{00000000-0005-0000-0000-00007DB50000}"/>
    <cellStyle name="Structure 7 4" xfId="46462" xr:uid="{00000000-0005-0000-0000-00007EB50000}"/>
    <cellStyle name="Structure 7 5" xfId="46463" xr:uid="{00000000-0005-0000-0000-00007FB50000}"/>
    <cellStyle name="Structure 7 6" xfId="46464" xr:uid="{00000000-0005-0000-0000-000080B50000}"/>
    <cellStyle name="Structure 8" xfId="46465" xr:uid="{00000000-0005-0000-0000-000081B50000}"/>
    <cellStyle name="Structure 8 2" xfId="46466" xr:uid="{00000000-0005-0000-0000-000082B50000}"/>
    <cellStyle name="Structure 8 2 2" xfId="46467" xr:uid="{00000000-0005-0000-0000-000083B50000}"/>
    <cellStyle name="Structure 8 2 3" xfId="46468" xr:uid="{00000000-0005-0000-0000-000084B50000}"/>
    <cellStyle name="Structure 8 2 4" xfId="46469" xr:uid="{00000000-0005-0000-0000-000085B50000}"/>
    <cellStyle name="Structure 8 2 5" xfId="46470" xr:uid="{00000000-0005-0000-0000-000086B50000}"/>
    <cellStyle name="Structure 8 2 6" xfId="46471" xr:uid="{00000000-0005-0000-0000-000087B50000}"/>
    <cellStyle name="Structure 8 3" xfId="46472" xr:uid="{00000000-0005-0000-0000-000088B50000}"/>
    <cellStyle name="Structure 8 4" xfId="46473" xr:uid="{00000000-0005-0000-0000-000089B50000}"/>
    <cellStyle name="Structure 8 5" xfId="46474" xr:uid="{00000000-0005-0000-0000-00008AB50000}"/>
    <cellStyle name="Structure 8 6" xfId="46475" xr:uid="{00000000-0005-0000-0000-00008BB50000}"/>
    <cellStyle name="Structure 9" xfId="46476" xr:uid="{00000000-0005-0000-0000-00008CB50000}"/>
    <cellStyle name="Structure 9 2" xfId="46477" xr:uid="{00000000-0005-0000-0000-00008DB50000}"/>
    <cellStyle name="Structure 9 3" xfId="46478" xr:uid="{00000000-0005-0000-0000-00008EB50000}"/>
    <cellStyle name="Structure 9 4" xfId="46479" xr:uid="{00000000-0005-0000-0000-00008FB50000}"/>
    <cellStyle name="Structure 9 5" xfId="46480" xr:uid="{00000000-0005-0000-0000-000090B50000}"/>
    <cellStyle name="Structure 9 6" xfId="46481" xr:uid="{00000000-0005-0000-0000-000091B50000}"/>
    <cellStyle name="style" xfId="46482" xr:uid="{00000000-0005-0000-0000-000092B50000}"/>
    <cellStyle name="Style 1" xfId="46483" xr:uid="{00000000-0005-0000-0000-000093B50000}"/>
    <cellStyle name="Style 1 10" xfId="46484" xr:uid="{00000000-0005-0000-0000-000094B50000}"/>
    <cellStyle name="Style 1 10 2" xfId="46485" xr:uid="{00000000-0005-0000-0000-000095B50000}"/>
    <cellStyle name="Style 1 11" xfId="46486" xr:uid="{00000000-0005-0000-0000-000096B50000}"/>
    <cellStyle name="Style 1 2" xfId="46487" xr:uid="{00000000-0005-0000-0000-000097B50000}"/>
    <cellStyle name="Style 1 2 2" xfId="46488" xr:uid="{00000000-0005-0000-0000-000098B50000}"/>
    <cellStyle name="Style 1 3" xfId="46489" xr:uid="{00000000-0005-0000-0000-000099B50000}"/>
    <cellStyle name="Style 1 3 2" xfId="46490" xr:uid="{00000000-0005-0000-0000-00009AB50000}"/>
    <cellStyle name="Style 1 4" xfId="46491" xr:uid="{00000000-0005-0000-0000-00009BB50000}"/>
    <cellStyle name="Style 1 4 2" xfId="46492" xr:uid="{00000000-0005-0000-0000-00009CB50000}"/>
    <cellStyle name="Style 1 5" xfId="46493" xr:uid="{00000000-0005-0000-0000-00009DB50000}"/>
    <cellStyle name="Style 1 5 2" xfId="46494" xr:uid="{00000000-0005-0000-0000-00009EB50000}"/>
    <cellStyle name="Style 1 6" xfId="46495" xr:uid="{00000000-0005-0000-0000-00009FB50000}"/>
    <cellStyle name="Style 1 6 2" xfId="46496" xr:uid="{00000000-0005-0000-0000-0000A0B50000}"/>
    <cellStyle name="Style 1 7" xfId="46497" xr:uid="{00000000-0005-0000-0000-0000A1B50000}"/>
    <cellStyle name="Style 1 7 2" xfId="46498" xr:uid="{00000000-0005-0000-0000-0000A2B50000}"/>
    <cellStyle name="Style 1 8" xfId="46499" xr:uid="{00000000-0005-0000-0000-0000A3B50000}"/>
    <cellStyle name="Style 1 8 2" xfId="46500" xr:uid="{00000000-0005-0000-0000-0000A4B50000}"/>
    <cellStyle name="Style 1 9" xfId="46501" xr:uid="{00000000-0005-0000-0000-0000A5B50000}"/>
    <cellStyle name="Style 1 9 2" xfId="46502" xr:uid="{00000000-0005-0000-0000-0000A6B50000}"/>
    <cellStyle name="Style 2" xfId="46503" xr:uid="{00000000-0005-0000-0000-0000A7B50000}"/>
    <cellStyle name="Style 3" xfId="46504" xr:uid="{00000000-0005-0000-0000-0000A8B50000}"/>
    <cellStyle name="Style 4" xfId="46505" xr:uid="{00000000-0005-0000-0000-0000A9B50000}"/>
    <cellStyle name="Style 5" xfId="46506" xr:uid="{00000000-0005-0000-0000-0000AAB50000}"/>
    <cellStyle name="Style 6" xfId="46507" xr:uid="{00000000-0005-0000-0000-0000ABB50000}"/>
    <cellStyle name="style1" xfId="46508" xr:uid="{00000000-0005-0000-0000-0000ACB50000}"/>
    <cellStyle name="style2" xfId="46509" xr:uid="{00000000-0005-0000-0000-0000ADB50000}"/>
    <cellStyle name="SubRoutine" xfId="46510" xr:uid="{00000000-0005-0000-0000-0000AEB50000}"/>
    <cellStyle name="Subtotal" xfId="46511" xr:uid="{00000000-0005-0000-0000-0000AFB50000}"/>
    <cellStyle name="Summe" xfId="46512" xr:uid="{00000000-0005-0000-0000-0000B0B50000}"/>
    <cellStyle name="Table Col Head" xfId="46513" xr:uid="{00000000-0005-0000-0000-0000B1B50000}"/>
    <cellStyle name="Table Sub Head" xfId="46514" xr:uid="{00000000-0005-0000-0000-0000B2B50000}"/>
    <cellStyle name="Table Title" xfId="46515" xr:uid="{00000000-0005-0000-0000-0000B3B50000}"/>
    <cellStyle name="Table Units" xfId="46516" xr:uid="{00000000-0005-0000-0000-0000B4B50000}"/>
    <cellStyle name="TableHead" xfId="46517" xr:uid="{00000000-0005-0000-0000-0000B5B50000}"/>
    <cellStyle name="Text" xfId="46518" xr:uid="{00000000-0005-0000-0000-0000B6B50000}"/>
    <cellStyle name="Text 10" xfId="46519" xr:uid="{00000000-0005-0000-0000-0000B7B50000}"/>
    <cellStyle name="Text 11" xfId="46520" xr:uid="{00000000-0005-0000-0000-0000B8B50000}"/>
    <cellStyle name="Text 12" xfId="46521" xr:uid="{00000000-0005-0000-0000-0000B9B50000}"/>
    <cellStyle name="Text 13" xfId="46522" xr:uid="{00000000-0005-0000-0000-0000BAB50000}"/>
    <cellStyle name="Text 14" xfId="46523" xr:uid="{00000000-0005-0000-0000-0000BBB50000}"/>
    <cellStyle name="Text 2" xfId="46524" xr:uid="{00000000-0005-0000-0000-0000BCB50000}"/>
    <cellStyle name="Text 2 10" xfId="46525" xr:uid="{00000000-0005-0000-0000-0000BDB50000}"/>
    <cellStyle name="Text 2 10 2" xfId="46526" xr:uid="{00000000-0005-0000-0000-0000BEB50000}"/>
    <cellStyle name="Text 2 10 3" xfId="46527" xr:uid="{00000000-0005-0000-0000-0000BFB50000}"/>
    <cellStyle name="Text 2 10 4" xfId="46528" xr:uid="{00000000-0005-0000-0000-0000C0B50000}"/>
    <cellStyle name="Text 2 10 5" xfId="46529" xr:uid="{00000000-0005-0000-0000-0000C1B50000}"/>
    <cellStyle name="Text 2 10 6" xfId="46530" xr:uid="{00000000-0005-0000-0000-0000C2B50000}"/>
    <cellStyle name="Text 2 11" xfId="46531" xr:uid="{00000000-0005-0000-0000-0000C3B50000}"/>
    <cellStyle name="Text 2 12" xfId="46532" xr:uid="{00000000-0005-0000-0000-0000C4B50000}"/>
    <cellStyle name="Text 2 13" xfId="46533" xr:uid="{00000000-0005-0000-0000-0000C5B50000}"/>
    <cellStyle name="Text 2 14" xfId="46534" xr:uid="{00000000-0005-0000-0000-0000C6B50000}"/>
    <cellStyle name="Text 2 2" xfId="46535" xr:uid="{00000000-0005-0000-0000-0000C7B50000}"/>
    <cellStyle name="Text 2 2 10" xfId="46536" xr:uid="{00000000-0005-0000-0000-0000C8B50000}"/>
    <cellStyle name="Text 2 2 11" xfId="46537" xr:uid="{00000000-0005-0000-0000-0000C9B50000}"/>
    <cellStyle name="Text 2 2 12" xfId="46538" xr:uid="{00000000-0005-0000-0000-0000CAB50000}"/>
    <cellStyle name="Text 2 2 13" xfId="46539" xr:uid="{00000000-0005-0000-0000-0000CBB50000}"/>
    <cellStyle name="Text 2 2 2" xfId="46540" xr:uid="{00000000-0005-0000-0000-0000CCB50000}"/>
    <cellStyle name="Text 2 2 2 2" xfId="46541" xr:uid="{00000000-0005-0000-0000-0000CDB50000}"/>
    <cellStyle name="Text 2 2 2 2 2" xfId="46542" xr:uid="{00000000-0005-0000-0000-0000CEB50000}"/>
    <cellStyle name="Text 2 2 2 2 2 2" xfId="46543" xr:uid="{00000000-0005-0000-0000-0000CFB50000}"/>
    <cellStyle name="Text 2 2 2 2 2 3" xfId="46544" xr:uid="{00000000-0005-0000-0000-0000D0B50000}"/>
    <cellStyle name="Text 2 2 2 2 2 4" xfId="46545" xr:uid="{00000000-0005-0000-0000-0000D1B50000}"/>
    <cellStyle name="Text 2 2 2 2 2 5" xfId="46546" xr:uid="{00000000-0005-0000-0000-0000D2B50000}"/>
    <cellStyle name="Text 2 2 2 2 2 6" xfId="46547" xr:uid="{00000000-0005-0000-0000-0000D3B50000}"/>
    <cellStyle name="Text 2 2 2 2 3" xfId="46548" xr:uid="{00000000-0005-0000-0000-0000D4B50000}"/>
    <cellStyle name="Text 2 2 2 2 4" xfId="46549" xr:uid="{00000000-0005-0000-0000-0000D5B50000}"/>
    <cellStyle name="Text 2 2 2 2 5" xfId="46550" xr:uid="{00000000-0005-0000-0000-0000D6B50000}"/>
    <cellStyle name="Text 2 2 2 2 6" xfId="46551" xr:uid="{00000000-0005-0000-0000-0000D7B50000}"/>
    <cellStyle name="Text 2 2 2 3" xfId="46552" xr:uid="{00000000-0005-0000-0000-0000D8B50000}"/>
    <cellStyle name="Text 2 2 2 3 2" xfId="46553" xr:uid="{00000000-0005-0000-0000-0000D9B50000}"/>
    <cellStyle name="Text 2 2 2 3 2 2" xfId="46554" xr:uid="{00000000-0005-0000-0000-0000DAB50000}"/>
    <cellStyle name="Text 2 2 2 3 2 3" xfId="46555" xr:uid="{00000000-0005-0000-0000-0000DBB50000}"/>
    <cellStyle name="Text 2 2 2 3 2 4" xfId="46556" xr:uid="{00000000-0005-0000-0000-0000DCB50000}"/>
    <cellStyle name="Text 2 2 2 3 2 5" xfId="46557" xr:uid="{00000000-0005-0000-0000-0000DDB50000}"/>
    <cellStyle name="Text 2 2 2 3 2 6" xfId="46558" xr:uid="{00000000-0005-0000-0000-0000DEB50000}"/>
    <cellStyle name="Text 2 2 2 3 3" xfId="46559" xr:uid="{00000000-0005-0000-0000-0000DFB50000}"/>
    <cellStyle name="Text 2 2 2 3 4" xfId="46560" xr:uid="{00000000-0005-0000-0000-0000E0B50000}"/>
    <cellStyle name="Text 2 2 2 3 5" xfId="46561" xr:uid="{00000000-0005-0000-0000-0000E1B50000}"/>
    <cellStyle name="Text 2 2 2 3 6" xfId="46562" xr:uid="{00000000-0005-0000-0000-0000E2B50000}"/>
    <cellStyle name="Text 2 2 2 4" xfId="46563" xr:uid="{00000000-0005-0000-0000-0000E3B50000}"/>
    <cellStyle name="Text 2 2 2 4 2" xfId="46564" xr:uid="{00000000-0005-0000-0000-0000E4B50000}"/>
    <cellStyle name="Text 2 2 2 4 3" xfId="46565" xr:uid="{00000000-0005-0000-0000-0000E5B50000}"/>
    <cellStyle name="Text 2 2 2 4 4" xfId="46566" xr:uid="{00000000-0005-0000-0000-0000E6B50000}"/>
    <cellStyle name="Text 2 2 2 4 5" xfId="46567" xr:uid="{00000000-0005-0000-0000-0000E7B50000}"/>
    <cellStyle name="Text 2 2 2 4 6" xfId="46568" xr:uid="{00000000-0005-0000-0000-0000E8B50000}"/>
    <cellStyle name="Text 2 2 2 5" xfId="46569" xr:uid="{00000000-0005-0000-0000-0000E9B50000}"/>
    <cellStyle name="Text 2 2 2 6" xfId="46570" xr:uid="{00000000-0005-0000-0000-0000EAB50000}"/>
    <cellStyle name="Text 2 2 2 7" xfId="46571" xr:uid="{00000000-0005-0000-0000-0000EBB50000}"/>
    <cellStyle name="Text 2 2 2 8" xfId="46572" xr:uid="{00000000-0005-0000-0000-0000ECB50000}"/>
    <cellStyle name="Text 2 2 3" xfId="46573" xr:uid="{00000000-0005-0000-0000-0000EDB50000}"/>
    <cellStyle name="Text 2 2 3 2" xfId="46574" xr:uid="{00000000-0005-0000-0000-0000EEB50000}"/>
    <cellStyle name="Text 2 2 3 2 2" xfId="46575" xr:uid="{00000000-0005-0000-0000-0000EFB50000}"/>
    <cellStyle name="Text 2 2 3 2 2 2" xfId="46576" xr:uid="{00000000-0005-0000-0000-0000F0B50000}"/>
    <cellStyle name="Text 2 2 3 2 2 3" xfId="46577" xr:uid="{00000000-0005-0000-0000-0000F1B50000}"/>
    <cellStyle name="Text 2 2 3 2 2 4" xfId="46578" xr:uid="{00000000-0005-0000-0000-0000F2B50000}"/>
    <cellStyle name="Text 2 2 3 2 2 5" xfId="46579" xr:uid="{00000000-0005-0000-0000-0000F3B50000}"/>
    <cellStyle name="Text 2 2 3 2 2 6" xfId="46580" xr:uid="{00000000-0005-0000-0000-0000F4B50000}"/>
    <cellStyle name="Text 2 2 3 2 3" xfId="46581" xr:uid="{00000000-0005-0000-0000-0000F5B50000}"/>
    <cellStyle name="Text 2 2 3 2 4" xfId="46582" xr:uid="{00000000-0005-0000-0000-0000F6B50000}"/>
    <cellStyle name="Text 2 2 3 2 5" xfId="46583" xr:uid="{00000000-0005-0000-0000-0000F7B50000}"/>
    <cellStyle name="Text 2 2 3 2 6" xfId="46584" xr:uid="{00000000-0005-0000-0000-0000F8B50000}"/>
    <cellStyle name="Text 2 2 3 3" xfId="46585" xr:uid="{00000000-0005-0000-0000-0000F9B50000}"/>
    <cellStyle name="Text 2 2 3 3 2" xfId="46586" xr:uid="{00000000-0005-0000-0000-0000FAB50000}"/>
    <cellStyle name="Text 2 2 3 3 2 2" xfId="46587" xr:uid="{00000000-0005-0000-0000-0000FBB50000}"/>
    <cellStyle name="Text 2 2 3 3 2 3" xfId="46588" xr:uid="{00000000-0005-0000-0000-0000FCB50000}"/>
    <cellStyle name="Text 2 2 3 3 2 4" xfId="46589" xr:uid="{00000000-0005-0000-0000-0000FDB50000}"/>
    <cellStyle name="Text 2 2 3 3 2 5" xfId="46590" xr:uid="{00000000-0005-0000-0000-0000FEB50000}"/>
    <cellStyle name="Text 2 2 3 3 2 6" xfId="46591" xr:uid="{00000000-0005-0000-0000-0000FFB50000}"/>
    <cellStyle name="Text 2 2 3 3 3" xfId="46592" xr:uid="{00000000-0005-0000-0000-000000B60000}"/>
    <cellStyle name="Text 2 2 3 3 4" xfId="46593" xr:uid="{00000000-0005-0000-0000-000001B60000}"/>
    <cellStyle name="Text 2 2 3 3 5" xfId="46594" xr:uid="{00000000-0005-0000-0000-000002B60000}"/>
    <cellStyle name="Text 2 2 3 3 6" xfId="46595" xr:uid="{00000000-0005-0000-0000-000003B60000}"/>
    <cellStyle name="Text 2 2 3 4" xfId="46596" xr:uid="{00000000-0005-0000-0000-000004B60000}"/>
    <cellStyle name="Text 2 2 3 4 2" xfId="46597" xr:uid="{00000000-0005-0000-0000-000005B60000}"/>
    <cellStyle name="Text 2 2 3 4 3" xfId="46598" xr:uid="{00000000-0005-0000-0000-000006B60000}"/>
    <cellStyle name="Text 2 2 3 4 4" xfId="46599" xr:uid="{00000000-0005-0000-0000-000007B60000}"/>
    <cellStyle name="Text 2 2 3 4 5" xfId="46600" xr:uid="{00000000-0005-0000-0000-000008B60000}"/>
    <cellStyle name="Text 2 2 3 4 6" xfId="46601" xr:uid="{00000000-0005-0000-0000-000009B60000}"/>
    <cellStyle name="Text 2 2 3 5" xfId="46602" xr:uid="{00000000-0005-0000-0000-00000AB60000}"/>
    <cellStyle name="Text 2 2 3 6" xfId="46603" xr:uid="{00000000-0005-0000-0000-00000BB60000}"/>
    <cellStyle name="Text 2 2 3 7" xfId="46604" xr:uid="{00000000-0005-0000-0000-00000CB60000}"/>
    <cellStyle name="Text 2 2 3 8" xfId="46605" xr:uid="{00000000-0005-0000-0000-00000DB60000}"/>
    <cellStyle name="Text 2 2 4" xfId="46606" xr:uid="{00000000-0005-0000-0000-00000EB60000}"/>
    <cellStyle name="Text 2 2 4 2" xfId="46607" xr:uid="{00000000-0005-0000-0000-00000FB60000}"/>
    <cellStyle name="Text 2 2 4 2 2" xfId="46608" xr:uid="{00000000-0005-0000-0000-000010B60000}"/>
    <cellStyle name="Text 2 2 4 2 2 2" xfId="46609" xr:uid="{00000000-0005-0000-0000-000011B60000}"/>
    <cellStyle name="Text 2 2 4 2 2 3" xfId="46610" xr:uid="{00000000-0005-0000-0000-000012B60000}"/>
    <cellStyle name="Text 2 2 4 2 2 4" xfId="46611" xr:uid="{00000000-0005-0000-0000-000013B60000}"/>
    <cellStyle name="Text 2 2 4 2 2 5" xfId="46612" xr:uid="{00000000-0005-0000-0000-000014B60000}"/>
    <cellStyle name="Text 2 2 4 2 2 6" xfId="46613" xr:uid="{00000000-0005-0000-0000-000015B60000}"/>
    <cellStyle name="Text 2 2 4 2 3" xfId="46614" xr:uid="{00000000-0005-0000-0000-000016B60000}"/>
    <cellStyle name="Text 2 2 4 2 4" xfId="46615" xr:uid="{00000000-0005-0000-0000-000017B60000}"/>
    <cellStyle name="Text 2 2 4 2 5" xfId="46616" xr:uid="{00000000-0005-0000-0000-000018B60000}"/>
    <cellStyle name="Text 2 2 4 2 6" xfId="46617" xr:uid="{00000000-0005-0000-0000-000019B60000}"/>
    <cellStyle name="Text 2 2 4 3" xfId="46618" xr:uid="{00000000-0005-0000-0000-00001AB60000}"/>
    <cellStyle name="Text 2 2 4 3 2" xfId="46619" xr:uid="{00000000-0005-0000-0000-00001BB60000}"/>
    <cellStyle name="Text 2 2 4 3 2 2" xfId="46620" xr:uid="{00000000-0005-0000-0000-00001CB60000}"/>
    <cellStyle name="Text 2 2 4 3 2 3" xfId="46621" xr:uid="{00000000-0005-0000-0000-00001DB60000}"/>
    <cellStyle name="Text 2 2 4 3 2 4" xfId="46622" xr:uid="{00000000-0005-0000-0000-00001EB60000}"/>
    <cellStyle name="Text 2 2 4 3 2 5" xfId="46623" xr:uid="{00000000-0005-0000-0000-00001FB60000}"/>
    <cellStyle name="Text 2 2 4 3 2 6" xfId="46624" xr:uid="{00000000-0005-0000-0000-000020B60000}"/>
    <cellStyle name="Text 2 2 4 3 3" xfId="46625" xr:uid="{00000000-0005-0000-0000-000021B60000}"/>
    <cellStyle name="Text 2 2 4 3 4" xfId="46626" xr:uid="{00000000-0005-0000-0000-000022B60000}"/>
    <cellStyle name="Text 2 2 4 3 5" xfId="46627" xr:uid="{00000000-0005-0000-0000-000023B60000}"/>
    <cellStyle name="Text 2 2 4 3 6" xfId="46628" xr:uid="{00000000-0005-0000-0000-000024B60000}"/>
    <cellStyle name="Text 2 2 4 4" xfId="46629" xr:uid="{00000000-0005-0000-0000-000025B60000}"/>
    <cellStyle name="Text 2 2 4 4 2" xfId="46630" xr:uid="{00000000-0005-0000-0000-000026B60000}"/>
    <cellStyle name="Text 2 2 4 4 3" xfId="46631" xr:uid="{00000000-0005-0000-0000-000027B60000}"/>
    <cellStyle name="Text 2 2 4 4 4" xfId="46632" xr:uid="{00000000-0005-0000-0000-000028B60000}"/>
    <cellStyle name="Text 2 2 4 4 5" xfId="46633" xr:uid="{00000000-0005-0000-0000-000029B60000}"/>
    <cellStyle name="Text 2 2 4 4 6" xfId="46634" xr:uid="{00000000-0005-0000-0000-00002AB60000}"/>
    <cellStyle name="Text 2 2 4 5" xfId="46635" xr:uid="{00000000-0005-0000-0000-00002BB60000}"/>
    <cellStyle name="Text 2 2 4 6" xfId="46636" xr:uid="{00000000-0005-0000-0000-00002CB60000}"/>
    <cellStyle name="Text 2 2 4 7" xfId="46637" xr:uid="{00000000-0005-0000-0000-00002DB60000}"/>
    <cellStyle name="Text 2 2 4 8" xfId="46638" xr:uid="{00000000-0005-0000-0000-00002EB60000}"/>
    <cellStyle name="Text 2 2 5" xfId="46639" xr:uid="{00000000-0005-0000-0000-00002FB60000}"/>
    <cellStyle name="Text 2 2 5 2" xfId="46640" xr:uid="{00000000-0005-0000-0000-000030B60000}"/>
    <cellStyle name="Text 2 2 5 2 2" xfId="46641" xr:uid="{00000000-0005-0000-0000-000031B60000}"/>
    <cellStyle name="Text 2 2 5 2 2 2" xfId="46642" xr:uid="{00000000-0005-0000-0000-000032B60000}"/>
    <cellStyle name="Text 2 2 5 2 2 3" xfId="46643" xr:uid="{00000000-0005-0000-0000-000033B60000}"/>
    <cellStyle name="Text 2 2 5 2 2 4" xfId="46644" xr:uid="{00000000-0005-0000-0000-000034B60000}"/>
    <cellStyle name="Text 2 2 5 2 2 5" xfId="46645" xr:uid="{00000000-0005-0000-0000-000035B60000}"/>
    <cellStyle name="Text 2 2 5 2 2 6" xfId="46646" xr:uid="{00000000-0005-0000-0000-000036B60000}"/>
    <cellStyle name="Text 2 2 5 2 3" xfId="46647" xr:uid="{00000000-0005-0000-0000-000037B60000}"/>
    <cellStyle name="Text 2 2 5 2 4" xfId="46648" xr:uid="{00000000-0005-0000-0000-000038B60000}"/>
    <cellStyle name="Text 2 2 5 2 5" xfId="46649" xr:uid="{00000000-0005-0000-0000-000039B60000}"/>
    <cellStyle name="Text 2 2 5 2 6" xfId="46650" xr:uid="{00000000-0005-0000-0000-00003AB60000}"/>
    <cellStyle name="Text 2 2 5 3" xfId="46651" xr:uid="{00000000-0005-0000-0000-00003BB60000}"/>
    <cellStyle name="Text 2 2 5 3 2" xfId="46652" xr:uid="{00000000-0005-0000-0000-00003CB60000}"/>
    <cellStyle name="Text 2 2 5 3 2 2" xfId="46653" xr:uid="{00000000-0005-0000-0000-00003DB60000}"/>
    <cellStyle name="Text 2 2 5 3 2 3" xfId="46654" xr:uid="{00000000-0005-0000-0000-00003EB60000}"/>
    <cellStyle name="Text 2 2 5 3 2 4" xfId="46655" xr:uid="{00000000-0005-0000-0000-00003FB60000}"/>
    <cellStyle name="Text 2 2 5 3 2 5" xfId="46656" xr:uid="{00000000-0005-0000-0000-000040B60000}"/>
    <cellStyle name="Text 2 2 5 3 2 6" xfId="46657" xr:uid="{00000000-0005-0000-0000-000041B60000}"/>
    <cellStyle name="Text 2 2 5 3 3" xfId="46658" xr:uid="{00000000-0005-0000-0000-000042B60000}"/>
    <cellStyle name="Text 2 2 5 3 4" xfId="46659" xr:uid="{00000000-0005-0000-0000-000043B60000}"/>
    <cellStyle name="Text 2 2 5 3 5" xfId="46660" xr:uid="{00000000-0005-0000-0000-000044B60000}"/>
    <cellStyle name="Text 2 2 5 3 6" xfId="46661" xr:uid="{00000000-0005-0000-0000-000045B60000}"/>
    <cellStyle name="Text 2 2 5 4" xfId="46662" xr:uid="{00000000-0005-0000-0000-000046B60000}"/>
    <cellStyle name="Text 2 2 5 4 2" xfId="46663" xr:uid="{00000000-0005-0000-0000-000047B60000}"/>
    <cellStyle name="Text 2 2 5 4 3" xfId="46664" xr:uid="{00000000-0005-0000-0000-000048B60000}"/>
    <cellStyle name="Text 2 2 5 4 4" xfId="46665" xr:uid="{00000000-0005-0000-0000-000049B60000}"/>
    <cellStyle name="Text 2 2 5 4 5" xfId="46666" xr:uid="{00000000-0005-0000-0000-00004AB60000}"/>
    <cellStyle name="Text 2 2 5 4 6" xfId="46667" xr:uid="{00000000-0005-0000-0000-00004BB60000}"/>
    <cellStyle name="Text 2 2 5 5" xfId="46668" xr:uid="{00000000-0005-0000-0000-00004CB60000}"/>
    <cellStyle name="Text 2 2 5 6" xfId="46669" xr:uid="{00000000-0005-0000-0000-00004DB60000}"/>
    <cellStyle name="Text 2 2 5 7" xfId="46670" xr:uid="{00000000-0005-0000-0000-00004EB60000}"/>
    <cellStyle name="Text 2 2 5 8" xfId="46671" xr:uid="{00000000-0005-0000-0000-00004FB60000}"/>
    <cellStyle name="Text 2 2 6" xfId="46672" xr:uid="{00000000-0005-0000-0000-000050B60000}"/>
    <cellStyle name="Text 2 2 6 2" xfId="46673" xr:uid="{00000000-0005-0000-0000-000051B60000}"/>
    <cellStyle name="Text 2 2 6 2 2" xfId="46674" xr:uid="{00000000-0005-0000-0000-000052B60000}"/>
    <cellStyle name="Text 2 2 6 2 2 2" xfId="46675" xr:uid="{00000000-0005-0000-0000-000053B60000}"/>
    <cellStyle name="Text 2 2 6 2 2 3" xfId="46676" xr:uid="{00000000-0005-0000-0000-000054B60000}"/>
    <cellStyle name="Text 2 2 6 2 2 4" xfId="46677" xr:uid="{00000000-0005-0000-0000-000055B60000}"/>
    <cellStyle name="Text 2 2 6 2 2 5" xfId="46678" xr:uid="{00000000-0005-0000-0000-000056B60000}"/>
    <cellStyle name="Text 2 2 6 2 2 6" xfId="46679" xr:uid="{00000000-0005-0000-0000-000057B60000}"/>
    <cellStyle name="Text 2 2 6 2 3" xfId="46680" xr:uid="{00000000-0005-0000-0000-000058B60000}"/>
    <cellStyle name="Text 2 2 6 2 4" xfId="46681" xr:uid="{00000000-0005-0000-0000-000059B60000}"/>
    <cellStyle name="Text 2 2 6 2 5" xfId="46682" xr:uid="{00000000-0005-0000-0000-00005AB60000}"/>
    <cellStyle name="Text 2 2 6 2 6" xfId="46683" xr:uid="{00000000-0005-0000-0000-00005BB60000}"/>
    <cellStyle name="Text 2 2 6 3" xfId="46684" xr:uid="{00000000-0005-0000-0000-00005CB60000}"/>
    <cellStyle name="Text 2 2 6 3 2" xfId="46685" xr:uid="{00000000-0005-0000-0000-00005DB60000}"/>
    <cellStyle name="Text 2 2 6 3 2 2" xfId="46686" xr:uid="{00000000-0005-0000-0000-00005EB60000}"/>
    <cellStyle name="Text 2 2 6 3 2 3" xfId="46687" xr:uid="{00000000-0005-0000-0000-00005FB60000}"/>
    <cellStyle name="Text 2 2 6 3 2 4" xfId="46688" xr:uid="{00000000-0005-0000-0000-000060B60000}"/>
    <cellStyle name="Text 2 2 6 3 2 5" xfId="46689" xr:uid="{00000000-0005-0000-0000-000061B60000}"/>
    <cellStyle name="Text 2 2 6 3 2 6" xfId="46690" xr:uid="{00000000-0005-0000-0000-000062B60000}"/>
    <cellStyle name="Text 2 2 6 3 3" xfId="46691" xr:uid="{00000000-0005-0000-0000-000063B60000}"/>
    <cellStyle name="Text 2 2 6 3 4" xfId="46692" xr:uid="{00000000-0005-0000-0000-000064B60000}"/>
    <cellStyle name="Text 2 2 6 3 5" xfId="46693" xr:uid="{00000000-0005-0000-0000-000065B60000}"/>
    <cellStyle name="Text 2 2 6 3 6" xfId="46694" xr:uid="{00000000-0005-0000-0000-000066B60000}"/>
    <cellStyle name="Text 2 2 6 4" xfId="46695" xr:uid="{00000000-0005-0000-0000-000067B60000}"/>
    <cellStyle name="Text 2 2 6 4 2" xfId="46696" xr:uid="{00000000-0005-0000-0000-000068B60000}"/>
    <cellStyle name="Text 2 2 6 4 3" xfId="46697" xr:uid="{00000000-0005-0000-0000-000069B60000}"/>
    <cellStyle name="Text 2 2 6 4 4" xfId="46698" xr:uid="{00000000-0005-0000-0000-00006AB60000}"/>
    <cellStyle name="Text 2 2 6 4 5" xfId="46699" xr:uid="{00000000-0005-0000-0000-00006BB60000}"/>
    <cellStyle name="Text 2 2 6 4 6" xfId="46700" xr:uid="{00000000-0005-0000-0000-00006CB60000}"/>
    <cellStyle name="Text 2 2 6 5" xfId="46701" xr:uid="{00000000-0005-0000-0000-00006DB60000}"/>
    <cellStyle name="Text 2 2 6 6" xfId="46702" xr:uid="{00000000-0005-0000-0000-00006EB60000}"/>
    <cellStyle name="Text 2 2 6 7" xfId="46703" xr:uid="{00000000-0005-0000-0000-00006FB60000}"/>
    <cellStyle name="Text 2 2 6 8" xfId="46704" xr:uid="{00000000-0005-0000-0000-000070B60000}"/>
    <cellStyle name="Text 2 2 7" xfId="46705" xr:uid="{00000000-0005-0000-0000-000071B60000}"/>
    <cellStyle name="Text 2 2 7 2" xfId="46706" xr:uid="{00000000-0005-0000-0000-000072B60000}"/>
    <cellStyle name="Text 2 2 7 2 2" xfId="46707" xr:uid="{00000000-0005-0000-0000-000073B60000}"/>
    <cellStyle name="Text 2 2 7 2 3" xfId="46708" xr:uid="{00000000-0005-0000-0000-000074B60000}"/>
    <cellStyle name="Text 2 2 7 2 4" xfId="46709" xr:uid="{00000000-0005-0000-0000-000075B60000}"/>
    <cellStyle name="Text 2 2 7 2 5" xfId="46710" xr:uid="{00000000-0005-0000-0000-000076B60000}"/>
    <cellStyle name="Text 2 2 7 2 6" xfId="46711" xr:uid="{00000000-0005-0000-0000-000077B60000}"/>
    <cellStyle name="Text 2 2 7 3" xfId="46712" xr:uid="{00000000-0005-0000-0000-000078B60000}"/>
    <cellStyle name="Text 2 2 7 4" xfId="46713" xr:uid="{00000000-0005-0000-0000-000079B60000}"/>
    <cellStyle name="Text 2 2 7 5" xfId="46714" xr:uid="{00000000-0005-0000-0000-00007AB60000}"/>
    <cellStyle name="Text 2 2 7 6" xfId="46715" xr:uid="{00000000-0005-0000-0000-00007BB60000}"/>
    <cellStyle name="Text 2 2 8" xfId="46716" xr:uid="{00000000-0005-0000-0000-00007CB60000}"/>
    <cellStyle name="Text 2 2 8 2" xfId="46717" xr:uid="{00000000-0005-0000-0000-00007DB60000}"/>
    <cellStyle name="Text 2 2 8 2 2" xfId="46718" xr:uid="{00000000-0005-0000-0000-00007EB60000}"/>
    <cellStyle name="Text 2 2 8 2 3" xfId="46719" xr:uid="{00000000-0005-0000-0000-00007FB60000}"/>
    <cellStyle name="Text 2 2 8 2 4" xfId="46720" xr:uid="{00000000-0005-0000-0000-000080B60000}"/>
    <cellStyle name="Text 2 2 8 2 5" xfId="46721" xr:uid="{00000000-0005-0000-0000-000081B60000}"/>
    <cellStyle name="Text 2 2 8 2 6" xfId="46722" xr:uid="{00000000-0005-0000-0000-000082B60000}"/>
    <cellStyle name="Text 2 2 8 3" xfId="46723" xr:uid="{00000000-0005-0000-0000-000083B60000}"/>
    <cellStyle name="Text 2 2 8 4" xfId="46724" xr:uid="{00000000-0005-0000-0000-000084B60000}"/>
    <cellStyle name="Text 2 2 8 5" xfId="46725" xr:uid="{00000000-0005-0000-0000-000085B60000}"/>
    <cellStyle name="Text 2 2 8 6" xfId="46726" xr:uid="{00000000-0005-0000-0000-000086B60000}"/>
    <cellStyle name="Text 2 2 9" xfId="46727" xr:uid="{00000000-0005-0000-0000-000087B60000}"/>
    <cellStyle name="Text 2 2 9 2" xfId="46728" xr:uid="{00000000-0005-0000-0000-000088B60000}"/>
    <cellStyle name="Text 2 2 9 3" xfId="46729" xr:uid="{00000000-0005-0000-0000-000089B60000}"/>
    <cellStyle name="Text 2 2 9 4" xfId="46730" xr:uid="{00000000-0005-0000-0000-00008AB60000}"/>
    <cellStyle name="Text 2 2 9 5" xfId="46731" xr:uid="{00000000-0005-0000-0000-00008BB60000}"/>
    <cellStyle name="Text 2 2 9 6" xfId="46732" xr:uid="{00000000-0005-0000-0000-00008CB60000}"/>
    <cellStyle name="Text 2 3" xfId="46733" xr:uid="{00000000-0005-0000-0000-00008DB60000}"/>
    <cellStyle name="Text 2 3 2" xfId="46734" xr:uid="{00000000-0005-0000-0000-00008EB60000}"/>
    <cellStyle name="Text 2 3 2 2" xfId="46735" xr:uid="{00000000-0005-0000-0000-00008FB60000}"/>
    <cellStyle name="Text 2 3 2 2 2" xfId="46736" xr:uid="{00000000-0005-0000-0000-000090B60000}"/>
    <cellStyle name="Text 2 3 2 2 3" xfId="46737" xr:uid="{00000000-0005-0000-0000-000091B60000}"/>
    <cellStyle name="Text 2 3 2 2 4" xfId="46738" xr:uid="{00000000-0005-0000-0000-000092B60000}"/>
    <cellStyle name="Text 2 3 2 2 5" xfId="46739" xr:uid="{00000000-0005-0000-0000-000093B60000}"/>
    <cellStyle name="Text 2 3 2 2 6" xfId="46740" xr:uid="{00000000-0005-0000-0000-000094B60000}"/>
    <cellStyle name="Text 2 3 2 3" xfId="46741" xr:uid="{00000000-0005-0000-0000-000095B60000}"/>
    <cellStyle name="Text 2 3 2 4" xfId="46742" xr:uid="{00000000-0005-0000-0000-000096B60000}"/>
    <cellStyle name="Text 2 3 2 5" xfId="46743" xr:uid="{00000000-0005-0000-0000-000097B60000}"/>
    <cellStyle name="Text 2 3 2 6" xfId="46744" xr:uid="{00000000-0005-0000-0000-000098B60000}"/>
    <cellStyle name="Text 2 3 3" xfId="46745" xr:uid="{00000000-0005-0000-0000-000099B60000}"/>
    <cellStyle name="Text 2 3 3 2" xfId="46746" xr:uid="{00000000-0005-0000-0000-00009AB60000}"/>
    <cellStyle name="Text 2 3 3 2 2" xfId="46747" xr:uid="{00000000-0005-0000-0000-00009BB60000}"/>
    <cellStyle name="Text 2 3 3 2 3" xfId="46748" xr:uid="{00000000-0005-0000-0000-00009CB60000}"/>
    <cellStyle name="Text 2 3 3 2 4" xfId="46749" xr:uid="{00000000-0005-0000-0000-00009DB60000}"/>
    <cellStyle name="Text 2 3 3 2 5" xfId="46750" xr:uid="{00000000-0005-0000-0000-00009EB60000}"/>
    <cellStyle name="Text 2 3 3 2 6" xfId="46751" xr:uid="{00000000-0005-0000-0000-00009FB60000}"/>
    <cellStyle name="Text 2 3 3 3" xfId="46752" xr:uid="{00000000-0005-0000-0000-0000A0B60000}"/>
    <cellStyle name="Text 2 3 3 4" xfId="46753" xr:uid="{00000000-0005-0000-0000-0000A1B60000}"/>
    <cellStyle name="Text 2 3 3 5" xfId="46754" xr:uid="{00000000-0005-0000-0000-0000A2B60000}"/>
    <cellStyle name="Text 2 3 3 6" xfId="46755" xr:uid="{00000000-0005-0000-0000-0000A3B60000}"/>
    <cellStyle name="Text 2 3 4" xfId="46756" xr:uid="{00000000-0005-0000-0000-0000A4B60000}"/>
    <cellStyle name="Text 2 3 4 2" xfId="46757" xr:uid="{00000000-0005-0000-0000-0000A5B60000}"/>
    <cellStyle name="Text 2 3 4 3" xfId="46758" xr:uid="{00000000-0005-0000-0000-0000A6B60000}"/>
    <cellStyle name="Text 2 3 4 4" xfId="46759" xr:uid="{00000000-0005-0000-0000-0000A7B60000}"/>
    <cellStyle name="Text 2 3 4 5" xfId="46760" xr:uid="{00000000-0005-0000-0000-0000A8B60000}"/>
    <cellStyle name="Text 2 3 4 6" xfId="46761" xr:uid="{00000000-0005-0000-0000-0000A9B60000}"/>
    <cellStyle name="Text 2 3 5" xfId="46762" xr:uid="{00000000-0005-0000-0000-0000AAB60000}"/>
    <cellStyle name="Text 2 3 6" xfId="46763" xr:uid="{00000000-0005-0000-0000-0000ABB60000}"/>
    <cellStyle name="Text 2 3 7" xfId="46764" xr:uid="{00000000-0005-0000-0000-0000ACB60000}"/>
    <cellStyle name="Text 2 3 8" xfId="46765" xr:uid="{00000000-0005-0000-0000-0000ADB60000}"/>
    <cellStyle name="Text 2 4" xfId="46766" xr:uid="{00000000-0005-0000-0000-0000AEB60000}"/>
    <cellStyle name="Text 2 4 2" xfId="46767" xr:uid="{00000000-0005-0000-0000-0000AFB60000}"/>
    <cellStyle name="Text 2 4 2 2" xfId="46768" xr:uid="{00000000-0005-0000-0000-0000B0B60000}"/>
    <cellStyle name="Text 2 4 2 2 2" xfId="46769" xr:uid="{00000000-0005-0000-0000-0000B1B60000}"/>
    <cellStyle name="Text 2 4 2 2 3" xfId="46770" xr:uid="{00000000-0005-0000-0000-0000B2B60000}"/>
    <cellStyle name="Text 2 4 2 2 4" xfId="46771" xr:uid="{00000000-0005-0000-0000-0000B3B60000}"/>
    <cellStyle name="Text 2 4 2 2 5" xfId="46772" xr:uid="{00000000-0005-0000-0000-0000B4B60000}"/>
    <cellStyle name="Text 2 4 2 2 6" xfId="46773" xr:uid="{00000000-0005-0000-0000-0000B5B60000}"/>
    <cellStyle name="Text 2 4 2 3" xfId="46774" xr:uid="{00000000-0005-0000-0000-0000B6B60000}"/>
    <cellStyle name="Text 2 4 2 4" xfId="46775" xr:uid="{00000000-0005-0000-0000-0000B7B60000}"/>
    <cellStyle name="Text 2 4 2 5" xfId="46776" xr:uid="{00000000-0005-0000-0000-0000B8B60000}"/>
    <cellStyle name="Text 2 4 2 6" xfId="46777" xr:uid="{00000000-0005-0000-0000-0000B9B60000}"/>
    <cellStyle name="Text 2 4 3" xfId="46778" xr:uid="{00000000-0005-0000-0000-0000BAB60000}"/>
    <cellStyle name="Text 2 4 3 2" xfId="46779" xr:uid="{00000000-0005-0000-0000-0000BBB60000}"/>
    <cellStyle name="Text 2 4 3 2 2" xfId="46780" xr:uid="{00000000-0005-0000-0000-0000BCB60000}"/>
    <cellStyle name="Text 2 4 3 2 3" xfId="46781" xr:uid="{00000000-0005-0000-0000-0000BDB60000}"/>
    <cellStyle name="Text 2 4 3 2 4" xfId="46782" xr:uid="{00000000-0005-0000-0000-0000BEB60000}"/>
    <cellStyle name="Text 2 4 3 2 5" xfId="46783" xr:uid="{00000000-0005-0000-0000-0000BFB60000}"/>
    <cellStyle name="Text 2 4 3 2 6" xfId="46784" xr:uid="{00000000-0005-0000-0000-0000C0B60000}"/>
    <cellStyle name="Text 2 4 3 3" xfId="46785" xr:uid="{00000000-0005-0000-0000-0000C1B60000}"/>
    <cellStyle name="Text 2 4 3 4" xfId="46786" xr:uid="{00000000-0005-0000-0000-0000C2B60000}"/>
    <cellStyle name="Text 2 4 3 5" xfId="46787" xr:uid="{00000000-0005-0000-0000-0000C3B60000}"/>
    <cellStyle name="Text 2 4 3 6" xfId="46788" xr:uid="{00000000-0005-0000-0000-0000C4B60000}"/>
    <cellStyle name="Text 2 4 4" xfId="46789" xr:uid="{00000000-0005-0000-0000-0000C5B60000}"/>
    <cellStyle name="Text 2 4 4 2" xfId="46790" xr:uid="{00000000-0005-0000-0000-0000C6B60000}"/>
    <cellStyle name="Text 2 4 4 3" xfId="46791" xr:uid="{00000000-0005-0000-0000-0000C7B60000}"/>
    <cellStyle name="Text 2 4 4 4" xfId="46792" xr:uid="{00000000-0005-0000-0000-0000C8B60000}"/>
    <cellStyle name="Text 2 4 4 5" xfId="46793" xr:uid="{00000000-0005-0000-0000-0000C9B60000}"/>
    <cellStyle name="Text 2 4 4 6" xfId="46794" xr:uid="{00000000-0005-0000-0000-0000CAB60000}"/>
    <cellStyle name="Text 2 4 5" xfId="46795" xr:uid="{00000000-0005-0000-0000-0000CBB60000}"/>
    <cellStyle name="Text 2 4 6" xfId="46796" xr:uid="{00000000-0005-0000-0000-0000CCB60000}"/>
    <cellStyle name="Text 2 4 7" xfId="46797" xr:uid="{00000000-0005-0000-0000-0000CDB60000}"/>
    <cellStyle name="Text 2 4 8" xfId="46798" xr:uid="{00000000-0005-0000-0000-0000CEB60000}"/>
    <cellStyle name="Text 2 5" xfId="46799" xr:uid="{00000000-0005-0000-0000-0000CFB60000}"/>
    <cellStyle name="Text 2 5 2" xfId="46800" xr:uid="{00000000-0005-0000-0000-0000D0B60000}"/>
    <cellStyle name="Text 2 5 2 2" xfId="46801" xr:uid="{00000000-0005-0000-0000-0000D1B60000}"/>
    <cellStyle name="Text 2 5 2 2 2" xfId="46802" xr:uid="{00000000-0005-0000-0000-0000D2B60000}"/>
    <cellStyle name="Text 2 5 2 2 3" xfId="46803" xr:uid="{00000000-0005-0000-0000-0000D3B60000}"/>
    <cellStyle name="Text 2 5 2 2 4" xfId="46804" xr:uid="{00000000-0005-0000-0000-0000D4B60000}"/>
    <cellStyle name="Text 2 5 2 2 5" xfId="46805" xr:uid="{00000000-0005-0000-0000-0000D5B60000}"/>
    <cellStyle name="Text 2 5 2 2 6" xfId="46806" xr:uid="{00000000-0005-0000-0000-0000D6B60000}"/>
    <cellStyle name="Text 2 5 2 3" xfId="46807" xr:uid="{00000000-0005-0000-0000-0000D7B60000}"/>
    <cellStyle name="Text 2 5 2 4" xfId="46808" xr:uid="{00000000-0005-0000-0000-0000D8B60000}"/>
    <cellStyle name="Text 2 5 2 5" xfId="46809" xr:uid="{00000000-0005-0000-0000-0000D9B60000}"/>
    <cellStyle name="Text 2 5 2 6" xfId="46810" xr:uid="{00000000-0005-0000-0000-0000DAB60000}"/>
    <cellStyle name="Text 2 5 3" xfId="46811" xr:uid="{00000000-0005-0000-0000-0000DBB60000}"/>
    <cellStyle name="Text 2 5 3 2" xfId="46812" xr:uid="{00000000-0005-0000-0000-0000DCB60000}"/>
    <cellStyle name="Text 2 5 3 2 2" xfId="46813" xr:uid="{00000000-0005-0000-0000-0000DDB60000}"/>
    <cellStyle name="Text 2 5 3 2 3" xfId="46814" xr:uid="{00000000-0005-0000-0000-0000DEB60000}"/>
    <cellStyle name="Text 2 5 3 2 4" xfId="46815" xr:uid="{00000000-0005-0000-0000-0000DFB60000}"/>
    <cellStyle name="Text 2 5 3 2 5" xfId="46816" xr:uid="{00000000-0005-0000-0000-0000E0B60000}"/>
    <cellStyle name="Text 2 5 3 2 6" xfId="46817" xr:uid="{00000000-0005-0000-0000-0000E1B60000}"/>
    <cellStyle name="Text 2 5 3 3" xfId="46818" xr:uid="{00000000-0005-0000-0000-0000E2B60000}"/>
    <cellStyle name="Text 2 5 3 4" xfId="46819" xr:uid="{00000000-0005-0000-0000-0000E3B60000}"/>
    <cellStyle name="Text 2 5 3 5" xfId="46820" xr:uid="{00000000-0005-0000-0000-0000E4B60000}"/>
    <cellStyle name="Text 2 5 3 6" xfId="46821" xr:uid="{00000000-0005-0000-0000-0000E5B60000}"/>
    <cellStyle name="Text 2 5 4" xfId="46822" xr:uid="{00000000-0005-0000-0000-0000E6B60000}"/>
    <cellStyle name="Text 2 5 4 2" xfId="46823" xr:uid="{00000000-0005-0000-0000-0000E7B60000}"/>
    <cellStyle name="Text 2 5 4 3" xfId="46824" xr:uid="{00000000-0005-0000-0000-0000E8B60000}"/>
    <cellStyle name="Text 2 5 4 4" xfId="46825" xr:uid="{00000000-0005-0000-0000-0000E9B60000}"/>
    <cellStyle name="Text 2 5 4 5" xfId="46826" xr:uid="{00000000-0005-0000-0000-0000EAB60000}"/>
    <cellStyle name="Text 2 5 4 6" xfId="46827" xr:uid="{00000000-0005-0000-0000-0000EBB60000}"/>
    <cellStyle name="Text 2 5 5" xfId="46828" xr:uid="{00000000-0005-0000-0000-0000ECB60000}"/>
    <cellStyle name="Text 2 5 6" xfId="46829" xr:uid="{00000000-0005-0000-0000-0000EDB60000}"/>
    <cellStyle name="Text 2 5 7" xfId="46830" xr:uid="{00000000-0005-0000-0000-0000EEB60000}"/>
    <cellStyle name="Text 2 5 8" xfId="46831" xr:uid="{00000000-0005-0000-0000-0000EFB60000}"/>
    <cellStyle name="Text 2 6" xfId="46832" xr:uid="{00000000-0005-0000-0000-0000F0B60000}"/>
    <cellStyle name="Text 2 6 2" xfId="46833" xr:uid="{00000000-0005-0000-0000-0000F1B60000}"/>
    <cellStyle name="Text 2 6 2 2" xfId="46834" xr:uid="{00000000-0005-0000-0000-0000F2B60000}"/>
    <cellStyle name="Text 2 6 2 2 2" xfId="46835" xr:uid="{00000000-0005-0000-0000-0000F3B60000}"/>
    <cellStyle name="Text 2 6 2 2 3" xfId="46836" xr:uid="{00000000-0005-0000-0000-0000F4B60000}"/>
    <cellStyle name="Text 2 6 2 2 4" xfId="46837" xr:uid="{00000000-0005-0000-0000-0000F5B60000}"/>
    <cellStyle name="Text 2 6 2 2 5" xfId="46838" xr:uid="{00000000-0005-0000-0000-0000F6B60000}"/>
    <cellStyle name="Text 2 6 2 2 6" xfId="46839" xr:uid="{00000000-0005-0000-0000-0000F7B60000}"/>
    <cellStyle name="Text 2 6 2 3" xfId="46840" xr:uid="{00000000-0005-0000-0000-0000F8B60000}"/>
    <cellStyle name="Text 2 6 2 4" xfId="46841" xr:uid="{00000000-0005-0000-0000-0000F9B60000}"/>
    <cellStyle name="Text 2 6 2 5" xfId="46842" xr:uid="{00000000-0005-0000-0000-0000FAB60000}"/>
    <cellStyle name="Text 2 6 2 6" xfId="46843" xr:uid="{00000000-0005-0000-0000-0000FBB60000}"/>
    <cellStyle name="Text 2 6 3" xfId="46844" xr:uid="{00000000-0005-0000-0000-0000FCB60000}"/>
    <cellStyle name="Text 2 6 3 2" xfId="46845" xr:uid="{00000000-0005-0000-0000-0000FDB60000}"/>
    <cellStyle name="Text 2 6 3 2 2" xfId="46846" xr:uid="{00000000-0005-0000-0000-0000FEB60000}"/>
    <cellStyle name="Text 2 6 3 2 3" xfId="46847" xr:uid="{00000000-0005-0000-0000-0000FFB60000}"/>
    <cellStyle name="Text 2 6 3 2 4" xfId="46848" xr:uid="{00000000-0005-0000-0000-000000B70000}"/>
    <cellStyle name="Text 2 6 3 2 5" xfId="46849" xr:uid="{00000000-0005-0000-0000-000001B70000}"/>
    <cellStyle name="Text 2 6 3 2 6" xfId="46850" xr:uid="{00000000-0005-0000-0000-000002B70000}"/>
    <cellStyle name="Text 2 6 3 3" xfId="46851" xr:uid="{00000000-0005-0000-0000-000003B70000}"/>
    <cellStyle name="Text 2 6 3 4" xfId="46852" xr:uid="{00000000-0005-0000-0000-000004B70000}"/>
    <cellStyle name="Text 2 6 3 5" xfId="46853" xr:uid="{00000000-0005-0000-0000-000005B70000}"/>
    <cellStyle name="Text 2 6 3 6" xfId="46854" xr:uid="{00000000-0005-0000-0000-000006B70000}"/>
    <cellStyle name="Text 2 6 4" xfId="46855" xr:uid="{00000000-0005-0000-0000-000007B70000}"/>
    <cellStyle name="Text 2 6 4 2" xfId="46856" xr:uid="{00000000-0005-0000-0000-000008B70000}"/>
    <cellStyle name="Text 2 6 4 3" xfId="46857" xr:uid="{00000000-0005-0000-0000-000009B70000}"/>
    <cellStyle name="Text 2 6 4 4" xfId="46858" xr:uid="{00000000-0005-0000-0000-00000AB70000}"/>
    <cellStyle name="Text 2 6 4 5" xfId="46859" xr:uid="{00000000-0005-0000-0000-00000BB70000}"/>
    <cellStyle name="Text 2 6 4 6" xfId="46860" xr:uid="{00000000-0005-0000-0000-00000CB70000}"/>
    <cellStyle name="Text 2 6 5" xfId="46861" xr:uid="{00000000-0005-0000-0000-00000DB70000}"/>
    <cellStyle name="Text 2 6 6" xfId="46862" xr:uid="{00000000-0005-0000-0000-00000EB70000}"/>
    <cellStyle name="Text 2 6 7" xfId="46863" xr:uid="{00000000-0005-0000-0000-00000FB70000}"/>
    <cellStyle name="Text 2 6 8" xfId="46864" xr:uid="{00000000-0005-0000-0000-000010B70000}"/>
    <cellStyle name="Text 2 7" xfId="46865" xr:uid="{00000000-0005-0000-0000-000011B70000}"/>
    <cellStyle name="Text 2 7 2" xfId="46866" xr:uid="{00000000-0005-0000-0000-000012B70000}"/>
    <cellStyle name="Text 2 7 2 2" xfId="46867" xr:uid="{00000000-0005-0000-0000-000013B70000}"/>
    <cellStyle name="Text 2 7 2 2 2" xfId="46868" xr:uid="{00000000-0005-0000-0000-000014B70000}"/>
    <cellStyle name="Text 2 7 2 2 3" xfId="46869" xr:uid="{00000000-0005-0000-0000-000015B70000}"/>
    <cellStyle name="Text 2 7 2 2 4" xfId="46870" xr:uid="{00000000-0005-0000-0000-000016B70000}"/>
    <cellStyle name="Text 2 7 2 2 5" xfId="46871" xr:uid="{00000000-0005-0000-0000-000017B70000}"/>
    <cellStyle name="Text 2 7 2 2 6" xfId="46872" xr:uid="{00000000-0005-0000-0000-000018B70000}"/>
    <cellStyle name="Text 2 7 2 3" xfId="46873" xr:uid="{00000000-0005-0000-0000-000019B70000}"/>
    <cellStyle name="Text 2 7 2 4" xfId="46874" xr:uid="{00000000-0005-0000-0000-00001AB70000}"/>
    <cellStyle name="Text 2 7 2 5" xfId="46875" xr:uid="{00000000-0005-0000-0000-00001BB70000}"/>
    <cellStyle name="Text 2 7 2 6" xfId="46876" xr:uid="{00000000-0005-0000-0000-00001CB70000}"/>
    <cellStyle name="Text 2 7 3" xfId="46877" xr:uid="{00000000-0005-0000-0000-00001DB70000}"/>
    <cellStyle name="Text 2 7 3 2" xfId="46878" xr:uid="{00000000-0005-0000-0000-00001EB70000}"/>
    <cellStyle name="Text 2 7 3 2 2" xfId="46879" xr:uid="{00000000-0005-0000-0000-00001FB70000}"/>
    <cellStyle name="Text 2 7 3 2 3" xfId="46880" xr:uid="{00000000-0005-0000-0000-000020B70000}"/>
    <cellStyle name="Text 2 7 3 2 4" xfId="46881" xr:uid="{00000000-0005-0000-0000-000021B70000}"/>
    <cellStyle name="Text 2 7 3 2 5" xfId="46882" xr:uid="{00000000-0005-0000-0000-000022B70000}"/>
    <cellStyle name="Text 2 7 3 2 6" xfId="46883" xr:uid="{00000000-0005-0000-0000-000023B70000}"/>
    <cellStyle name="Text 2 7 3 3" xfId="46884" xr:uid="{00000000-0005-0000-0000-000024B70000}"/>
    <cellStyle name="Text 2 7 3 4" xfId="46885" xr:uid="{00000000-0005-0000-0000-000025B70000}"/>
    <cellStyle name="Text 2 7 3 5" xfId="46886" xr:uid="{00000000-0005-0000-0000-000026B70000}"/>
    <cellStyle name="Text 2 7 3 6" xfId="46887" xr:uid="{00000000-0005-0000-0000-000027B70000}"/>
    <cellStyle name="Text 2 7 4" xfId="46888" xr:uid="{00000000-0005-0000-0000-000028B70000}"/>
    <cellStyle name="Text 2 7 4 2" xfId="46889" xr:uid="{00000000-0005-0000-0000-000029B70000}"/>
    <cellStyle name="Text 2 7 4 3" xfId="46890" xr:uid="{00000000-0005-0000-0000-00002AB70000}"/>
    <cellStyle name="Text 2 7 4 4" xfId="46891" xr:uid="{00000000-0005-0000-0000-00002BB70000}"/>
    <cellStyle name="Text 2 7 4 5" xfId="46892" xr:uid="{00000000-0005-0000-0000-00002CB70000}"/>
    <cellStyle name="Text 2 7 4 6" xfId="46893" xr:uid="{00000000-0005-0000-0000-00002DB70000}"/>
    <cellStyle name="Text 2 7 5" xfId="46894" xr:uid="{00000000-0005-0000-0000-00002EB70000}"/>
    <cellStyle name="Text 2 7 6" xfId="46895" xr:uid="{00000000-0005-0000-0000-00002FB70000}"/>
    <cellStyle name="Text 2 7 7" xfId="46896" xr:uid="{00000000-0005-0000-0000-000030B70000}"/>
    <cellStyle name="Text 2 7 8" xfId="46897" xr:uid="{00000000-0005-0000-0000-000031B70000}"/>
    <cellStyle name="Text 2 8" xfId="46898" xr:uid="{00000000-0005-0000-0000-000032B70000}"/>
    <cellStyle name="Text 2 8 2" xfId="46899" xr:uid="{00000000-0005-0000-0000-000033B70000}"/>
    <cellStyle name="Text 2 8 2 2" xfId="46900" xr:uid="{00000000-0005-0000-0000-000034B70000}"/>
    <cellStyle name="Text 2 8 2 3" xfId="46901" xr:uid="{00000000-0005-0000-0000-000035B70000}"/>
    <cellStyle name="Text 2 8 2 4" xfId="46902" xr:uid="{00000000-0005-0000-0000-000036B70000}"/>
    <cellStyle name="Text 2 8 2 5" xfId="46903" xr:uid="{00000000-0005-0000-0000-000037B70000}"/>
    <cellStyle name="Text 2 8 2 6" xfId="46904" xr:uid="{00000000-0005-0000-0000-000038B70000}"/>
    <cellStyle name="Text 2 8 3" xfId="46905" xr:uid="{00000000-0005-0000-0000-000039B70000}"/>
    <cellStyle name="Text 2 8 4" xfId="46906" xr:uid="{00000000-0005-0000-0000-00003AB70000}"/>
    <cellStyle name="Text 2 8 5" xfId="46907" xr:uid="{00000000-0005-0000-0000-00003BB70000}"/>
    <cellStyle name="Text 2 8 6" xfId="46908" xr:uid="{00000000-0005-0000-0000-00003CB70000}"/>
    <cellStyle name="Text 2 9" xfId="46909" xr:uid="{00000000-0005-0000-0000-00003DB70000}"/>
    <cellStyle name="Text 2 9 2" xfId="46910" xr:uid="{00000000-0005-0000-0000-00003EB70000}"/>
    <cellStyle name="Text 2 9 2 2" xfId="46911" xr:uid="{00000000-0005-0000-0000-00003FB70000}"/>
    <cellStyle name="Text 2 9 2 3" xfId="46912" xr:uid="{00000000-0005-0000-0000-000040B70000}"/>
    <cellStyle name="Text 2 9 2 4" xfId="46913" xr:uid="{00000000-0005-0000-0000-000041B70000}"/>
    <cellStyle name="Text 2 9 2 5" xfId="46914" xr:uid="{00000000-0005-0000-0000-000042B70000}"/>
    <cellStyle name="Text 2 9 2 6" xfId="46915" xr:uid="{00000000-0005-0000-0000-000043B70000}"/>
    <cellStyle name="Text 2 9 3" xfId="46916" xr:uid="{00000000-0005-0000-0000-000044B70000}"/>
    <cellStyle name="Text 2 9 4" xfId="46917" xr:uid="{00000000-0005-0000-0000-000045B70000}"/>
    <cellStyle name="Text 2 9 5" xfId="46918" xr:uid="{00000000-0005-0000-0000-000046B70000}"/>
    <cellStyle name="Text 2 9 6" xfId="46919" xr:uid="{00000000-0005-0000-0000-000047B70000}"/>
    <cellStyle name="Text 3" xfId="46920" xr:uid="{00000000-0005-0000-0000-000048B70000}"/>
    <cellStyle name="Text 3 10" xfId="46921" xr:uid="{00000000-0005-0000-0000-000049B70000}"/>
    <cellStyle name="Text 3 11" xfId="46922" xr:uid="{00000000-0005-0000-0000-00004AB70000}"/>
    <cellStyle name="Text 3 12" xfId="46923" xr:uid="{00000000-0005-0000-0000-00004BB70000}"/>
    <cellStyle name="Text 3 13" xfId="46924" xr:uid="{00000000-0005-0000-0000-00004CB70000}"/>
    <cellStyle name="Text 3 2" xfId="46925" xr:uid="{00000000-0005-0000-0000-00004DB70000}"/>
    <cellStyle name="Text 3 2 2" xfId="46926" xr:uid="{00000000-0005-0000-0000-00004EB70000}"/>
    <cellStyle name="Text 3 2 2 2" xfId="46927" xr:uid="{00000000-0005-0000-0000-00004FB70000}"/>
    <cellStyle name="Text 3 2 2 2 2" xfId="46928" xr:uid="{00000000-0005-0000-0000-000050B70000}"/>
    <cellStyle name="Text 3 2 2 2 3" xfId="46929" xr:uid="{00000000-0005-0000-0000-000051B70000}"/>
    <cellStyle name="Text 3 2 2 2 4" xfId="46930" xr:uid="{00000000-0005-0000-0000-000052B70000}"/>
    <cellStyle name="Text 3 2 2 2 5" xfId="46931" xr:uid="{00000000-0005-0000-0000-000053B70000}"/>
    <cellStyle name="Text 3 2 2 2 6" xfId="46932" xr:uid="{00000000-0005-0000-0000-000054B70000}"/>
    <cellStyle name="Text 3 2 2 3" xfId="46933" xr:uid="{00000000-0005-0000-0000-000055B70000}"/>
    <cellStyle name="Text 3 2 2 4" xfId="46934" xr:uid="{00000000-0005-0000-0000-000056B70000}"/>
    <cellStyle name="Text 3 2 2 5" xfId="46935" xr:uid="{00000000-0005-0000-0000-000057B70000}"/>
    <cellStyle name="Text 3 2 2 6" xfId="46936" xr:uid="{00000000-0005-0000-0000-000058B70000}"/>
    <cellStyle name="Text 3 2 3" xfId="46937" xr:uid="{00000000-0005-0000-0000-000059B70000}"/>
    <cellStyle name="Text 3 2 3 2" xfId="46938" xr:uid="{00000000-0005-0000-0000-00005AB70000}"/>
    <cellStyle name="Text 3 2 3 2 2" xfId="46939" xr:uid="{00000000-0005-0000-0000-00005BB70000}"/>
    <cellStyle name="Text 3 2 3 2 3" xfId="46940" xr:uid="{00000000-0005-0000-0000-00005CB70000}"/>
    <cellStyle name="Text 3 2 3 2 4" xfId="46941" xr:uid="{00000000-0005-0000-0000-00005DB70000}"/>
    <cellStyle name="Text 3 2 3 2 5" xfId="46942" xr:uid="{00000000-0005-0000-0000-00005EB70000}"/>
    <cellStyle name="Text 3 2 3 2 6" xfId="46943" xr:uid="{00000000-0005-0000-0000-00005FB70000}"/>
    <cellStyle name="Text 3 2 3 3" xfId="46944" xr:uid="{00000000-0005-0000-0000-000060B70000}"/>
    <cellStyle name="Text 3 2 3 4" xfId="46945" xr:uid="{00000000-0005-0000-0000-000061B70000}"/>
    <cellStyle name="Text 3 2 3 5" xfId="46946" xr:uid="{00000000-0005-0000-0000-000062B70000}"/>
    <cellStyle name="Text 3 2 3 6" xfId="46947" xr:uid="{00000000-0005-0000-0000-000063B70000}"/>
    <cellStyle name="Text 3 2 4" xfId="46948" xr:uid="{00000000-0005-0000-0000-000064B70000}"/>
    <cellStyle name="Text 3 2 4 2" xfId="46949" xr:uid="{00000000-0005-0000-0000-000065B70000}"/>
    <cellStyle name="Text 3 2 4 3" xfId="46950" xr:uid="{00000000-0005-0000-0000-000066B70000}"/>
    <cellStyle name="Text 3 2 4 4" xfId="46951" xr:uid="{00000000-0005-0000-0000-000067B70000}"/>
    <cellStyle name="Text 3 2 4 5" xfId="46952" xr:uid="{00000000-0005-0000-0000-000068B70000}"/>
    <cellStyle name="Text 3 2 4 6" xfId="46953" xr:uid="{00000000-0005-0000-0000-000069B70000}"/>
    <cellStyle name="Text 3 2 5" xfId="46954" xr:uid="{00000000-0005-0000-0000-00006AB70000}"/>
    <cellStyle name="Text 3 2 6" xfId="46955" xr:uid="{00000000-0005-0000-0000-00006BB70000}"/>
    <cellStyle name="Text 3 2 7" xfId="46956" xr:uid="{00000000-0005-0000-0000-00006CB70000}"/>
    <cellStyle name="Text 3 2 8" xfId="46957" xr:uid="{00000000-0005-0000-0000-00006DB70000}"/>
    <cellStyle name="Text 3 3" xfId="46958" xr:uid="{00000000-0005-0000-0000-00006EB70000}"/>
    <cellStyle name="Text 3 3 2" xfId="46959" xr:uid="{00000000-0005-0000-0000-00006FB70000}"/>
    <cellStyle name="Text 3 3 2 2" xfId="46960" xr:uid="{00000000-0005-0000-0000-000070B70000}"/>
    <cellStyle name="Text 3 3 2 2 2" xfId="46961" xr:uid="{00000000-0005-0000-0000-000071B70000}"/>
    <cellStyle name="Text 3 3 2 2 3" xfId="46962" xr:uid="{00000000-0005-0000-0000-000072B70000}"/>
    <cellStyle name="Text 3 3 2 2 4" xfId="46963" xr:uid="{00000000-0005-0000-0000-000073B70000}"/>
    <cellStyle name="Text 3 3 2 2 5" xfId="46964" xr:uid="{00000000-0005-0000-0000-000074B70000}"/>
    <cellStyle name="Text 3 3 2 2 6" xfId="46965" xr:uid="{00000000-0005-0000-0000-000075B70000}"/>
    <cellStyle name="Text 3 3 2 3" xfId="46966" xr:uid="{00000000-0005-0000-0000-000076B70000}"/>
    <cellStyle name="Text 3 3 2 4" xfId="46967" xr:uid="{00000000-0005-0000-0000-000077B70000}"/>
    <cellStyle name="Text 3 3 2 5" xfId="46968" xr:uid="{00000000-0005-0000-0000-000078B70000}"/>
    <cellStyle name="Text 3 3 2 6" xfId="46969" xr:uid="{00000000-0005-0000-0000-000079B70000}"/>
    <cellStyle name="Text 3 3 3" xfId="46970" xr:uid="{00000000-0005-0000-0000-00007AB70000}"/>
    <cellStyle name="Text 3 3 3 2" xfId="46971" xr:uid="{00000000-0005-0000-0000-00007BB70000}"/>
    <cellStyle name="Text 3 3 3 2 2" xfId="46972" xr:uid="{00000000-0005-0000-0000-00007CB70000}"/>
    <cellStyle name="Text 3 3 3 2 3" xfId="46973" xr:uid="{00000000-0005-0000-0000-00007DB70000}"/>
    <cellStyle name="Text 3 3 3 2 4" xfId="46974" xr:uid="{00000000-0005-0000-0000-00007EB70000}"/>
    <cellStyle name="Text 3 3 3 2 5" xfId="46975" xr:uid="{00000000-0005-0000-0000-00007FB70000}"/>
    <cellStyle name="Text 3 3 3 2 6" xfId="46976" xr:uid="{00000000-0005-0000-0000-000080B70000}"/>
    <cellStyle name="Text 3 3 3 3" xfId="46977" xr:uid="{00000000-0005-0000-0000-000081B70000}"/>
    <cellStyle name="Text 3 3 3 4" xfId="46978" xr:uid="{00000000-0005-0000-0000-000082B70000}"/>
    <cellStyle name="Text 3 3 3 5" xfId="46979" xr:uid="{00000000-0005-0000-0000-000083B70000}"/>
    <cellStyle name="Text 3 3 3 6" xfId="46980" xr:uid="{00000000-0005-0000-0000-000084B70000}"/>
    <cellStyle name="Text 3 3 4" xfId="46981" xr:uid="{00000000-0005-0000-0000-000085B70000}"/>
    <cellStyle name="Text 3 3 4 2" xfId="46982" xr:uid="{00000000-0005-0000-0000-000086B70000}"/>
    <cellStyle name="Text 3 3 4 3" xfId="46983" xr:uid="{00000000-0005-0000-0000-000087B70000}"/>
    <cellStyle name="Text 3 3 4 4" xfId="46984" xr:uid="{00000000-0005-0000-0000-000088B70000}"/>
    <cellStyle name="Text 3 3 4 5" xfId="46985" xr:uid="{00000000-0005-0000-0000-000089B70000}"/>
    <cellStyle name="Text 3 3 4 6" xfId="46986" xr:uid="{00000000-0005-0000-0000-00008AB70000}"/>
    <cellStyle name="Text 3 3 5" xfId="46987" xr:uid="{00000000-0005-0000-0000-00008BB70000}"/>
    <cellStyle name="Text 3 3 6" xfId="46988" xr:uid="{00000000-0005-0000-0000-00008CB70000}"/>
    <cellStyle name="Text 3 3 7" xfId="46989" xr:uid="{00000000-0005-0000-0000-00008DB70000}"/>
    <cellStyle name="Text 3 3 8" xfId="46990" xr:uid="{00000000-0005-0000-0000-00008EB70000}"/>
    <cellStyle name="Text 3 4" xfId="46991" xr:uid="{00000000-0005-0000-0000-00008FB70000}"/>
    <cellStyle name="Text 3 4 2" xfId="46992" xr:uid="{00000000-0005-0000-0000-000090B70000}"/>
    <cellStyle name="Text 3 4 2 2" xfId="46993" xr:uid="{00000000-0005-0000-0000-000091B70000}"/>
    <cellStyle name="Text 3 4 2 2 2" xfId="46994" xr:uid="{00000000-0005-0000-0000-000092B70000}"/>
    <cellStyle name="Text 3 4 2 2 3" xfId="46995" xr:uid="{00000000-0005-0000-0000-000093B70000}"/>
    <cellStyle name="Text 3 4 2 2 4" xfId="46996" xr:uid="{00000000-0005-0000-0000-000094B70000}"/>
    <cellStyle name="Text 3 4 2 2 5" xfId="46997" xr:uid="{00000000-0005-0000-0000-000095B70000}"/>
    <cellStyle name="Text 3 4 2 2 6" xfId="46998" xr:uid="{00000000-0005-0000-0000-000096B70000}"/>
    <cellStyle name="Text 3 4 2 3" xfId="46999" xr:uid="{00000000-0005-0000-0000-000097B70000}"/>
    <cellStyle name="Text 3 4 2 4" xfId="47000" xr:uid="{00000000-0005-0000-0000-000098B70000}"/>
    <cellStyle name="Text 3 4 2 5" xfId="47001" xr:uid="{00000000-0005-0000-0000-000099B70000}"/>
    <cellStyle name="Text 3 4 2 6" xfId="47002" xr:uid="{00000000-0005-0000-0000-00009AB70000}"/>
    <cellStyle name="Text 3 4 3" xfId="47003" xr:uid="{00000000-0005-0000-0000-00009BB70000}"/>
    <cellStyle name="Text 3 4 3 2" xfId="47004" xr:uid="{00000000-0005-0000-0000-00009CB70000}"/>
    <cellStyle name="Text 3 4 3 2 2" xfId="47005" xr:uid="{00000000-0005-0000-0000-00009DB70000}"/>
    <cellStyle name="Text 3 4 3 2 3" xfId="47006" xr:uid="{00000000-0005-0000-0000-00009EB70000}"/>
    <cellStyle name="Text 3 4 3 2 4" xfId="47007" xr:uid="{00000000-0005-0000-0000-00009FB70000}"/>
    <cellStyle name="Text 3 4 3 2 5" xfId="47008" xr:uid="{00000000-0005-0000-0000-0000A0B70000}"/>
    <cellStyle name="Text 3 4 3 2 6" xfId="47009" xr:uid="{00000000-0005-0000-0000-0000A1B70000}"/>
    <cellStyle name="Text 3 4 3 3" xfId="47010" xr:uid="{00000000-0005-0000-0000-0000A2B70000}"/>
    <cellStyle name="Text 3 4 3 4" xfId="47011" xr:uid="{00000000-0005-0000-0000-0000A3B70000}"/>
    <cellStyle name="Text 3 4 3 5" xfId="47012" xr:uid="{00000000-0005-0000-0000-0000A4B70000}"/>
    <cellStyle name="Text 3 4 3 6" xfId="47013" xr:uid="{00000000-0005-0000-0000-0000A5B70000}"/>
    <cellStyle name="Text 3 4 4" xfId="47014" xr:uid="{00000000-0005-0000-0000-0000A6B70000}"/>
    <cellStyle name="Text 3 4 4 2" xfId="47015" xr:uid="{00000000-0005-0000-0000-0000A7B70000}"/>
    <cellStyle name="Text 3 4 4 3" xfId="47016" xr:uid="{00000000-0005-0000-0000-0000A8B70000}"/>
    <cellStyle name="Text 3 4 4 4" xfId="47017" xr:uid="{00000000-0005-0000-0000-0000A9B70000}"/>
    <cellStyle name="Text 3 4 4 5" xfId="47018" xr:uid="{00000000-0005-0000-0000-0000AAB70000}"/>
    <cellStyle name="Text 3 4 4 6" xfId="47019" xr:uid="{00000000-0005-0000-0000-0000ABB70000}"/>
    <cellStyle name="Text 3 4 5" xfId="47020" xr:uid="{00000000-0005-0000-0000-0000ACB70000}"/>
    <cellStyle name="Text 3 4 6" xfId="47021" xr:uid="{00000000-0005-0000-0000-0000ADB70000}"/>
    <cellStyle name="Text 3 4 7" xfId="47022" xr:uid="{00000000-0005-0000-0000-0000AEB70000}"/>
    <cellStyle name="Text 3 4 8" xfId="47023" xr:uid="{00000000-0005-0000-0000-0000AFB70000}"/>
    <cellStyle name="Text 3 5" xfId="47024" xr:uid="{00000000-0005-0000-0000-0000B0B70000}"/>
    <cellStyle name="Text 3 5 2" xfId="47025" xr:uid="{00000000-0005-0000-0000-0000B1B70000}"/>
    <cellStyle name="Text 3 5 2 2" xfId="47026" xr:uid="{00000000-0005-0000-0000-0000B2B70000}"/>
    <cellStyle name="Text 3 5 2 2 2" xfId="47027" xr:uid="{00000000-0005-0000-0000-0000B3B70000}"/>
    <cellStyle name="Text 3 5 2 2 3" xfId="47028" xr:uid="{00000000-0005-0000-0000-0000B4B70000}"/>
    <cellStyle name="Text 3 5 2 2 4" xfId="47029" xr:uid="{00000000-0005-0000-0000-0000B5B70000}"/>
    <cellStyle name="Text 3 5 2 2 5" xfId="47030" xr:uid="{00000000-0005-0000-0000-0000B6B70000}"/>
    <cellStyle name="Text 3 5 2 2 6" xfId="47031" xr:uid="{00000000-0005-0000-0000-0000B7B70000}"/>
    <cellStyle name="Text 3 5 2 3" xfId="47032" xr:uid="{00000000-0005-0000-0000-0000B8B70000}"/>
    <cellStyle name="Text 3 5 2 4" xfId="47033" xr:uid="{00000000-0005-0000-0000-0000B9B70000}"/>
    <cellStyle name="Text 3 5 2 5" xfId="47034" xr:uid="{00000000-0005-0000-0000-0000BAB70000}"/>
    <cellStyle name="Text 3 5 2 6" xfId="47035" xr:uid="{00000000-0005-0000-0000-0000BBB70000}"/>
    <cellStyle name="Text 3 5 3" xfId="47036" xr:uid="{00000000-0005-0000-0000-0000BCB70000}"/>
    <cellStyle name="Text 3 5 3 2" xfId="47037" xr:uid="{00000000-0005-0000-0000-0000BDB70000}"/>
    <cellStyle name="Text 3 5 3 2 2" xfId="47038" xr:uid="{00000000-0005-0000-0000-0000BEB70000}"/>
    <cellStyle name="Text 3 5 3 2 3" xfId="47039" xr:uid="{00000000-0005-0000-0000-0000BFB70000}"/>
    <cellStyle name="Text 3 5 3 2 4" xfId="47040" xr:uid="{00000000-0005-0000-0000-0000C0B70000}"/>
    <cellStyle name="Text 3 5 3 2 5" xfId="47041" xr:uid="{00000000-0005-0000-0000-0000C1B70000}"/>
    <cellStyle name="Text 3 5 3 2 6" xfId="47042" xr:uid="{00000000-0005-0000-0000-0000C2B70000}"/>
    <cellStyle name="Text 3 5 3 3" xfId="47043" xr:uid="{00000000-0005-0000-0000-0000C3B70000}"/>
    <cellStyle name="Text 3 5 3 4" xfId="47044" xr:uid="{00000000-0005-0000-0000-0000C4B70000}"/>
    <cellStyle name="Text 3 5 3 5" xfId="47045" xr:uid="{00000000-0005-0000-0000-0000C5B70000}"/>
    <cellStyle name="Text 3 5 3 6" xfId="47046" xr:uid="{00000000-0005-0000-0000-0000C6B70000}"/>
    <cellStyle name="Text 3 5 4" xfId="47047" xr:uid="{00000000-0005-0000-0000-0000C7B70000}"/>
    <cellStyle name="Text 3 5 4 2" xfId="47048" xr:uid="{00000000-0005-0000-0000-0000C8B70000}"/>
    <cellStyle name="Text 3 5 4 3" xfId="47049" xr:uid="{00000000-0005-0000-0000-0000C9B70000}"/>
    <cellStyle name="Text 3 5 4 4" xfId="47050" xr:uid="{00000000-0005-0000-0000-0000CAB70000}"/>
    <cellStyle name="Text 3 5 4 5" xfId="47051" xr:uid="{00000000-0005-0000-0000-0000CBB70000}"/>
    <cellStyle name="Text 3 5 4 6" xfId="47052" xr:uid="{00000000-0005-0000-0000-0000CCB70000}"/>
    <cellStyle name="Text 3 5 5" xfId="47053" xr:uid="{00000000-0005-0000-0000-0000CDB70000}"/>
    <cellStyle name="Text 3 5 6" xfId="47054" xr:uid="{00000000-0005-0000-0000-0000CEB70000}"/>
    <cellStyle name="Text 3 5 7" xfId="47055" xr:uid="{00000000-0005-0000-0000-0000CFB70000}"/>
    <cellStyle name="Text 3 5 8" xfId="47056" xr:uid="{00000000-0005-0000-0000-0000D0B70000}"/>
    <cellStyle name="Text 3 6" xfId="47057" xr:uid="{00000000-0005-0000-0000-0000D1B70000}"/>
    <cellStyle name="Text 3 6 2" xfId="47058" xr:uid="{00000000-0005-0000-0000-0000D2B70000}"/>
    <cellStyle name="Text 3 6 2 2" xfId="47059" xr:uid="{00000000-0005-0000-0000-0000D3B70000}"/>
    <cellStyle name="Text 3 6 2 2 2" xfId="47060" xr:uid="{00000000-0005-0000-0000-0000D4B70000}"/>
    <cellStyle name="Text 3 6 2 2 3" xfId="47061" xr:uid="{00000000-0005-0000-0000-0000D5B70000}"/>
    <cellStyle name="Text 3 6 2 2 4" xfId="47062" xr:uid="{00000000-0005-0000-0000-0000D6B70000}"/>
    <cellStyle name="Text 3 6 2 2 5" xfId="47063" xr:uid="{00000000-0005-0000-0000-0000D7B70000}"/>
    <cellStyle name="Text 3 6 2 2 6" xfId="47064" xr:uid="{00000000-0005-0000-0000-0000D8B70000}"/>
    <cellStyle name="Text 3 6 2 3" xfId="47065" xr:uid="{00000000-0005-0000-0000-0000D9B70000}"/>
    <cellStyle name="Text 3 6 2 4" xfId="47066" xr:uid="{00000000-0005-0000-0000-0000DAB70000}"/>
    <cellStyle name="Text 3 6 2 5" xfId="47067" xr:uid="{00000000-0005-0000-0000-0000DBB70000}"/>
    <cellStyle name="Text 3 6 2 6" xfId="47068" xr:uid="{00000000-0005-0000-0000-0000DCB70000}"/>
    <cellStyle name="Text 3 6 3" xfId="47069" xr:uid="{00000000-0005-0000-0000-0000DDB70000}"/>
    <cellStyle name="Text 3 6 3 2" xfId="47070" xr:uid="{00000000-0005-0000-0000-0000DEB70000}"/>
    <cellStyle name="Text 3 6 3 2 2" xfId="47071" xr:uid="{00000000-0005-0000-0000-0000DFB70000}"/>
    <cellStyle name="Text 3 6 3 2 3" xfId="47072" xr:uid="{00000000-0005-0000-0000-0000E0B70000}"/>
    <cellStyle name="Text 3 6 3 2 4" xfId="47073" xr:uid="{00000000-0005-0000-0000-0000E1B70000}"/>
    <cellStyle name="Text 3 6 3 2 5" xfId="47074" xr:uid="{00000000-0005-0000-0000-0000E2B70000}"/>
    <cellStyle name="Text 3 6 3 2 6" xfId="47075" xr:uid="{00000000-0005-0000-0000-0000E3B70000}"/>
    <cellStyle name="Text 3 6 3 3" xfId="47076" xr:uid="{00000000-0005-0000-0000-0000E4B70000}"/>
    <cellStyle name="Text 3 6 3 4" xfId="47077" xr:uid="{00000000-0005-0000-0000-0000E5B70000}"/>
    <cellStyle name="Text 3 6 3 5" xfId="47078" xr:uid="{00000000-0005-0000-0000-0000E6B70000}"/>
    <cellStyle name="Text 3 6 3 6" xfId="47079" xr:uid="{00000000-0005-0000-0000-0000E7B70000}"/>
    <cellStyle name="Text 3 6 4" xfId="47080" xr:uid="{00000000-0005-0000-0000-0000E8B70000}"/>
    <cellStyle name="Text 3 6 4 2" xfId="47081" xr:uid="{00000000-0005-0000-0000-0000E9B70000}"/>
    <cellStyle name="Text 3 6 4 3" xfId="47082" xr:uid="{00000000-0005-0000-0000-0000EAB70000}"/>
    <cellStyle name="Text 3 6 4 4" xfId="47083" xr:uid="{00000000-0005-0000-0000-0000EBB70000}"/>
    <cellStyle name="Text 3 6 4 5" xfId="47084" xr:uid="{00000000-0005-0000-0000-0000ECB70000}"/>
    <cellStyle name="Text 3 6 4 6" xfId="47085" xr:uid="{00000000-0005-0000-0000-0000EDB70000}"/>
    <cellStyle name="Text 3 6 5" xfId="47086" xr:uid="{00000000-0005-0000-0000-0000EEB70000}"/>
    <cellStyle name="Text 3 6 6" xfId="47087" xr:uid="{00000000-0005-0000-0000-0000EFB70000}"/>
    <cellStyle name="Text 3 6 7" xfId="47088" xr:uid="{00000000-0005-0000-0000-0000F0B70000}"/>
    <cellStyle name="Text 3 6 8" xfId="47089" xr:uid="{00000000-0005-0000-0000-0000F1B70000}"/>
    <cellStyle name="Text 3 7" xfId="47090" xr:uid="{00000000-0005-0000-0000-0000F2B70000}"/>
    <cellStyle name="Text 3 7 2" xfId="47091" xr:uid="{00000000-0005-0000-0000-0000F3B70000}"/>
    <cellStyle name="Text 3 7 2 2" xfId="47092" xr:uid="{00000000-0005-0000-0000-0000F4B70000}"/>
    <cellStyle name="Text 3 7 2 3" xfId="47093" xr:uid="{00000000-0005-0000-0000-0000F5B70000}"/>
    <cellStyle name="Text 3 7 2 4" xfId="47094" xr:uid="{00000000-0005-0000-0000-0000F6B70000}"/>
    <cellStyle name="Text 3 7 2 5" xfId="47095" xr:uid="{00000000-0005-0000-0000-0000F7B70000}"/>
    <cellStyle name="Text 3 7 2 6" xfId="47096" xr:uid="{00000000-0005-0000-0000-0000F8B70000}"/>
    <cellStyle name="Text 3 7 3" xfId="47097" xr:uid="{00000000-0005-0000-0000-0000F9B70000}"/>
    <cellStyle name="Text 3 7 4" xfId="47098" xr:uid="{00000000-0005-0000-0000-0000FAB70000}"/>
    <cellStyle name="Text 3 7 5" xfId="47099" xr:uid="{00000000-0005-0000-0000-0000FBB70000}"/>
    <cellStyle name="Text 3 7 6" xfId="47100" xr:uid="{00000000-0005-0000-0000-0000FCB70000}"/>
    <cellStyle name="Text 3 8" xfId="47101" xr:uid="{00000000-0005-0000-0000-0000FDB70000}"/>
    <cellStyle name="Text 3 8 2" xfId="47102" xr:uid="{00000000-0005-0000-0000-0000FEB70000}"/>
    <cellStyle name="Text 3 8 2 2" xfId="47103" xr:uid="{00000000-0005-0000-0000-0000FFB70000}"/>
    <cellStyle name="Text 3 8 2 3" xfId="47104" xr:uid="{00000000-0005-0000-0000-000000B80000}"/>
    <cellStyle name="Text 3 8 2 4" xfId="47105" xr:uid="{00000000-0005-0000-0000-000001B80000}"/>
    <cellStyle name="Text 3 8 2 5" xfId="47106" xr:uid="{00000000-0005-0000-0000-000002B80000}"/>
    <cellStyle name="Text 3 8 2 6" xfId="47107" xr:uid="{00000000-0005-0000-0000-000003B80000}"/>
    <cellStyle name="Text 3 8 3" xfId="47108" xr:uid="{00000000-0005-0000-0000-000004B80000}"/>
    <cellStyle name="Text 3 8 4" xfId="47109" xr:uid="{00000000-0005-0000-0000-000005B80000}"/>
    <cellStyle name="Text 3 8 5" xfId="47110" xr:uid="{00000000-0005-0000-0000-000006B80000}"/>
    <cellStyle name="Text 3 8 6" xfId="47111" xr:uid="{00000000-0005-0000-0000-000007B80000}"/>
    <cellStyle name="Text 3 9" xfId="47112" xr:uid="{00000000-0005-0000-0000-000008B80000}"/>
    <cellStyle name="Text 3 9 2" xfId="47113" xr:uid="{00000000-0005-0000-0000-000009B80000}"/>
    <cellStyle name="Text 3 9 3" xfId="47114" xr:uid="{00000000-0005-0000-0000-00000AB80000}"/>
    <cellStyle name="Text 3 9 4" xfId="47115" xr:uid="{00000000-0005-0000-0000-00000BB80000}"/>
    <cellStyle name="Text 3 9 5" xfId="47116" xr:uid="{00000000-0005-0000-0000-00000CB80000}"/>
    <cellStyle name="Text 3 9 6" xfId="47117" xr:uid="{00000000-0005-0000-0000-00000DB80000}"/>
    <cellStyle name="Text 4" xfId="47118" xr:uid="{00000000-0005-0000-0000-00000EB80000}"/>
    <cellStyle name="Text 4 2" xfId="47119" xr:uid="{00000000-0005-0000-0000-00000FB80000}"/>
    <cellStyle name="Text 4 2 2" xfId="47120" xr:uid="{00000000-0005-0000-0000-000010B80000}"/>
    <cellStyle name="Text 4 2 2 2" xfId="47121" xr:uid="{00000000-0005-0000-0000-000011B80000}"/>
    <cellStyle name="Text 4 2 2 3" xfId="47122" xr:uid="{00000000-0005-0000-0000-000012B80000}"/>
    <cellStyle name="Text 4 2 2 4" xfId="47123" xr:uid="{00000000-0005-0000-0000-000013B80000}"/>
    <cellStyle name="Text 4 2 2 5" xfId="47124" xr:uid="{00000000-0005-0000-0000-000014B80000}"/>
    <cellStyle name="Text 4 2 2 6" xfId="47125" xr:uid="{00000000-0005-0000-0000-000015B80000}"/>
    <cellStyle name="Text 4 2 3" xfId="47126" xr:uid="{00000000-0005-0000-0000-000016B80000}"/>
    <cellStyle name="Text 4 2 4" xfId="47127" xr:uid="{00000000-0005-0000-0000-000017B80000}"/>
    <cellStyle name="Text 4 2 5" xfId="47128" xr:uid="{00000000-0005-0000-0000-000018B80000}"/>
    <cellStyle name="Text 4 2 6" xfId="47129" xr:uid="{00000000-0005-0000-0000-000019B80000}"/>
    <cellStyle name="Text 4 3" xfId="47130" xr:uid="{00000000-0005-0000-0000-00001AB80000}"/>
    <cellStyle name="Text 4 3 2" xfId="47131" xr:uid="{00000000-0005-0000-0000-00001BB80000}"/>
    <cellStyle name="Text 4 3 2 2" xfId="47132" xr:uid="{00000000-0005-0000-0000-00001CB80000}"/>
    <cellStyle name="Text 4 3 2 3" xfId="47133" xr:uid="{00000000-0005-0000-0000-00001DB80000}"/>
    <cellStyle name="Text 4 3 2 4" xfId="47134" xr:uid="{00000000-0005-0000-0000-00001EB80000}"/>
    <cellStyle name="Text 4 3 2 5" xfId="47135" xr:uid="{00000000-0005-0000-0000-00001FB80000}"/>
    <cellStyle name="Text 4 3 2 6" xfId="47136" xr:uid="{00000000-0005-0000-0000-000020B80000}"/>
    <cellStyle name="Text 4 3 3" xfId="47137" xr:uid="{00000000-0005-0000-0000-000021B80000}"/>
    <cellStyle name="Text 4 3 4" xfId="47138" xr:uid="{00000000-0005-0000-0000-000022B80000}"/>
    <cellStyle name="Text 4 3 5" xfId="47139" xr:uid="{00000000-0005-0000-0000-000023B80000}"/>
    <cellStyle name="Text 4 3 6" xfId="47140" xr:uid="{00000000-0005-0000-0000-000024B80000}"/>
    <cellStyle name="Text 4 4" xfId="47141" xr:uid="{00000000-0005-0000-0000-000025B80000}"/>
    <cellStyle name="Text 4 4 2" xfId="47142" xr:uid="{00000000-0005-0000-0000-000026B80000}"/>
    <cellStyle name="Text 4 4 3" xfId="47143" xr:uid="{00000000-0005-0000-0000-000027B80000}"/>
    <cellStyle name="Text 4 4 4" xfId="47144" xr:uid="{00000000-0005-0000-0000-000028B80000}"/>
    <cellStyle name="Text 4 4 5" xfId="47145" xr:uid="{00000000-0005-0000-0000-000029B80000}"/>
    <cellStyle name="Text 4 4 6" xfId="47146" xr:uid="{00000000-0005-0000-0000-00002AB80000}"/>
    <cellStyle name="Text 4 5" xfId="47147" xr:uid="{00000000-0005-0000-0000-00002BB80000}"/>
    <cellStyle name="Text 4 6" xfId="47148" xr:uid="{00000000-0005-0000-0000-00002CB80000}"/>
    <cellStyle name="Text 4 7" xfId="47149" xr:uid="{00000000-0005-0000-0000-00002DB80000}"/>
    <cellStyle name="Text 4 8" xfId="47150" xr:uid="{00000000-0005-0000-0000-00002EB80000}"/>
    <cellStyle name="Text 5" xfId="47151" xr:uid="{00000000-0005-0000-0000-00002FB80000}"/>
    <cellStyle name="Text 5 2" xfId="47152" xr:uid="{00000000-0005-0000-0000-000030B80000}"/>
    <cellStyle name="Text 5 2 2" xfId="47153" xr:uid="{00000000-0005-0000-0000-000031B80000}"/>
    <cellStyle name="Text 5 2 2 2" xfId="47154" xr:uid="{00000000-0005-0000-0000-000032B80000}"/>
    <cellStyle name="Text 5 2 2 3" xfId="47155" xr:uid="{00000000-0005-0000-0000-000033B80000}"/>
    <cellStyle name="Text 5 2 2 4" xfId="47156" xr:uid="{00000000-0005-0000-0000-000034B80000}"/>
    <cellStyle name="Text 5 2 2 5" xfId="47157" xr:uid="{00000000-0005-0000-0000-000035B80000}"/>
    <cellStyle name="Text 5 2 2 6" xfId="47158" xr:uid="{00000000-0005-0000-0000-000036B80000}"/>
    <cellStyle name="Text 5 2 3" xfId="47159" xr:uid="{00000000-0005-0000-0000-000037B80000}"/>
    <cellStyle name="Text 5 2 4" xfId="47160" xr:uid="{00000000-0005-0000-0000-000038B80000}"/>
    <cellStyle name="Text 5 2 5" xfId="47161" xr:uid="{00000000-0005-0000-0000-000039B80000}"/>
    <cellStyle name="Text 5 2 6" xfId="47162" xr:uid="{00000000-0005-0000-0000-00003AB80000}"/>
    <cellStyle name="Text 5 3" xfId="47163" xr:uid="{00000000-0005-0000-0000-00003BB80000}"/>
    <cellStyle name="Text 5 3 2" xfId="47164" xr:uid="{00000000-0005-0000-0000-00003CB80000}"/>
    <cellStyle name="Text 5 3 2 2" xfId="47165" xr:uid="{00000000-0005-0000-0000-00003DB80000}"/>
    <cellStyle name="Text 5 3 2 3" xfId="47166" xr:uid="{00000000-0005-0000-0000-00003EB80000}"/>
    <cellStyle name="Text 5 3 2 4" xfId="47167" xr:uid="{00000000-0005-0000-0000-00003FB80000}"/>
    <cellStyle name="Text 5 3 2 5" xfId="47168" xr:uid="{00000000-0005-0000-0000-000040B80000}"/>
    <cellStyle name="Text 5 3 2 6" xfId="47169" xr:uid="{00000000-0005-0000-0000-000041B80000}"/>
    <cellStyle name="Text 5 3 3" xfId="47170" xr:uid="{00000000-0005-0000-0000-000042B80000}"/>
    <cellStyle name="Text 5 3 4" xfId="47171" xr:uid="{00000000-0005-0000-0000-000043B80000}"/>
    <cellStyle name="Text 5 3 5" xfId="47172" xr:uid="{00000000-0005-0000-0000-000044B80000}"/>
    <cellStyle name="Text 5 3 6" xfId="47173" xr:uid="{00000000-0005-0000-0000-000045B80000}"/>
    <cellStyle name="Text 5 4" xfId="47174" xr:uid="{00000000-0005-0000-0000-000046B80000}"/>
    <cellStyle name="Text 5 4 2" xfId="47175" xr:uid="{00000000-0005-0000-0000-000047B80000}"/>
    <cellStyle name="Text 5 4 3" xfId="47176" xr:uid="{00000000-0005-0000-0000-000048B80000}"/>
    <cellStyle name="Text 5 4 4" xfId="47177" xr:uid="{00000000-0005-0000-0000-000049B80000}"/>
    <cellStyle name="Text 5 4 5" xfId="47178" xr:uid="{00000000-0005-0000-0000-00004AB80000}"/>
    <cellStyle name="Text 5 4 6" xfId="47179" xr:uid="{00000000-0005-0000-0000-00004BB80000}"/>
    <cellStyle name="Text 5 5" xfId="47180" xr:uid="{00000000-0005-0000-0000-00004CB80000}"/>
    <cellStyle name="Text 5 6" xfId="47181" xr:uid="{00000000-0005-0000-0000-00004DB80000}"/>
    <cellStyle name="Text 5 7" xfId="47182" xr:uid="{00000000-0005-0000-0000-00004EB80000}"/>
    <cellStyle name="Text 5 8" xfId="47183" xr:uid="{00000000-0005-0000-0000-00004FB80000}"/>
    <cellStyle name="Text 6" xfId="47184" xr:uid="{00000000-0005-0000-0000-000050B80000}"/>
    <cellStyle name="Text 6 2" xfId="47185" xr:uid="{00000000-0005-0000-0000-000051B80000}"/>
    <cellStyle name="Text 6 2 2" xfId="47186" xr:uid="{00000000-0005-0000-0000-000052B80000}"/>
    <cellStyle name="Text 6 2 2 2" xfId="47187" xr:uid="{00000000-0005-0000-0000-000053B80000}"/>
    <cellStyle name="Text 6 2 2 3" xfId="47188" xr:uid="{00000000-0005-0000-0000-000054B80000}"/>
    <cellStyle name="Text 6 2 2 4" xfId="47189" xr:uid="{00000000-0005-0000-0000-000055B80000}"/>
    <cellStyle name="Text 6 2 2 5" xfId="47190" xr:uid="{00000000-0005-0000-0000-000056B80000}"/>
    <cellStyle name="Text 6 2 2 6" xfId="47191" xr:uid="{00000000-0005-0000-0000-000057B80000}"/>
    <cellStyle name="Text 6 2 3" xfId="47192" xr:uid="{00000000-0005-0000-0000-000058B80000}"/>
    <cellStyle name="Text 6 2 4" xfId="47193" xr:uid="{00000000-0005-0000-0000-000059B80000}"/>
    <cellStyle name="Text 6 2 5" xfId="47194" xr:uid="{00000000-0005-0000-0000-00005AB80000}"/>
    <cellStyle name="Text 6 2 6" xfId="47195" xr:uid="{00000000-0005-0000-0000-00005BB80000}"/>
    <cellStyle name="Text 6 3" xfId="47196" xr:uid="{00000000-0005-0000-0000-00005CB80000}"/>
    <cellStyle name="Text 6 3 2" xfId="47197" xr:uid="{00000000-0005-0000-0000-00005DB80000}"/>
    <cellStyle name="Text 6 3 2 2" xfId="47198" xr:uid="{00000000-0005-0000-0000-00005EB80000}"/>
    <cellStyle name="Text 6 3 2 3" xfId="47199" xr:uid="{00000000-0005-0000-0000-00005FB80000}"/>
    <cellStyle name="Text 6 3 2 4" xfId="47200" xr:uid="{00000000-0005-0000-0000-000060B80000}"/>
    <cellStyle name="Text 6 3 2 5" xfId="47201" xr:uid="{00000000-0005-0000-0000-000061B80000}"/>
    <cellStyle name="Text 6 3 2 6" xfId="47202" xr:uid="{00000000-0005-0000-0000-000062B80000}"/>
    <cellStyle name="Text 6 3 3" xfId="47203" xr:uid="{00000000-0005-0000-0000-000063B80000}"/>
    <cellStyle name="Text 6 3 4" xfId="47204" xr:uid="{00000000-0005-0000-0000-000064B80000}"/>
    <cellStyle name="Text 6 3 5" xfId="47205" xr:uid="{00000000-0005-0000-0000-000065B80000}"/>
    <cellStyle name="Text 6 3 6" xfId="47206" xr:uid="{00000000-0005-0000-0000-000066B80000}"/>
    <cellStyle name="Text 6 4" xfId="47207" xr:uid="{00000000-0005-0000-0000-000067B80000}"/>
    <cellStyle name="Text 6 4 2" xfId="47208" xr:uid="{00000000-0005-0000-0000-000068B80000}"/>
    <cellStyle name="Text 6 4 3" xfId="47209" xr:uid="{00000000-0005-0000-0000-000069B80000}"/>
    <cellStyle name="Text 6 4 4" xfId="47210" xr:uid="{00000000-0005-0000-0000-00006AB80000}"/>
    <cellStyle name="Text 6 4 5" xfId="47211" xr:uid="{00000000-0005-0000-0000-00006BB80000}"/>
    <cellStyle name="Text 6 4 6" xfId="47212" xr:uid="{00000000-0005-0000-0000-00006CB80000}"/>
    <cellStyle name="Text 6 5" xfId="47213" xr:uid="{00000000-0005-0000-0000-00006DB80000}"/>
    <cellStyle name="Text 6 6" xfId="47214" xr:uid="{00000000-0005-0000-0000-00006EB80000}"/>
    <cellStyle name="Text 6 7" xfId="47215" xr:uid="{00000000-0005-0000-0000-00006FB80000}"/>
    <cellStyle name="Text 6 8" xfId="47216" xr:uid="{00000000-0005-0000-0000-000070B80000}"/>
    <cellStyle name="Text 7" xfId="47217" xr:uid="{00000000-0005-0000-0000-000071B80000}"/>
    <cellStyle name="Text 7 2" xfId="47218" xr:uid="{00000000-0005-0000-0000-000072B80000}"/>
    <cellStyle name="Text 7 2 2" xfId="47219" xr:uid="{00000000-0005-0000-0000-000073B80000}"/>
    <cellStyle name="Text 7 2 3" xfId="47220" xr:uid="{00000000-0005-0000-0000-000074B80000}"/>
    <cellStyle name="Text 7 2 4" xfId="47221" xr:uid="{00000000-0005-0000-0000-000075B80000}"/>
    <cellStyle name="Text 7 2 5" xfId="47222" xr:uid="{00000000-0005-0000-0000-000076B80000}"/>
    <cellStyle name="Text 7 2 6" xfId="47223" xr:uid="{00000000-0005-0000-0000-000077B80000}"/>
    <cellStyle name="Text 7 3" xfId="47224" xr:uid="{00000000-0005-0000-0000-000078B80000}"/>
    <cellStyle name="Text 7 4" xfId="47225" xr:uid="{00000000-0005-0000-0000-000079B80000}"/>
    <cellStyle name="Text 7 5" xfId="47226" xr:uid="{00000000-0005-0000-0000-00007AB80000}"/>
    <cellStyle name="Text 7 6" xfId="47227" xr:uid="{00000000-0005-0000-0000-00007BB80000}"/>
    <cellStyle name="Text 8" xfId="47228" xr:uid="{00000000-0005-0000-0000-00007CB80000}"/>
    <cellStyle name="Text 8 2" xfId="47229" xr:uid="{00000000-0005-0000-0000-00007DB80000}"/>
    <cellStyle name="Text 8 2 2" xfId="47230" xr:uid="{00000000-0005-0000-0000-00007EB80000}"/>
    <cellStyle name="Text 8 2 3" xfId="47231" xr:uid="{00000000-0005-0000-0000-00007FB80000}"/>
    <cellStyle name="Text 8 2 4" xfId="47232" xr:uid="{00000000-0005-0000-0000-000080B80000}"/>
    <cellStyle name="Text 8 2 5" xfId="47233" xr:uid="{00000000-0005-0000-0000-000081B80000}"/>
    <cellStyle name="Text 8 2 6" xfId="47234" xr:uid="{00000000-0005-0000-0000-000082B80000}"/>
    <cellStyle name="Text 8 3" xfId="47235" xr:uid="{00000000-0005-0000-0000-000083B80000}"/>
    <cellStyle name="Text 8 4" xfId="47236" xr:uid="{00000000-0005-0000-0000-000084B80000}"/>
    <cellStyle name="Text 8 5" xfId="47237" xr:uid="{00000000-0005-0000-0000-000085B80000}"/>
    <cellStyle name="Text 8 6" xfId="47238" xr:uid="{00000000-0005-0000-0000-000086B80000}"/>
    <cellStyle name="Text 9" xfId="47239" xr:uid="{00000000-0005-0000-0000-000087B80000}"/>
    <cellStyle name="Text 9 2" xfId="47240" xr:uid="{00000000-0005-0000-0000-000088B80000}"/>
    <cellStyle name="Text 9 3" xfId="47241" xr:uid="{00000000-0005-0000-0000-000089B80000}"/>
    <cellStyle name="Text 9 4" xfId="47242" xr:uid="{00000000-0005-0000-0000-00008AB80000}"/>
    <cellStyle name="Text 9 5" xfId="47243" xr:uid="{00000000-0005-0000-0000-00008BB80000}"/>
    <cellStyle name="Text 9 6" xfId="47244" xr:uid="{00000000-0005-0000-0000-00008CB80000}"/>
    <cellStyle name="Text Indent A" xfId="47245" xr:uid="{00000000-0005-0000-0000-00008DB80000}"/>
    <cellStyle name="Text Indent B" xfId="47246" xr:uid="{00000000-0005-0000-0000-00008EB80000}"/>
    <cellStyle name="Text Indent C" xfId="47247" xr:uid="{00000000-0005-0000-0000-00008FB80000}"/>
    <cellStyle name="þ_x001d_ð &amp;ý&amp;†ýG_x0008__x0009_X_x000a__x0007__x0001__x0001_" xfId="47248" xr:uid="{00000000-0005-0000-0000-000090B80000}"/>
    <cellStyle name="Time" xfId="47249" xr:uid="{00000000-0005-0000-0000-000091B80000}"/>
    <cellStyle name="Time 10" xfId="47250" xr:uid="{00000000-0005-0000-0000-000092B80000}"/>
    <cellStyle name="Time 11" xfId="47251" xr:uid="{00000000-0005-0000-0000-000093B80000}"/>
    <cellStyle name="Time 12" xfId="47252" xr:uid="{00000000-0005-0000-0000-000094B80000}"/>
    <cellStyle name="Time 13" xfId="47253" xr:uid="{00000000-0005-0000-0000-000095B80000}"/>
    <cellStyle name="Time 2" xfId="47254" xr:uid="{00000000-0005-0000-0000-000096B80000}"/>
    <cellStyle name="Time 2 10" xfId="47255" xr:uid="{00000000-0005-0000-0000-000097B80000}"/>
    <cellStyle name="Time 2 10 2" xfId="47256" xr:uid="{00000000-0005-0000-0000-000098B80000}"/>
    <cellStyle name="Time 2 10 3" xfId="47257" xr:uid="{00000000-0005-0000-0000-000099B80000}"/>
    <cellStyle name="Time 2 10 4" xfId="47258" xr:uid="{00000000-0005-0000-0000-00009AB80000}"/>
    <cellStyle name="Time 2 10 5" xfId="47259" xr:uid="{00000000-0005-0000-0000-00009BB80000}"/>
    <cellStyle name="Time 2 10 6" xfId="47260" xr:uid="{00000000-0005-0000-0000-00009CB80000}"/>
    <cellStyle name="Time 2 11" xfId="47261" xr:uid="{00000000-0005-0000-0000-00009DB80000}"/>
    <cellStyle name="Time 2 12" xfId="47262" xr:uid="{00000000-0005-0000-0000-00009EB80000}"/>
    <cellStyle name="Time 2 13" xfId="47263" xr:uid="{00000000-0005-0000-0000-00009FB80000}"/>
    <cellStyle name="Time 2 14" xfId="47264" xr:uid="{00000000-0005-0000-0000-0000A0B80000}"/>
    <cellStyle name="Time 2 2" xfId="47265" xr:uid="{00000000-0005-0000-0000-0000A1B80000}"/>
    <cellStyle name="Time 2 2 10" xfId="47266" xr:uid="{00000000-0005-0000-0000-0000A2B80000}"/>
    <cellStyle name="Time 2 2 11" xfId="47267" xr:uid="{00000000-0005-0000-0000-0000A3B80000}"/>
    <cellStyle name="Time 2 2 12" xfId="47268" xr:uid="{00000000-0005-0000-0000-0000A4B80000}"/>
    <cellStyle name="Time 2 2 13" xfId="47269" xr:uid="{00000000-0005-0000-0000-0000A5B80000}"/>
    <cellStyle name="Time 2 2 2" xfId="47270" xr:uid="{00000000-0005-0000-0000-0000A6B80000}"/>
    <cellStyle name="Time 2 2 2 2" xfId="47271" xr:uid="{00000000-0005-0000-0000-0000A7B80000}"/>
    <cellStyle name="Time 2 2 2 2 2" xfId="47272" xr:uid="{00000000-0005-0000-0000-0000A8B80000}"/>
    <cellStyle name="Time 2 2 2 2 2 2" xfId="47273" xr:uid="{00000000-0005-0000-0000-0000A9B80000}"/>
    <cellStyle name="Time 2 2 2 2 2 3" xfId="47274" xr:uid="{00000000-0005-0000-0000-0000AAB80000}"/>
    <cellStyle name="Time 2 2 2 2 2 4" xfId="47275" xr:uid="{00000000-0005-0000-0000-0000ABB80000}"/>
    <cellStyle name="Time 2 2 2 2 2 5" xfId="47276" xr:uid="{00000000-0005-0000-0000-0000ACB80000}"/>
    <cellStyle name="Time 2 2 2 2 2 6" xfId="47277" xr:uid="{00000000-0005-0000-0000-0000ADB80000}"/>
    <cellStyle name="Time 2 2 2 2 3" xfId="47278" xr:uid="{00000000-0005-0000-0000-0000AEB80000}"/>
    <cellStyle name="Time 2 2 2 2 4" xfId="47279" xr:uid="{00000000-0005-0000-0000-0000AFB80000}"/>
    <cellStyle name="Time 2 2 2 2 5" xfId="47280" xr:uid="{00000000-0005-0000-0000-0000B0B80000}"/>
    <cellStyle name="Time 2 2 2 2 6" xfId="47281" xr:uid="{00000000-0005-0000-0000-0000B1B80000}"/>
    <cellStyle name="Time 2 2 2 3" xfId="47282" xr:uid="{00000000-0005-0000-0000-0000B2B80000}"/>
    <cellStyle name="Time 2 2 2 3 2" xfId="47283" xr:uid="{00000000-0005-0000-0000-0000B3B80000}"/>
    <cellStyle name="Time 2 2 2 3 2 2" xfId="47284" xr:uid="{00000000-0005-0000-0000-0000B4B80000}"/>
    <cellStyle name="Time 2 2 2 3 2 3" xfId="47285" xr:uid="{00000000-0005-0000-0000-0000B5B80000}"/>
    <cellStyle name="Time 2 2 2 3 2 4" xfId="47286" xr:uid="{00000000-0005-0000-0000-0000B6B80000}"/>
    <cellStyle name="Time 2 2 2 3 2 5" xfId="47287" xr:uid="{00000000-0005-0000-0000-0000B7B80000}"/>
    <cellStyle name="Time 2 2 2 3 2 6" xfId="47288" xr:uid="{00000000-0005-0000-0000-0000B8B80000}"/>
    <cellStyle name="Time 2 2 2 3 3" xfId="47289" xr:uid="{00000000-0005-0000-0000-0000B9B80000}"/>
    <cellStyle name="Time 2 2 2 3 4" xfId="47290" xr:uid="{00000000-0005-0000-0000-0000BAB80000}"/>
    <cellStyle name="Time 2 2 2 3 5" xfId="47291" xr:uid="{00000000-0005-0000-0000-0000BBB80000}"/>
    <cellStyle name="Time 2 2 2 3 6" xfId="47292" xr:uid="{00000000-0005-0000-0000-0000BCB80000}"/>
    <cellStyle name="Time 2 2 2 4" xfId="47293" xr:uid="{00000000-0005-0000-0000-0000BDB80000}"/>
    <cellStyle name="Time 2 2 2 4 2" xfId="47294" xr:uid="{00000000-0005-0000-0000-0000BEB80000}"/>
    <cellStyle name="Time 2 2 2 4 3" xfId="47295" xr:uid="{00000000-0005-0000-0000-0000BFB80000}"/>
    <cellStyle name="Time 2 2 2 4 4" xfId="47296" xr:uid="{00000000-0005-0000-0000-0000C0B80000}"/>
    <cellStyle name="Time 2 2 2 4 5" xfId="47297" xr:uid="{00000000-0005-0000-0000-0000C1B80000}"/>
    <cellStyle name="Time 2 2 2 4 6" xfId="47298" xr:uid="{00000000-0005-0000-0000-0000C2B80000}"/>
    <cellStyle name="Time 2 2 2 5" xfId="47299" xr:uid="{00000000-0005-0000-0000-0000C3B80000}"/>
    <cellStyle name="Time 2 2 2 6" xfId="47300" xr:uid="{00000000-0005-0000-0000-0000C4B80000}"/>
    <cellStyle name="Time 2 2 2 7" xfId="47301" xr:uid="{00000000-0005-0000-0000-0000C5B80000}"/>
    <cellStyle name="Time 2 2 2 8" xfId="47302" xr:uid="{00000000-0005-0000-0000-0000C6B80000}"/>
    <cellStyle name="Time 2 2 3" xfId="47303" xr:uid="{00000000-0005-0000-0000-0000C7B80000}"/>
    <cellStyle name="Time 2 2 3 2" xfId="47304" xr:uid="{00000000-0005-0000-0000-0000C8B80000}"/>
    <cellStyle name="Time 2 2 3 2 2" xfId="47305" xr:uid="{00000000-0005-0000-0000-0000C9B80000}"/>
    <cellStyle name="Time 2 2 3 2 2 2" xfId="47306" xr:uid="{00000000-0005-0000-0000-0000CAB80000}"/>
    <cellStyle name="Time 2 2 3 2 2 3" xfId="47307" xr:uid="{00000000-0005-0000-0000-0000CBB80000}"/>
    <cellStyle name="Time 2 2 3 2 2 4" xfId="47308" xr:uid="{00000000-0005-0000-0000-0000CCB80000}"/>
    <cellStyle name="Time 2 2 3 2 2 5" xfId="47309" xr:uid="{00000000-0005-0000-0000-0000CDB80000}"/>
    <cellStyle name="Time 2 2 3 2 2 6" xfId="47310" xr:uid="{00000000-0005-0000-0000-0000CEB80000}"/>
    <cellStyle name="Time 2 2 3 2 3" xfId="47311" xr:uid="{00000000-0005-0000-0000-0000CFB80000}"/>
    <cellStyle name="Time 2 2 3 2 4" xfId="47312" xr:uid="{00000000-0005-0000-0000-0000D0B80000}"/>
    <cellStyle name="Time 2 2 3 2 5" xfId="47313" xr:uid="{00000000-0005-0000-0000-0000D1B80000}"/>
    <cellStyle name="Time 2 2 3 2 6" xfId="47314" xr:uid="{00000000-0005-0000-0000-0000D2B80000}"/>
    <cellStyle name="Time 2 2 3 3" xfId="47315" xr:uid="{00000000-0005-0000-0000-0000D3B80000}"/>
    <cellStyle name="Time 2 2 3 3 2" xfId="47316" xr:uid="{00000000-0005-0000-0000-0000D4B80000}"/>
    <cellStyle name="Time 2 2 3 3 2 2" xfId="47317" xr:uid="{00000000-0005-0000-0000-0000D5B80000}"/>
    <cellStyle name="Time 2 2 3 3 2 3" xfId="47318" xr:uid="{00000000-0005-0000-0000-0000D6B80000}"/>
    <cellStyle name="Time 2 2 3 3 2 4" xfId="47319" xr:uid="{00000000-0005-0000-0000-0000D7B80000}"/>
    <cellStyle name="Time 2 2 3 3 2 5" xfId="47320" xr:uid="{00000000-0005-0000-0000-0000D8B80000}"/>
    <cellStyle name="Time 2 2 3 3 2 6" xfId="47321" xr:uid="{00000000-0005-0000-0000-0000D9B80000}"/>
    <cellStyle name="Time 2 2 3 3 3" xfId="47322" xr:uid="{00000000-0005-0000-0000-0000DAB80000}"/>
    <cellStyle name="Time 2 2 3 3 4" xfId="47323" xr:uid="{00000000-0005-0000-0000-0000DBB80000}"/>
    <cellStyle name="Time 2 2 3 3 5" xfId="47324" xr:uid="{00000000-0005-0000-0000-0000DCB80000}"/>
    <cellStyle name="Time 2 2 3 3 6" xfId="47325" xr:uid="{00000000-0005-0000-0000-0000DDB80000}"/>
    <cellStyle name="Time 2 2 3 4" xfId="47326" xr:uid="{00000000-0005-0000-0000-0000DEB80000}"/>
    <cellStyle name="Time 2 2 3 4 2" xfId="47327" xr:uid="{00000000-0005-0000-0000-0000DFB80000}"/>
    <cellStyle name="Time 2 2 3 4 3" xfId="47328" xr:uid="{00000000-0005-0000-0000-0000E0B80000}"/>
    <cellStyle name="Time 2 2 3 4 4" xfId="47329" xr:uid="{00000000-0005-0000-0000-0000E1B80000}"/>
    <cellStyle name="Time 2 2 3 4 5" xfId="47330" xr:uid="{00000000-0005-0000-0000-0000E2B80000}"/>
    <cellStyle name="Time 2 2 3 4 6" xfId="47331" xr:uid="{00000000-0005-0000-0000-0000E3B80000}"/>
    <cellStyle name="Time 2 2 3 5" xfId="47332" xr:uid="{00000000-0005-0000-0000-0000E4B80000}"/>
    <cellStyle name="Time 2 2 3 6" xfId="47333" xr:uid="{00000000-0005-0000-0000-0000E5B80000}"/>
    <cellStyle name="Time 2 2 3 7" xfId="47334" xr:uid="{00000000-0005-0000-0000-0000E6B80000}"/>
    <cellStyle name="Time 2 2 3 8" xfId="47335" xr:uid="{00000000-0005-0000-0000-0000E7B80000}"/>
    <cellStyle name="Time 2 2 4" xfId="47336" xr:uid="{00000000-0005-0000-0000-0000E8B80000}"/>
    <cellStyle name="Time 2 2 4 2" xfId="47337" xr:uid="{00000000-0005-0000-0000-0000E9B80000}"/>
    <cellStyle name="Time 2 2 4 2 2" xfId="47338" xr:uid="{00000000-0005-0000-0000-0000EAB80000}"/>
    <cellStyle name="Time 2 2 4 2 2 2" xfId="47339" xr:uid="{00000000-0005-0000-0000-0000EBB80000}"/>
    <cellStyle name="Time 2 2 4 2 2 3" xfId="47340" xr:uid="{00000000-0005-0000-0000-0000ECB80000}"/>
    <cellStyle name="Time 2 2 4 2 2 4" xfId="47341" xr:uid="{00000000-0005-0000-0000-0000EDB80000}"/>
    <cellStyle name="Time 2 2 4 2 2 5" xfId="47342" xr:uid="{00000000-0005-0000-0000-0000EEB80000}"/>
    <cellStyle name="Time 2 2 4 2 2 6" xfId="47343" xr:uid="{00000000-0005-0000-0000-0000EFB80000}"/>
    <cellStyle name="Time 2 2 4 2 3" xfId="47344" xr:uid="{00000000-0005-0000-0000-0000F0B80000}"/>
    <cellStyle name="Time 2 2 4 2 4" xfId="47345" xr:uid="{00000000-0005-0000-0000-0000F1B80000}"/>
    <cellStyle name="Time 2 2 4 2 5" xfId="47346" xr:uid="{00000000-0005-0000-0000-0000F2B80000}"/>
    <cellStyle name="Time 2 2 4 2 6" xfId="47347" xr:uid="{00000000-0005-0000-0000-0000F3B80000}"/>
    <cellStyle name="Time 2 2 4 3" xfId="47348" xr:uid="{00000000-0005-0000-0000-0000F4B80000}"/>
    <cellStyle name="Time 2 2 4 3 2" xfId="47349" xr:uid="{00000000-0005-0000-0000-0000F5B80000}"/>
    <cellStyle name="Time 2 2 4 3 2 2" xfId="47350" xr:uid="{00000000-0005-0000-0000-0000F6B80000}"/>
    <cellStyle name="Time 2 2 4 3 2 3" xfId="47351" xr:uid="{00000000-0005-0000-0000-0000F7B80000}"/>
    <cellStyle name="Time 2 2 4 3 2 4" xfId="47352" xr:uid="{00000000-0005-0000-0000-0000F8B80000}"/>
    <cellStyle name="Time 2 2 4 3 2 5" xfId="47353" xr:uid="{00000000-0005-0000-0000-0000F9B80000}"/>
    <cellStyle name="Time 2 2 4 3 2 6" xfId="47354" xr:uid="{00000000-0005-0000-0000-0000FAB80000}"/>
    <cellStyle name="Time 2 2 4 3 3" xfId="47355" xr:uid="{00000000-0005-0000-0000-0000FBB80000}"/>
    <cellStyle name="Time 2 2 4 3 4" xfId="47356" xr:uid="{00000000-0005-0000-0000-0000FCB80000}"/>
    <cellStyle name="Time 2 2 4 3 5" xfId="47357" xr:uid="{00000000-0005-0000-0000-0000FDB80000}"/>
    <cellStyle name="Time 2 2 4 3 6" xfId="47358" xr:uid="{00000000-0005-0000-0000-0000FEB80000}"/>
    <cellStyle name="Time 2 2 4 4" xfId="47359" xr:uid="{00000000-0005-0000-0000-0000FFB80000}"/>
    <cellStyle name="Time 2 2 4 4 2" xfId="47360" xr:uid="{00000000-0005-0000-0000-000000B90000}"/>
    <cellStyle name="Time 2 2 4 4 3" xfId="47361" xr:uid="{00000000-0005-0000-0000-000001B90000}"/>
    <cellStyle name="Time 2 2 4 4 4" xfId="47362" xr:uid="{00000000-0005-0000-0000-000002B90000}"/>
    <cellStyle name="Time 2 2 4 4 5" xfId="47363" xr:uid="{00000000-0005-0000-0000-000003B90000}"/>
    <cellStyle name="Time 2 2 4 4 6" xfId="47364" xr:uid="{00000000-0005-0000-0000-000004B90000}"/>
    <cellStyle name="Time 2 2 4 5" xfId="47365" xr:uid="{00000000-0005-0000-0000-000005B90000}"/>
    <cellStyle name="Time 2 2 4 6" xfId="47366" xr:uid="{00000000-0005-0000-0000-000006B90000}"/>
    <cellStyle name="Time 2 2 4 7" xfId="47367" xr:uid="{00000000-0005-0000-0000-000007B90000}"/>
    <cellStyle name="Time 2 2 4 8" xfId="47368" xr:uid="{00000000-0005-0000-0000-000008B90000}"/>
    <cellStyle name="Time 2 2 5" xfId="47369" xr:uid="{00000000-0005-0000-0000-000009B90000}"/>
    <cellStyle name="Time 2 2 5 2" xfId="47370" xr:uid="{00000000-0005-0000-0000-00000AB90000}"/>
    <cellStyle name="Time 2 2 5 2 2" xfId="47371" xr:uid="{00000000-0005-0000-0000-00000BB90000}"/>
    <cellStyle name="Time 2 2 5 2 2 2" xfId="47372" xr:uid="{00000000-0005-0000-0000-00000CB90000}"/>
    <cellStyle name="Time 2 2 5 2 2 3" xfId="47373" xr:uid="{00000000-0005-0000-0000-00000DB90000}"/>
    <cellStyle name="Time 2 2 5 2 2 4" xfId="47374" xr:uid="{00000000-0005-0000-0000-00000EB90000}"/>
    <cellStyle name="Time 2 2 5 2 2 5" xfId="47375" xr:uid="{00000000-0005-0000-0000-00000FB90000}"/>
    <cellStyle name="Time 2 2 5 2 2 6" xfId="47376" xr:uid="{00000000-0005-0000-0000-000010B90000}"/>
    <cellStyle name="Time 2 2 5 2 3" xfId="47377" xr:uid="{00000000-0005-0000-0000-000011B90000}"/>
    <cellStyle name="Time 2 2 5 2 4" xfId="47378" xr:uid="{00000000-0005-0000-0000-000012B90000}"/>
    <cellStyle name="Time 2 2 5 2 5" xfId="47379" xr:uid="{00000000-0005-0000-0000-000013B90000}"/>
    <cellStyle name="Time 2 2 5 2 6" xfId="47380" xr:uid="{00000000-0005-0000-0000-000014B90000}"/>
    <cellStyle name="Time 2 2 5 3" xfId="47381" xr:uid="{00000000-0005-0000-0000-000015B90000}"/>
    <cellStyle name="Time 2 2 5 3 2" xfId="47382" xr:uid="{00000000-0005-0000-0000-000016B90000}"/>
    <cellStyle name="Time 2 2 5 3 2 2" xfId="47383" xr:uid="{00000000-0005-0000-0000-000017B90000}"/>
    <cellStyle name="Time 2 2 5 3 2 3" xfId="47384" xr:uid="{00000000-0005-0000-0000-000018B90000}"/>
    <cellStyle name="Time 2 2 5 3 2 4" xfId="47385" xr:uid="{00000000-0005-0000-0000-000019B90000}"/>
    <cellStyle name="Time 2 2 5 3 2 5" xfId="47386" xr:uid="{00000000-0005-0000-0000-00001AB90000}"/>
    <cellStyle name="Time 2 2 5 3 2 6" xfId="47387" xr:uid="{00000000-0005-0000-0000-00001BB90000}"/>
    <cellStyle name="Time 2 2 5 3 3" xfId="47388" xr:uid="{00000000-0005-0000-0000-00001CB90000}"/>
    <cellStyle name="Time 2 2 5 3 4" xfId="47389" xr:uid="{00000000-0005-0000-0000-00001DB90000}"/>
    <cellStyle name="Time 2 2 5 3 5" xfId="47390" xr:uid="{00000000-0005-0000-0000-00001EB90000}"/>
    <cellStyle name="Time 2 2 5 3 6" xfId="47391" xr:uid="{00000000-0005-0000-0000-00001FB90000}"/>
    <cellStyle name="Time 2 2 5 4" xfId="47392" xr:uid="{00000000-0005-0000-0000-000020B90000}"/>
    <cellStyle name="Time 2 2 5 4 2" xfId="47393" xr:uid="{00000000-0005-0000-0000-000021B90000}"/>
    <cellStyle name="Time 2 2 5 4 3" xfId="47394" xr:uid="{00000000-0005-0000-0000-000022B90000}"/>
    <cellStyle name="Time 2 2 5 4 4" xfId="47395" xr:uid="{00000000-0005-0000-0000-000023B90000}"/>
    <cellStyle name="Time 2 2 5 4 5" xfId="47396" xr:uid="{00000000-0005-0000-0000-000024B90000}"/>
    <cellStyle name="Time 2 2 5 4 6" xfId="47397" xr:uid="{00000000-0005-0000-0000-000025B90000}"/>
    <cellStyle name="Time 2 2 5 5" xfId="47398" xr:uid="{00000000-0005-0000-0000-000026B90000}"/>
    <cellStyle name="Time 2 2 5 6" xfId="47399" xr:uid="{00000000-0005-0000-0000-000027B90000}"/>
    <cellStyle name="Time 2 2 5 7" xfId="47400" xr:uid="{00000000-0005-0000-0000-000028B90000}"/>
    <cellStyle name="Time 2 2 5 8" xfId="47401" xr:uid="{00000000-0005-0000-0000-000029B90000}"/>
    <cellStyle name="Time 2 2 6" xfId="47402" xr:uid="{00000000-0005-0000-0000-00002AB90000}"/>
    <cellStyle name="Time 2 2 6 2" xfId="47403" xr:uid="{00000000-0005-0000-0000-00002BB90000}"/>
    <cellStyle name="Time 2 2 6 2 2" xfId="47404" xr:uid="{00000000-0005-0000-0000-00002CB90000}"/>
    <cellStyle name="Time 2 2 6 2 2 2" xfId="47405" xr:uid="{00000000-0005-0000-0000-00002DB90000}"/>
    <cellStyle name="Time 2 2 6 2 2 3" xfId="47406" xr:uid="{00000000-0005-0000-0000-00002EB90000}"/>
    <cellStyle name="Time 2 2 6 2 2 4" xfId="47407" xr:uid="{00000000-0005-0000-0000-00002FB90000}"/>
    <cellStyle name="Time 2 2 6 2 2 5" xfId="47408" xr:uid="{00000000-0005-0000-0000-000030B90000}"/>
    <cellStyle name="Time 2 2 6 2 2 6" xfId="47409" xr:uid="{00000000-0005-0000-0000-000031B90000}"/>
    <cellStyle name="Time 2 2 6 2 3" xfId="47410" xr:uid="{00000000-0005-0000-0000-000032B90000}"/>
    <cellStyle name="Time 2 2 6 2 4" xfId="47411" xr:uid="{00000000-0005-0000-0000-000033B90000}"/>
    <cellStyle name="Time 2 2 6 2 5" xfId="47412" xr:uid="{00000000-0005-0000-0000-000034B90000}"/>
    <cellStyle name="Time 2 2 6 2 6" xfId="47413" xr:uid="{00000000-0005-0000-0000-000035B90000}"/>
    <cellStyle name="Time 2 2 6 3" xfId="47414" xr:uid="{00000000-0005-0000-0000-000036B90000}"/>
    <cellStyle name="Time 2 2 6 3 2" xfId="47415" xr:uid="{00000000-0005-0000-0000-000037B90000}"/>
    <cellStyle name="Time 2 2 6 3 2 2" xfId="47416" xr:uid="{00000000-0005-0000-0000-000038B90000}"/>
    <cellStyle name="Time 2 2 6 3 2 3" xfId="47417" xr:uid="{00000000-0005-0000-0000-000039B90000}"/>
    <cellStyle name="Time 2 2 6 3 2 4" xfId="47418" xr:uid="{00000000-0005-0000-0000-00003AB90000}"/>
    <cellStyle name="Time 2 2 6 3 2 5" xfId="47419" xr:uid="{00000000-0005-0000-0000-00003BB90000}"/>
    <cellStyle name="Time 2 2 6 3 2 6" xfId="47420" xr:uid="{00000000-0005-0000-0000-00003CB90000}"/>
    <cellStyle name="Time 2 2 6 3 3" xfId="47421" xr:uid="{00000000-0005-0000-0000-00003DB90000}"/>
    <cellStyle name="Time 2 2 6 3 4" xfId="47422" xr:uid="{00000000-0005-0000-0000-00003EB90000}"/>
    <cellStyle name="Time 2 2 6 3 5" xfId="47423" xr:uid="{00000000-0005-0000-0000-00003FB90000}"/>
    <cellStyle name="Time 2 2 6 3 6" xfId="47424" xr:uid="{00000000-0005-0000-0000-000040B90000}"/>
    <cellStyle name="Time 2 2 6 4" xfId="47425" xr:uid="{00000000-0005-0000-0000-000041B90000}"/>
    <cellStyle name="Time 2 2 6 4 2" xfId="47426" xr:uid="{00000000-0005-0000-0000-000042B90000}"/>
    <cellStyle name="Time 2 2 6 4 3" xfId="47427" xr:uid="{00000000-0005-0000-0000-000043B90000}"/>
    <cellStyle name="Time 2 2 6 4 4" xfId="47428" xr:uid="{00000000-0005-0000-0000-000044B90000}"/>
    <cellStyle name="Time 2 2 6 4 5" xfId="47429" xr:uid="{00000000-0005-0000-0000-000045B90000}"/>
    <cellStyle name="Time 2 2 6 4 6" xfId="47430" xr:uid="{00000000-0005-0000-0000-000046B90000}"/>
    <cellStyle name="Time 2 2 6 5" xfId="47431" xr:uid="{00000000-0005-0000-0000-000047B90000}"/>
    <cellStyle name="Time 2 2 6 6" xfId="47432" xr:uid="{00000000-0005-0000-0000-000048B90000}"/>
    <cellStyle name="Time 2 2 6 7" xfId="47433" xr:uid="{00000000-0005-0000-0000-000049B90000}"/>
    <cellStyle name="Time 2 2 6 8" xfId="47434" xr:uid="{00000000-0005-0000-0000-00004AB90000}"/>
    <cellStyle name="Time 2 2 7" xfId="47435" xr:uid="{00000000-0005-0000-0000-00004BB90000}"/>
    <cellStyle name="Time 2 2 7 2" xfId="47436" xr:uid="{00000000-0005-0000-0000-00004CB90000}"/>
    <cellStyle name="Time 2 2 7 2 2" xfId="47437" xr:uid="{00000000-0005-0000-0000-00004DB90000}"/>
    <cellStyle name="Time 2 2 7 2 3" xfId="47438" xr:uid="{00000000-0005-0000-0000-00004EB90000}"/>
    <cellStyle name="Time 2 2 7 2 4" xfId="47439" xr:uid="{00000000-0005-0000-0000-00004FB90000}"/>
    <cellStyle name="Time 2 2 7 2 5" xfId="47440" xr:uid="{00000000-0005-0000-0000-000050B90000}"/>
    <cellStyle name="Time 2 2 7 2 6" xfId="47441" xr:uid="{00000000-0005-0000-0000-000051B90000}"/>
    <cellStyle name="Time 2 2 7 3" xfId="47442" xr:uid="{00000000-0005-0000-0000-000052B90000}"/>
    <cellStyle name="Time 2 2 7 4" xfId="47443" xr:uid="{00000000-0005-0000-0000-000053B90000}"/>
    <cellStyle name="Time 2 2 7 5" xfId="47444" xr:uid="{00000000-0005-0000-0000-000054B90000}"/>
    <cellStyle name="Time 2 2 7 6" xfId="47445" xr:uid="{00000000-0005-0000-0000-000055B90000}"/>
    <cellStyle name="Time 2 2 8" xfId="47446" xr:uid="{00000000-0005-0000-0000-000056B90000}"/>
    <cellStyle name="Time 2 2 8 2" xfId="47447" xr:uid="{00000000-0005-0000-0000-000057B90000}"/>
    <cellStyle name="Time 2 2 8 2 2" xfId="47448" xr:uid="{00000000-0005-0000-0000-000058B90000}"/>
    <cellStyle name="Time 2 2 8 2 3" xfId="47449" xr:uid="{00000000-0005-0000-0000-000059B90000}"/>
    <cellStyle name="Time 2 2 8 2 4" xfId="47450" xr:uid="{00000000-0005-0000-0000-00005AB90000}"/>
    <cellStyle name="Time 2 2 8 2 5" xfId="47451" xr:uid="{00000000-0005-0000-0000-00005BB90000}"/>
    <cellStyle name="Time 2 2 8 2 6" xfId="47452" xr:uid="{00000000-0005-0000-0000-00005CB90000}"/>
    <cellStyle name="Time 2 2 8 3" xfId="47453" xr:uid="{00000000-0005-0000-0000-00005DB90000}"/>
    <cellStyle name="Time 2 2 8 4" xfId="47454" xr:uid="{00000000-0005-0000-0000-00005EB90000}"/>
    <cellStyle name="Time 2 2 8 5" xfId="47455" xr:uid="{00000000-0005-0000-0000-00005FB90000}"/>
    <cellStyle name="Time 2 2 8 6" xfId="47456" xr:uid="{00000000-0005-0000-0000-000060B90000}"/>
    <cellStyle name="Time 2 2 9" xfId="47457" xr:uid="{00000000-0005-0000-0000-000061B90000}"/>
    <cellStyle name="Time 2 2 9 2" xfId="47458" xr:uid="{00000000-0005-0000-0000-000062B90000}"/>
    <cellStyle name="Time 2 2 9 3" xfId="47459" xr:uid="{00000000-0005-0000-0000-000063B90000}"/>
    <cellStyle name="Time 2 2 9 4" xfId="47460" xr:uid="{00000000-0005-0000-0000-000064B90000}"/>
    <cellStyle name="Time 2 2 9 5" xfId="47461" xr:uid="{00000000-0005-0000-0000-000065B90000}"/>
    <cellStyle name="Time 2 2 9 6" xfId="47462" xr:uid="{00000000-0005-0000-0000-000066B90000}"/>
    <cellStyle name="Time 2 3" xfId="47463" xr:uid="{00000000-0005-0000-0000-000067B90000}"/>
    <cellStyle name="Time 2 3 2" xfId="47464" xr:uid="{00000000-0005-0000-0000-000068B90000}"/>
    <cellStyle name="Time 2 3 2 2" xfId="47465" xr:uid="{00000000-0005-0000-0000-000069B90000}"/>
    <cellStyle name="Time 2 3 2 2 2" xfId="47466" xr:uid="{00000000-0005-0000-0000-00006AB90000}"/>
    <cellStyle name="Time 2 3 2 2 3" xfId="47467" xr:uid="{00000000-0005-0000-0000-00006BB90000}"/>
    <cellStyle name="Time 2 3 2 2 4" xfId="47468" xr:uid="{00000000-0005-0000-0000-00006CB90000}"/>
    <cellStyle name="Time 2 3 2 2 5" xfId="47469" xr:uid="{00000000-0005-0000-0000-00006DB90000}"/>
    <cellStyle name="Time 2 3 2 2 6" xfId="47470" xr:uid="{00000000-0005-0000-0000-00006EB90000}"/>
    <cellStyle name="Time 2 3 2 3" xfId="47471" xr:uid="{00000000-0005-0000-0000-00006FB90000}"/>
    <cellStyle name="Time 2 3 2 4" xfId="47472" xr:uid="{00000000-0005-0000-0000-000070B90000}"/>
    <cellStyle name="Time 2 3 2 5" xfId="47473" xr:uid="{00000000-0005-0000-0000-000071B90000}"/>
    <cellStyle name="Time 2 3 2 6" xfId="47474" xr:uid="{00000000-0005-0000-0000-000072B90000}"/>
    <cellStyle name="Time 2 3 3" xfId="47475" xr:uid="{00000000-0005-0000-0000-000073B90000}"/>
    <cellStyle name="Time 2 3 3 2" xfId="47476" xr:uid="{00000000-0005-0000-0000-000074B90000}"/>
    <cellStyle name="Time 2 3 3 2 2" xfId="47477" xr:uid="{00000000-0005-0000-0000-000075B90000}"/>
    <cellStyle name="Time 2 3 3 2 3" xfId="47478" xr:uid="{00000000-0005-0000-0000-000076B90000}"/>
    <cellStyle name="Time 2 3 3 2 4" xfId="47479" xr:uid="{00000000-0005-0000-0000-000077B90000}"/>
    <cellStyle name="Time 2 3 3 2 5" xfId="47480" xr:uid="{00000000-0005-0000-0000-000078B90000}"/>
    <cellStyle name="Time 2 3 3 2 6" xfId="47481" xr:uid="{00000000-0005-0000-0000-000079B90000}"/>
    <cellStyle name="Time 2 3 3 3" xfId="47482" xr:uid="{00000000-0005-0000-0000-00007AB90000}"/>
    <cellStyle name="Time 2 3 3 4" xfId="47483" xr:uid="{00000000-0005-0000-0000-00007BB90000}"/>
    <cellStyle name="Time 2 3 3 5" xfId="47484" xr:uid="{00000000-0005-0000-0000-00007CB90000}"/>
    <cellStyle name="Time 2 3 3 6" xfId="47485" xr:uid="{00000000-0005-0000-0000-00007DB90000}"/>
    <cellStyle name="Time 2 3 4" xfId="47486" xr:uid="{00000000-0005-0000-0000-00007EB90000}"/>
    <cellStyle name="Time 2 3 4 2" xfId="47487" xr:uid="{00000000-0005-0000-0000-00007FB90000}"/>
    <cellStyle name="Time 2 3 4 3" xfId="47488" xr:uid="{00000000-0005-0000-0000-000080B90000}"/>
    <cellStyle name="Time 2 3 4 4" xfId="47489" xr:uid="{00000000-0005-0000-0000-000081B90000}"/>
    <cellStyle name="Time 2 3 4 5" xfId="47490" xr:uid="{00000000-0005-0000-0000-000082B90000}"/>
    <cellStyle name="Time 2 3 4 6" xfId="47491" xr:uid="{00000000-0005-0000-0000-000083B90000}"/>
    <cellStyle name="Time 2 3 5" xfId="47492" xr:uid="{00000000-0005-0000-0000-000084B90000}"/>
    <cellStyle name="Time 2 3 6" xfId="47493" xr:uid="{00000000-0005-0000-0000-000085B90000}"/>
    <cellStyle name="Time 2 3 7" xfId="47494" xr:uid="{00000000-0005-0000-0000-000086B90000}"/>
    <cellStyle name="Time 2 3 8" xfId="47495" xr:uid="{00000000-0005-0000-0000-000087B90000}"/>
    <cellStyle name="Time 2 4" xfId="47496" xr:uid="{00000000-0005-0000-0000-000088B90000}"/>
    <cellStyle name="Time 2 4 2" xfId="47497" xr:uid="{00000000-0005-0000-0000-000089B90000}"/>
    <cellStyle name="Time 2 4 2 2" xfId="47498" xr:uid="{00000000-0005-0000-0000-00008AB90000}"/>
    <cellStyle name="Time 2 4 2 2 2" xfId="47499" xr:uid="{00000000-0005-0000-0000-00008BB90000}"/>
    <cellStyle name="Time 2 4 2 2 3" xfId="47500" xr:uid="{00000000-0005-0000-0000-00008CB90000}"/>
    <cellStyle name="Time 2 4 2 2 4" xfId="47501" xr:uid="{00000000-0005-0000-0000-00008DB90000}"/>
    <cellStyle name="Time 2 4 2 2 5" xfId="47502" xr:uid="{00000000-0005-0000-0000-00008EB90000}"/>
    <cellStyle name="Time 2 4 2 2 6" xfId="47503" xr:uid="{00000000-0005-0000-0000-00008FB90000}"/>
    <cellStyle name="Time 2 4 2 3" xfId="47504" xr:uid="{00000000-0005-0000-0000-000090B90000}"/>
    <cellStyle name="Time 2 4 2 4" xfId="47505" xr:uid="{00000000-0005-0000-0000-000091B90000}"/>
    <cellStyle name="Time 2 4 2 5" xfId="47506" xr:uid="{00000000-0005-0000-0000-000092B90000}"/>
    <cellStyle name="Time 2 4 2 6" xfId="47507" xr:uid="{00000000-0005-0000-0000-000093B90000}"/>
    <cellStyle name="Time 2 4 3" xfId="47508" xr:uid="{00000000-0005-0000-0000-000094B90000}"/>
    <cellStyle name="Time 2 4 3 2" xfId="47509" xr:uid="{00000000-0005-0000-0000-000095B90000}"/>
    <cellStyle name="Time 2 4 3 2 2" xfId="47510" xr:uid="{00000000-0005-0000-0000-000096B90000}"/>
    <cellStyle name="Time 2 4 3 2 3" xfId="47511" xr:uid="{00000000-0005-0000-0000-000097B90000}"/>
    <cellStyle name="Time 2 4 3 2 4" xfId="47512" xr:uid="{00000000-0005-0000-0000-000098B90000}"/>
    <cellStyle name="Time 2 4 3 2 5" xfId="47513" xr:uid="{00000000-0005-0000-0000-000099B90000}"/>
    <cellStyle name="Time 2 4 3 2 6" xfId="47514" xr:uid="{00000000-0005-0000-0000-00009AB90000}"/>
    <cellStyle name="Time 2 4 3 3" xfId="47515" xr:uid="{00000000-0005-0000-0000-00009BB90000}"/>
    <cellStyle name="Time 2 4 3 4" xfId="47516" xr:uid="{00000000-0005-0000-0000-00009CB90000}"/>
    <cellStyle name="Time 2 4 3 5" xfId="47517" xr:uid="{00000000-0005-0000-0000-00009DB90000}"/>
    <cellStyle name="Time 2 4 3 6" xfId="47518" xr:uid="{00000000-0005-0000-0000-00009EB90000}"/>
    <cellStyle name="Time 2 4 4" xfId="47519" xr:uid="{00000000-0005-0000-0000-00009FB90000}"/>
    <cellStyle name="Time 2 4 4 2" xfId="47520" xr:uid="{00000000-0005-0000-0000-0000A0B90000}"/>
    <cellStyle name="Time 2 4 4 3" xfId="47521" xr:uid="{00000000-0005-0000-0000-0000A1B90000}"/>
    <cellStyle name="Time 2 4 4 4" xfId="47522" xr:uid="{00000000-0005-0000-0000-0000A2B90000}"/>
    <cellStyle name="Time 2 4 4 5" xfId="47523" xr:uid="{00000000-0005-0000-0000-0000A3B90000}"/>
    <cellStyle name="Time 2 4 4 6" xfId="47524" xr:uid="{00000000-0005-0000-0000-0000A4B90000}"/>
    <cellStyle name="Time 2 4 5" xfId="47525" xr:uid="{00000000-0005-0000-0000-0000A5B90000}"/>
    <cellStyle name="Time 2 4 6" xfId="47526" xr:uid="{00000000-0005-0000-0000-0000A6B90000}"/>
    <cellStyle name="Time 2 4 7" xfId="47527" xr:uid="{00000000-0005-0000-0000-0000A7B90000}"/>
    <cellStyle name="Time 2 4 8" xfId="47528" xr:uid="{00000000-0005-0000-0000-0000A8B90000}"/>
    <cellStyle name="Time 2 5" xfId="47529" xr:uid="{00000000-0005-0000-0000-0000A9B90000}"/>
    <cellStyle name="Time 2 5 2" xfId="47530" xr:uid="{00000000-0005-0000-0000-0000AAB90000}"/>
    <cellStyle name="Time 2 5 2 2" xfId="47531" xr:uid="{00000000-0005-0000-0000-0000ABB90000}"/>
    <cellStyle name="Time 2 5 2 2 2" xfId="47532" xr:uid="{00000000-0005-0000-0000-0000ACB90000}"/>
    <cellStyle name="Time 2 5 2 2 3" xfId="47533" xr:uid="{00000000-0005-0000-0000-0000ADB90000}"/>
    <cellStyle name="Time 2 5 2 2 4" xfId="47534" xr:uid="{00000000-0005-0000-0000-0000AEB90000}"/>
    <cellStyle name="Time 2 5 2 2 5" xfId="47535" xr:uid="{00000000-0005-0000-0000-0000AFB90000}"/>
    <cellStyle name="Time 2 5 2 2 6" xfId="47536" xr:uid="{00000000-0005-0000-0000-0000B0B90000}"/>
    <cellStyle name="Time 2 5 2 3" xfId="47537" xr:uid="{00000000-0005-0000-0000-0000B1B90000}"/>
    <cellStyle name="Time 2 5 2 4" xfId="47538" xr:uid="{00000000-0005-0000-0000-0000B2B90000}"/>
    <cellStyle name="Time 2 5 2 5" xfId="47539" xr:uid="{00000000-0005-0000-0000-0000B3B90000}"/>
    <cellStyle name="Time 2 5 2 6" xfId="47540" xr:uid="{00000000-0005-0000-0000-0000B4B90000}"/>
    <cellStyle name="Time 2 5 3" xfId="47541" xr:uid="{00000000-0005-0000-0000-0000B5B90000}"/>
    <cellStyle name="Time 2 5 3 2" xfId="47542" xr:uid="{00000000-0005-0000-0000-0000B6B90000}"/>
    <cellStyle name="Time 2 5 3 2 2" xfId="47543" xr:uid="{00000000-0005-0000-0000-0000B7B90000}"/>
    <cellStyle name="Time 2 5 3 2 3" xfId="47544" xr:uid="{00000000-0005-0000-0000-0000B8B90000}"/>
    <cellStyle name="Time 2 5 3 2 4" xfId="47545" xr:uid="{00000000-0005-0000-0000-0000B9B90000}"/>
    <cellStyle name="Time 2 5 3 2 5" xfId="47546" xr:uid="{00000000-0005-0000-0000-0000BAB90000}"/>
    <cellStyle name="Time 2 5 3 2 6" xfId="47547" xr:uid="{00000000-0005-0000-0000-0000BBB90000}"/>
    <cellStyle name="Time 2 5 3 3" xfId="47548" xr:uid="{00000000-0005-0000-0000-0000BCB90000}"/>
    <cellStyle name="Time 2 5 3 4" xfId="47549" xr:uid="{00000000-0005-0000-0000-0000BDB90000}"/>
    <cellStyle name="Time 2 5 3 5" xfId="47550" xr:uid="{00000000-0005-0000-0000-0000BEB90000}"/>
    <cellStyle name="Time 2 5 3 6" xfId="47551" xr:uid="{00000000-0005-0000-0000-0000BFB90000}"/>
    <cellStyle name="Time 2 5 4" xfId="47552" xr:uid="{00000000-0005-0000-0000-0000C0B90000}"/>
    <cellStyle name="Time 2 5 4 2" xfId="47553" xr:uid="{00000000-0005-0000-0000-0000C1B90000}"/>
    <cellStyle name="Time 2 5 4 3" xfId="47554" xr:uid="{00000000-0005-0000-0000-0000C2B90000}"/>
    <cellStyle name="Time 2 5 4 4" xfId="47555" xr:uid="{00000000-0005-0000-0000-0000C3B90000}"/>
    <cellStyle name="Time 2 5 4 5" xfId="47556" xr:uid="{00000000-0005-0000-0000-0000C4B90000}"/>
    <cellStyle name="Time 2 5 4 6" xfId="47557" xr:uid="{00000000-0005-0000-0000-0000C5B90000}"/>
    <cellStyle name="Time 2 5 5" xfId="47558" xr:uid="{00000000-0005-0000-0000-0000C6B90000}"/>
    <cellStyle name="Time 2 5 6" xfId="47559" xr:uid="{00000000-0005-0000-0000-0000C7B90000}"/>
    <cellStyle name="Time 2 5 7" xfId="47560" xr:uid="{00000000-0005-0000-0000-0000C8B90000}"/>
    <cellStyle name="Time 2 5 8" xfId="47561" xr:uid="{00000000-0005-0000-0000-0000C9B90000}"/>
    <cellStyle name="Time 2 6" xfId="47562" xr:uid="{00000000-0005-0000-0000-0000CAB90000}"/>
    <cellStyle name="Time 2 6 2" xfId="47563" xr:uid="{00000000-0005-0000-0000-0000CBB90000}"/>
    <cellStyle name="Time 2 6 2 2" xfId="47564" xr:uid="{00000000-0005-0000-0000-0000CCB90000}"/>
    <cellStyle name="Time 2 6 2 2 2" xfId="47565" xr:uid="{00000000-0005-0000-0000-0000CDB90000}"/>
    <cellStyle name="Time 2 6 2 2 3" xfId="47566" xr:uid="{00000000-0005-0000-0000-0000CEB90000}"/>
    <cellStyle name="Time 2 6 2 2 4" xfId="47567" xr:uid="{00000000-0005-0000-0000-0000CFB90000}"/>
    <cellStyle name="Time 2 6 2 2 5" xfId="47568" xr:uid="{00000000-0005-0000-0000-0000D0B90000}"/>
    <cellStyle name="Time 2 6 2 2 6" xfId="47569" xr:uid="{00000000-0005-0000-0000-0000D1B90000}"/>
    <cellStyle name="Time 2 6 2 3" xfId="47570" xr:uid="{00000000-0005-0000-0000-0000D2B90000}"/>
    <cellStyle name="Time 2 6 2 4" xfId="47571" xr:uid="{00000000-0005-0000-0000-0000D3B90000}"/>
    <cellStyle name="Time 2 6 2 5" xfId="47572" xr:uid="{00000000-0005-0000-0000-0000D4B90000}"/>
    <cellStyle name="Time 2 6 2 6" xfId="47573" xr:uid="{00000000-0005-0000-0000-0000D5B90000}"/>
    <cellStyle name="Time 2 6 3" xfId="47574" xr:uid="{00000000-0005-0000-0000-0000D6B90000}"/>
    <cellStyle name="Time 2 6 3 2" xfId="47575" xr:uid="{00000000-0005-0000-0000-0000D7B90000}"/>
    <cellStyle name="Time 2 6 3 2 2" xfId="47576" xr:uid="{00000000-0005-0000-0000-0000D8B90000}"/>
    <cellStyle name="Time 2 6 3 2 3" xfId="47577" xr:uid="{00000000-0005-0000-0000-0000D9B90000}"/>
    <cellStyle name="Time 2 6 3 2 4" xfId="47578" xr:uid="{00000000-0005-0000-0000-0000DAB90000}"/>
    <cellStyle name="Time 2 6 3 2 5" xfId="47579" xr:uid="{00000000-0005-0000-0000-0000DBB90000}"/>
    <cellStyle name="Time 2 6 3 2 6" xfId="47580" xr:uid="{00000000-0005-0000-0000-0000DCB90000}"/>
    <cellStyle name="Time 2 6 3 3" xfId="47581" xr:uid="{00000000-0005-0000-0000-0000DDB90000}"/>
    <cellStyle name="Time 2 6 3 4" xfId="47582" xr:uid="{00000000-0005-0000-0000-0000DEB90000}"/>
    <cellStyle name="Time 2 6 3 5" xfId="47583" xr:uid="{00000000-0005-0000-0000-0000DFB90000}"/>
    <cellStyle name="Time 2 6 3 6" xfId="47584" xr:uid="{00000000-0005-0000-0000-0000E0B90000}"/>
    <cellStyle name="Time 2 6 4" xfId="47585" xr:uid="{00000000-0005-0000-0000-0000E1B90000}"/>
    <cellStyle name="Time 2 6 4 2" xfId="47586" xr:uid="{00000000-0005-0000-0000-0000E2B90000}"/>
    <cellStyle name="Time 2 6 4 3" xfId="47587" xr:uid="{00000000-0005-0000-0000-0000E3B90000}"/>
    <cellStyle name="Time 2 6 4 4" xfId="47588" xr:uid="{00000000-0005-0000-0000-0000E4B90000}"/>
    <cellStyle name="Time 2 6 4 5" xfId="47589" xr:uid="{00000000-0005-0000-0000-0000E5B90000}"/>
    <cellStyle name="Time 2 6 4 6" xfId="47590" xr:uid="{00000000-0005-0000-0000-0000E6B90000}"/>
    <cellStyle name="Time 2 6 5" xfId="47591" xr:uid="{00000000-0005-0000-0000-0000E7B90000}"/>
    <cellStyle name="Time 2 6 6" xfId="47592" xr:uid="{00000000-0005-0000-0000-0000E8B90000}"/>
    <cellStyle name="Time 2 6 7" xfId="47593" xr:uid="{00000000-0005-0000-0000-0000E9B90000}"/>
    <cellStyle name="Time 2 6 8" xfId="47594" xr:uid="{00000000-0005-0000-0000-0000EAB90000}"/>
    <cellStyle name="Time 2 7" xfId="47595" xr:uid="{00000000-0005-0000-0000-0000EBB90000}"/>
    <cellStyle name="Time 2 7 2" xfId="47596" xr:uid="{00000000-0005-0000-0000-0000ECB90000}"/>
    <cellStyle name="Time 2 7 2 2" xfId="47597" xr:uid="{00000000-0005-0000-0000-0000EDB90000}"/>
    <cellStyle name="Time 2 7 2 2 2" xfId="47598" xr:uid="{00000000-0005-0000-0000-0000EEB90000}"/>
    <cellStyle name="Time 2 7 2 2 3" xfId="47599" xr:uid="{00000000-0005-0000-0000-0000EFB90000}"/>
    <cellStyle name="Time 2 7 2 2 4" xfId="47600" xr:uid="{00000000-0005-0000-0000-0000F0B90000}"/>
    <cellStyle name="Time 2 7 2 2 5" xfId="47601" xr:uid="{00000000-0005-0000-0000-0000F1B90000}"/>
    <cellStyle name="Time 2 7 2 2 6" xfId="47602" xr:uid="{00000000-0005-0000-0000-0000F2B90000}"/>
    <cellStyle name="Time 2 7 2 3" xfId="47603" xr:uid="{00000000-0005-0000-0000-0000F3B90000}"/>
    <cellStyle name="Time 2 7 2 4" xfId="47604" xr:uid="{00000000-0005-0000-0000-0000F4B90000}"/>
    <cellStyle name="Time 2 7 2 5" xfId="47605" xr:uid="{00000000-0005-0000-0000-0000F5B90000}"/>
    <cellStyle name="Time 2 7 2 6" xfId="47606" xr:uid="{00000000-0005-0000-0000-0000F6B90000}"/>
    <cellStyle name="Time 2 7 3" xfId="47607" xr:uid="{00000000-0005-0000-0000-0000F7B90000}"/>
    <cellStyle name="Time 2 7 3 2" xfId="47608" xr:uid="{00000000-0005-0000-0000-0000F8B90000}"/>
    <cellStyle name="Time 2 7 3 2 2" xfId="47609" xr:uid="{00000000-0005-0000-0000-0000F9B90000}"/>
    <cellStyle name="Time 2 7 3 2 3" xfId="47610" xr:uid="{00000000-0005-0000-0000-0000FAB90000}"/>
    <cellStyle name="Time 2 7 3 2 4" xfId="47611" xr:uid="{00000000-0005-0000-0000-0000FBB90000}"/>
    <cellStyle name="Time 2 7 3 2 5" xfId="47612" xr:uid="{00000000-0005-0000-0000-0000FCB90000}"/>
    <cellStyle name="Time 2 7 3 2 6" xfId="47613" xr:uid="{00000000-0005-0000-0000-0000FDB90000}"/>
    <cellStyle name="Time 2 7 3 3" xfId="47614" xr:uid="{00000000-0005-0000-0000-0000FEB90000}"/>
    <cellStyle name="Time 2 7 3 4" xfId="47615" xr:uid="{00000000-0005-0000-0000-0000FFB90000}"/>
    <cellStyle name="Time 2 7 3 5" xfId="47616" xr:uid="{00000000-0005-0000-0000-000000BA0000}"/>
    <cellStyle name="Time 2 7 3 6" xfId="47617" xr:uid="{00000000-0005-0000-0000-000001BA0000}"/>
    <cellStyle name="Time 2 7 4" xfId="47618" xr:uid="{00000000-0005-0000-0000-000002BA0000}"/>
    <cellStyle name="Time 2 7 4 2" xfId="47619" xr:uid="{00000000-0005-0000-0000-000003BA0000}"/>
    <cellStyle name="Time 2 7 4 3" xfId="47620" xr:uid="{00000000-0005-0000-0000-000004BA0000}"/>
    <cellStyle name="Time 2 7 4 4" xfId="47621" xr:uid="{00000000-0005-0000-0000-000005BA0000}"/>
    <cellStyle name="Time 2 7 4 5" xfId="47622" xr:uid="{00000000-0005-0000-0000-000006BA0000}"/>
    <cellStyle name="Time 2 7 4 6" xfId="47623" xr:uid="{00000000-0005-0000-0000-000007BA0000}"/>
    <cellStyle name="Time 2 7 5" xfId="47624" xr:uid="{00000000-0005-0000-0000-000008BA0000}"/>
    <cellStyle name="Time 2 7 6" xfId="47625" xr:uid="{00000000-0005-0000-0000-000009BA0000}"/>
    <cellStyle name="Time 2 7 7" xfId="47626" xr:uid="{00000000-0005-0000-0000-00000ABA0000}"/>
    <cellStyle name="Time 2 7 8" xfId="47627" xr:uid="{00000000-0005-0000-0000-00000BBA0000}"/>
    <cellStyle name="Time 2 8" xfId="47628" xr:uid="{00000000-0005-0000-0000-00000CBA0000}"/>
    <cellStyle name="Time 2 8 2" xfId="47629" xr:uid="{00000000-0005-0000-0000-00000DBA0000}"/>
    <cellStyle name="Time 2 8 2 2" xfId="47630" xr:uid="{00000000-0005-0000-0000-00000EBA0000}"/>
    <cellStyle name="Time 2 8 2 3" xfId="47631" xr:uid="{00000000-0005-0000-0000-00000FBA0000}"/>
    <cellStyle name="Time 2 8 2 4" xfId="47632" xr:uid="{00000000-0005-0000-0000-000010BA0000}"/>
    <cellStyle name="Time 2 8 2 5" xfId="47633" xr:uid="{00000000-0005-0000-0000-000011BA0000}"/>
    <cellStyle name="Time 2 8 2 6" xfId="47634" xr:uid="{00000000-0005-0000-0000-000012BA0000}"/>
    <cellStyle name="Time 2 8 3" xfId="47635" xr:uid="{00000000-0005-0000-0000-000013BA0000}"/>
    <cellStyle name="Time 2 8 4" xfId="47636" xr:uid="{00000000-0005-0000-0000-000014BA0000}"/>
    <cellStyle name="Time 2 8 5" xfId="47637" xr:uid="{00000000-0005-0000-0000-000015BA0000}"/>
    <cellStyle name="Time 2 8 6" xfId="47638" xr:uid="{00000000-0005-0000-0000-000016BA0000}"/>
    <cellStyle name="Time 2 9" xfId="47639" xr:uid="{00000000-0005-0000-0000-000017BA0000}"/>
    <cellStyle name="Time 2 9 2" xfId="47640" xr:uid="{00000000-0005-0000-0000-000018BA0000}"/>
    <cellStyle name="Time 2 9 2 2" xfId="47641" xr:uid="{00000000-0005-0000-0000-000019BA0000}"/>
    <cellStyle name="Time 2 9 2 3" xfId="47642" xr:uid="{00000000-0005-0000-0000-00001ABA0000}"/>
    <cellStyle name="Time 2 9 2 4" xfId="47643" xr:uid="{00000000-0005-0000-0000-00001BBA0000}"/>
    <cellStyle name="Time 2 9 2 5" xfId="47644" xr:uid="{00000000-0005-0000-0000-00001CBA0000}"/>
    <cellStyle name="Time 2 9 2 6" xfId="47645" xr:uid="{00000000-0005-0000-0000-00001DBA0000}"/>
    <cellStyle name="Time 2 9 3" xfId="47646" xr:uid="{00000000-0005-0000-0000-00001EBA0000}"/>
    <cellStyle name="Time 2 9 4" xfId="47647" xr:uid="{00000000-0005-0000-0000-00001FBA0000}"/>
    <cellStyle name="Time 2 9 5" xfId="47648" xr:uid="{00000000-0005-0000-0000-000020BA0000}"/>
    <cellStyle name="Time 2 9 6" xfId="47649" xr:uid="{00000000-0005-0000-0000-000021BA0000}"/>
    <cellStyle name="Time 3" xfId="47650" xr:uid="{00000000-0005-0000-0000-000022BA0000}"/>
    <cellStyle name="Time 3 10" xfId="47651" xr:uid="{00000000-0005-0000-0000-000023BA0000}"/>
    <cellStyle name="Time 3 11" xfId="47652" xr:uid="{00000000-0005-0000-0000-000024BA0000}"/>
    <cellStyle name="Time 3 12" xfId="47653" xr:uid="{00000000-0005-0000-0000-000025BA0000}"/>
    <cellStyle name="Time 3 13" xfId="47654" xr:uid="{00000000-0005-0000-0000-000026BA0000}"/>
    <cellStyle name="Time 3 2" xfId="47655" xr:uid="{00000000-0005-0000-0000-000027BA0000}"/>
    <cellStyle name="Time 3 2 2" xfId="47656" xr:uid="{00000000-0005-0000-0000-000028BA0000}"/>
    <cellStyle name="Time 3 2 2 2" xfId="47657" xr:uid="{00000000-0005-0000-0000-000029BA0000}"/>
    <cellStyle name="Time 3 2 2 2 2" xfId="47658" xr:uid="{00000000-0005-0000-0000-00002ABA0000}"/>
    <cellStyle name="Time 3 2 2 2 3" xfId="47659" xr:uid="{00000000-0005-0000-0000-00002BBA0000}"/>
    <cellStyle name="Time 3 2 2 2 4" xfId="47660" xr:uid="{00000000-0005-0000-0000-00002CBA0000}"/>
    <cellStyle name="Time 3 2 2 2 5" xfId="47661" xr:uid="{00000000-0005-0000-0000-00002DBA0000}"/>
    <cellStyle name="Time 3 2 2 2 6" xfId="47662" xr:uid="{00000000-0005-0000-0000-00002EBA0000}"/>
    <cellStyle name="Time 3 2 2 3" xfId="47663" xr:uid="{00000000-0005-0000-0000-00002FBA0000}"/>
    <cellStyle name="Time 3 2 2 4" xfId="47664" xr:uid="{00000000-0005-0000-0000-000030BA0000}"/>
    <cellStyle name="Time 3 2 2 5" xfId="47665" xr:uid="{00000000-0005-0000-0000-000031BA0000}"/>
    <cellStyle name="Time 3 2 2 6" xfId="47666" xr:uid="{00000000-0005-0000-0000-000032BA0000}"/>
    <cellStyle name="Time 3 2 3" xfId="47667" xr:uid="{00000000-0005-0000-0000-000033BA0000}"/>
    <cellStyle name="Time 3 2 3 2" xfId="47668" xr:uid="{00000000-0005-0000-0000-000034BA0000}"/>
    <cellStyle name="Time 3 2 3 2 2" xfId="47669" xr:uid="{00000000-0005-0000-0000-000035BA0000}"/>
    <cellStyle name="Time 3 2 3 2 3" xfId="47670" xr:uid="{00000000-0005-0000-0000-000036BA0000}"/>
    <cellStyle name="Time 3 2 3 2 4" xfId="47671" xr:uid="{00000000-0005-0000-0000-000037BA0000}"/>
    <cellStyle name="Time 3 2 3 2 5" xfId="47672" xr:uid="{00000000-0005-0000-0000-000038BA0000}"/>
    <cellStyle name="Time 3 2 3 2 6" xfId="47673" xr:uid="{00000000-0005-0000-0000-000039BA0000}"/>
    <cellStyle name="Time 3 2 3 3" xfId="47674" xr:uid="{00000000-0005-0000-0000-00003ABA0000}"/>
    <cellStyle name="Time 3 2 3 4" xfId="47675" xr:uid="{00000000-0005-0000-0000-00003BBA0000}"/>
    <cellStyle name="Time 3 2 3 5" xfId="47676" xr:uid="{00000000-0005-0000-0000-00003CBA0000}"/>
    <cellStyle name="Time 3 2 3 6" xfId="47677" xr:uid="{00000000-0005-0000-0000-00003DBA0000}"/>
    <cellStyle name="Time 3 2 4" xfId="47678" xr:uid="{00000000-0005-0000-0000-00003EBA0000}"/>
    <cellStyle name="Time 3 2 4 2" xfId="47679" xr:uid="{00000000-0005-0000-0000-00003FBA0000}"/>
    <cellStyle name="Time 3 2 4 3" xfId="47680" xr:uid="{00000000-0005-0000-0000-000040BA0000}"/>
    <cellStyle name="Time 3 2 4 4" xfId="47681" xr:uid="{00000000-0005-0000-0000-000041BA0000}"/>
    <cellStyle name="Time 3 2 4 5" xfId="47682" xr:uid="{00000000-0005-0000-0000-000042BA0000}"/>
    <cellStyle name="Time 3 2 4 6" xfId="47683" xr:uid="{00000000-0005-0000-0000-000043BA0000}"/>
    <cellStyle name="Time 3 2 5" xfId="47684" xr:uid="{00000000-0005-0000-0000-000044BA0000}"/>
    <cellStyle name="Time 3 2 6" xfId="47685" xr:uid="{00000000-0005-0000-0000-000045BA0000}"/>
    <cellStyle name="Time 3 2 7" xfId="47686" xr:uid="{00000000-0005-0000-0000-000046BA0000}"/>
    <cellStyle name="Time 3 2 8" xfId="47687" xr:uid="{00000000-0005-0000-0000-000047BA0000}"/>
    <cellStyle name="Time 3 3" xfId="47688" xr:uid="{00000000-0005-0000-0000-000048BA0000}"/>
    <cellStyle name="Time 3 3 2" xfId="47689" xr:uid="{00000000-0005-0000-0000-000049BA0000}"/>
    <cellStyle name="Time 3 3 2 2" xfId="47690" xr:uid="{00000000-0005-0000-0000-00004ABA0000}"/>
    <cellStyle name="Time 3 3 2 2 2" xfId="47691" xr:uid="{00000000-0005-0000-0000-00004BBA0000}"/>
    <cellStyle name="Time 3 3 2 2 3" xfId="47692" xr:uid="{00000000-0005-0000-0000-00004CBA0000}"/>
    <cellStyle name="Time 3 3 2 2 4" xfId="47693" xr:uid="{00000000-0005-0000-0000-00004DBA0000}"/>
    <cellStyle name="Time 3 3 2 2 5" xfId="47694" xr:uid="{00000000-0005-0000-0000-00004EBA0000}"/>
    <cellStyle name="Time 3 3 2 2 6" xfId="47695" xr:uid="{00000000-0005-0000-0000-00004FBA0000}"/>
    <cellStyle name="Time 3 3 2 3" xfId="47696" xr:uid="{00000000-0005-0000-0000-000050BA0000}"/>
    <cellStyle name="Time 3 3 2 4" xfId="47697" xr:uid="{00000000-0005-0000-0000-000051BA0000}"/>
    <cellStyle name="Time 3 3 2 5" xfId="47698" xr:uid="{00000000-0005-0000-0000-000052BA0000}"/>
    <cellStyle name="Time 3 3 2 6" xfId="47699" xr:uid="{00000000-0005-0000-0000-000053BA0000}"/>
    <cellStyle name="Time 3 3 3" xfId="47700" xr:uid="{00000000-0005-0000-0000-000054BA0000}"/>
    <cellStyle name="Time 3 3 3 2" xfId="47701" xr:uid="{00000000-0005-0000-0000-000055BA0000}"/>
    <cellStyle name="Time 3 3 3 2 2" xfId="47702" xr:uid="{00000000-0005-0000-0000-000056BA0000}"/>
    <cellStyle name="Time 3 3 3 2 3" xfId="47703" xr:uid="{00000000-0005-0000-0000-000057BA0000}"/>
    <cellStyle name="Time 3 3 3 2 4" xfId="47704" xr:uid="{00000000-0005-0000-0000-000058BA0000}"/>
    <cellStyle name="Time 3 3 3 2 5" xfId="47705" xr:uid="{00000000-0005-0000-0000-000059BA0000}"/>
    <cellStyle name="Time 3 3 3 2 6" xfId="47706" xr:uid="{00000000-0005-0000-0000-00005ABA0000}"/>
    <cellStyle name="Time 3 3 3 3" xfId="47707" xr:uid="{00000000-0005-0000-0000-00005BBA0000}"/>
    <cellStyle name="Time 3 3 3 4" xfId="47708" xr:uid="{00000000-0005-0000-0000-00005CBA0000}"/>
    <cellStyle name="Time 3 3 3 5" xfId="47709" xr:uid="{00000000-0005-0000-0000-00005DBA0000}"/>
    <cellStyle name="Time 3 3 3 6" xfId="47710" xr:uid="{00000000-0005-0000-0000-00005EBA0000}"/>
    <cellStyle name="Time 3 3 4" xfId="47711" xr:uid="{00000000-0005-0000-0000-00005FBA0000}"/>
    <cellStyle name="Time 3 3 4 2" xfId="47712" xr:uid="{00000000-0005-0000-0000-000060BA0000}"/>
    <cellStyle name="Time 3 3 4 3" xfId="47713" xr:uid="{00000000-0005-0000-0000-000061BA0000}"/>
    <cellStyle name="Time 3 3 4 4" xfId="47714" xr:uid="{00000000-0005-0000-0000-000062BA0000}"/>
    <cellStyle name="Time 3 3 4 5" xfId="47715" xr:uid="{00000000-0005-0000-0000-000063BA0000}"/>
    <cellStyle name="Time 3 3 4 6" xfId="47716" xr:uid="{00000000-0005-0000-0000-000064BA0000}"/>
    <cellStyle name="Time 3 3 5" xfId="47717" xr:uid="{00000000-0005-0000-0000-000065BA0000}"/>
    <cellStyle name="Time 3 3 6" xfId="47718" xr:uid="{00000000-0005-0000-0000-000066BA0000}"/>
    <cellStyle name="Time 3 3 7" xfId="47719" xr:uid="{00000000-0005-0000-0000-000067BA0000}"/>
    <cellStyle name="Time 3 3 8" xfId="47720" xr:uid="{00000000-0005-0000-0000-000068BA0000}"/>
    <cellStyle name="Time 3 4" xfId="47721" xr:uid="{00000000-0005-0000-0000-000069BA0000}"/>
    <cellStyle name="Time 3 4 2" xfId="47722" xr:uid="{00000000-0005-0000-0000-00006ABA0000}"/>
    <cellStyle name="Time 3 4 2 2" xfId="47723" xr:uid="{00000000-0005-0000-0000-00006BBA0000}"/>
    <cellStyle name="Time 3 4 2 2 2" xfId="47724" xr:uid="{00000000-0005-0000-0000-00006CBA0000}"/>
    <cellStyle name="Time 3 4 2 2 3" xfId="47725" xr:uid="{00000000-0005-0000-0000-00006DBA0000}"/>
    <cellStyle name="Time 3 4 2 2 4" xfId="47726" xr:uid="{00000000-0005-0000-0000-00006EBA0000}"/>
    <cellStyle name="Time 3 4 2 2 5" xfId="47727" xr:uid="{00000000-0005-0000-0000-00006FBA0000}"/>
    <cellStyle name="Time 3 4 2 2 6" xfId="47728" xr:uid="{00000000-0005-0000-0000-000070BA0000}"/>
    <cellStyle name="Time 3 4 2 3" xfId="47729" xr:uid="{00000000-0005-0000-0000-000071BA0000}"/>
    <cellStyle name="Time 3 4 2 4" xfId="47730" xr:uid="{00000000-0005-0000-0000-000072BA0000}"/>
    <cellStyle name="Time 3 4 2 5" xfId="47731" xr:uid="{00000000-0005-0000-0000-000073BA0000}"/>
    <cellStyle name="Time 3 4 2 6" xfId="47732" xr:uid="{00000000-0005-0000-0000-000074BA0000}"/>
    <cellStyle name="Time 3 4 3" xfId="47733" xr:uid="{00000000-0005-0000-0000-000075BA0000}"/>
    <cellStyle name="Time 3 4 3 2" xfId="47734" xr:uid="{00000000-0005-0000-0000-000076BA0000}"/>
    <cellStyle name="Time 3 4 3 2 2" xfId="47735" xr:uid="{00000000-0005-0000-0000-000077BA0000}"/>
    <cellStyle name="Time 3 4 3 2 3" xfId="47736" xr:uid="{00000000-0005-0000-0000-000078BA0000}"/>
    <cellStyle name="Time 3 4 3 2 4" xfId="47737" xr:uid="{00000000-0005-0000-0000-000079BA0000}"/>
    <cellStyle name="Time 3 4 3 2 5" xfId="47738" xr:uid="{00000000-0005-0000-0000-00007ABA0000}"/>
    <cellStyle name="Time 3 4 3 2 6" xfId="47739" xr:uid="{00000000-0005-0000-0000-00007BBA0000}"/>
    <cellStyle name="Time 3 4 3 3" xfId="47740" xr:uid="{00000000-0005-0000-0000-00007CBA0000}"/>
    <cellStyle name="Time 3 4 3 4" xfId="47741" xr:uid="{00000000-0005-0000-0000-00007DBA0000}"/>
    <cellStyle name="Time 3 4 3 5" xfId="47742" xr:uid="{00000000-0005-0000-0000-00007EBA0000}"/>
    <cellStyle name="Time 3 4 3 6" xfId="47743" xr:uid="{00000000-0005-0000-0000-00007FBA0000}"/>
    <cellStyle name="Time 3 4 4" xfId="47744" xr:uid="{00000000-0005-0000-0000-000080BA0000}"/>
    <cellStyle name="Time 3 4 4 2" xfId="47745" xr:uid="{00000000-0005-0000-0000-000081BA0000}"/>
    <cellStyle name="Time 3 4 4 3" xfId="47746" xr:uid="{00000000-0005-0000-0000-000082BA0000}"/>
    <cellStyle name="Time 3 4 4 4" xfId="47747" xr:uid="{00000000-0005-0000-0000-000083BA0000}"/>
    <cellStyle name="Time 3 4 4 5" xfId="47748" xr:uid="{00000000-0005-0000-0000-000084BA0000}"/>
    <cellStyle name="Time 3 4 4 6" xfId="47749" xr:uid="{00000000-0005-0000-0000-000085BA0000}"/>
    <cellStyle name="Time 3 4 5" xfId="47750" xr:uid="{00000000-0005-0000-0000-000086BA0000}"/>
    <cellStyle name="Time 3 4 6" xfId="47751" xr:uid="{00000000-0005-0000-0000-000087BA0000}"/>
    <cellStyle name="Time 3 4 7" xfId="47752" xr:uid="{00000000-0005-0000-0000-000088BA0000}"/>
    <cellStyle name="Time 3 4 8" xfId="47753" xr:uid="{00000000-0005-0000-0000-000089BA0000}"/>
    <cellStyle name="Time 3 5" xfId="47754" xr:uid="{00000000-0005-0000-0000-00008ABA0000}"/>
    <cellStyle name="Time 3 5 2" xfId="47755" xr:uid="{00000000-0005-0000-0000-00008BBA0000}"/>
    <cellStyle name="Time 3 5 2 2" xfId="47756" xr:uid="{00000000-0005-0000-0000-00008CBA0000}"/>
    <cellStyle name="Time 3 5 2 2 2" xfId="47757" xr:uid="{00000000-0005-0000-0000-00008DBA0000}"/>
    <cellStyle name="Time 3 5 2 2 3" xfId="47758" xr:uid="{00000000-0005-0000-0000-00008EBA0000}"/>
    <cellStyle name="Time 3 5 2 2 4" xfId="47759" xr:uid="{00000000-0005-0000-0000-00008FBA0000}"/>
    <cellStyle name="Time 3 5 2 2 5" xfId="47760" xr:uid="{00000000-0005-0000-0000-000090BA0000}"/>
    <cellStyle name="Time 3 5 2 2 6" xfId="47761" xr:uid="{00000000-0005-0000-0000-000091BA0000}"/>
    <cellStyle name="Time 3 5 2 3" xfId="47762" xr:uid="{00000000-0005-0000-0000-000092BA0000}"/>
    <cellStyle name="Time 3 5 2 4" xfId="47763" xr:uid="{00000000-0005-0000-0000-000093BA0000}"/>
    <cellStyle name="Time 3 5 2 5" xfId="47764" xr:uid="{00000000-0005-0000-0000-000094BA0000}"/>
    <cellStyle name="Time 3 5 2 6" xfId="47765" xr:uid="{00000000-0005-0000-0000-000095BA0000}"/>
    <cellStyle name="Time 3 5 3" xfId="47766" xr:uid="{00000000-0005-0000-0000-000096BA0000}"/>
    <cellStyle name="Time 3 5 3 2" xfId="47767" xr:uid="{00000000-0005-0000-0000-000097BA0000}"/>
    <cellStyle name="Time 3 5 3 2 2" xfId="47768" xr:uid="{00000000-0005-0000-0000-000098BA0000}"/>
    <cellStyle name="Time 3 5 3 2 3" xfId="47769" xr:uid="{00000000-0005-0000-0000-000099BA0000}"/>
    <cellStyle name="Time 3 5 3 2 4" xfId="47770" xr:uid="{00000000-0005-0000-0000-00009ABA0000}"/>
    <cellStyle name="Time 3 5 3 2 5" xfId="47771" xr:uid="{00000000-0005-0000-0000-00009BBA0000}"/>
    <cellStyle name="Time 3 5 3 2 6" xfId="47772" xr:uid="{00000000-0005-0000-0000-00009CBA0000}"/>
    <cellStyle name="Time 3 5 3 3" xfId="47773" xr:uid="{00000000-0005-0000-0000-00009DBA0000}"/>
    <cellStyle name="Time 3 5 3 4" xfId="47774" xr:uid="{00000000-0005-0000-0000-00009EBA0000}"/>
    <cellStyle name="Time 3 5 3 5" xfId="47775" xr:uid="{00000000-0005-0000-0000-00009FBA0000}"/>
    <cellStyle name="Time 3 5 3 6" xfId="47776" xr:uid="{00000000-0005-0000-0000-0000A0BA0000}"/>
    <cellStyle name="Time 3 5 4" xfId="47777" xr:uid="{00000000-0005-0000-0000-0000A1BA0000}"/>
    <cellStyle name="Time 3 5 4 2" xfId="47778" xr:uid="{00000000-0005-0000-0000-0000A2BA0000}"/>
    <cellStyle name="Time 3 5 4 3" xfId="47779" xr:uid="{00000000-0005-0000-0000-0000A3BA0000}"/>
    <cellStyle name="Time 3 5 4 4" xfId="47780" xr:uid="{00000000-0005-0000-0000-0000A4BA0000}"/>
    <cellStyle name="Time 3 5 4 5" xfId="47781" xr:uid="{00000000-0005-0000-0000-0000A5BA0000}"/>
    <cellStyle name="Time 3 5 4 6" xfId="47782" xr:uid="{00000000-0005-0000-0000-0000A6BA0000}"/>
    <cellStyle name="Time 3 5 5" xfId="47783" xr:uid="{00000000-0005-0000-0000-0000A7BA0000}"/>
    <cellStyle name="Time 3 5 6" xfId="47784" xr:uid="{00000000-0005-0000-0000-0000A8BA0000}"/>
    <cellStyle name="Time 3 5 7" xfId="47785" xr:uid="{00000000-0005-0000-0000-0000A9BA0000}"/>
    <cellStyle name="Time 3 5 8" xfId="47786" xr:uid="{00000000-0005-0000-0000-0000AABA0000}"/>
    <cellStyle name="Time 3 6" xfId="47787" xr:uid="{00000000-0005-0000-0000-0000ABBA0000}"/>
    <cellStyle name="Time 3 6 2" xfId="47788" xr:uid="{00000000-0005-0000-0000-0000ACBA0000}"/>
    <cellStyle name="Time 3 6 2 2" xfId="47789" xr:uid="{00000000-0005-0000-0000-0000ADBA0000}"/>
    <cellStyle name="Time 3 6 2 2 2" xfId="47790" xr:uid="{00000000-0005-0000-0000-0000AEBA0000}"/>
    <cellStyle name="Time 3 6 2 2 3" xfId="47791" xr:uid="{00000000-0005-0000-0000-0000AFBA0000}"/>
    <cellStyle name="Time 3 6 2 2 4" xfId="47792" xr:uid="{00000000-0005-0000-0000-0000B0BA0000}"/>
    <cellStyle name="Time 3 6 2 2 5" xfId="47793" xr:uid="{00000000-0005-0000-0000-0000B1BA0000}"/>
    <cellStyle name="Time 3 6 2 2 6" xfId="47794" xr:uid="{00000000-0005-0000-0000-0000B2BA0000}"/>
    <cellStyle name="Time 3 6 2 3" xfId="47795" xr:uid="{00000000-0005-0000-0000-0000B3BA0000}"/>
    <cellStyle name="Time 3 6 2 4" xfId="47796" xr:uid="{00000000-0005-0000-0000-0000B4BA0000}"/>
    <cellStyle name="Time 3 6 2 5" xfId="47797" xr:uid="{00000000-0005-0000-0000-0000B5BA0000}"/>
    <cellStyle name="Time 3 6 2 6" xfId="47798" xr:uid="{00000000-0005-0000-0000-0000B6BA0000}"/>
    <cellStyle name="Time 3 6 3" xfId="47799" xr:uid="{00000000-0005-0000-0000-0000B7BA0000}"/>
    <cellStyle name="Time 3 6 3 2" xfId="47800" xr:uid="{00000000-0005-0000-0000-0000B8BA0000}"/>
    <cellStyle name="Time 3 6 3 2 2" xfId="47801" xr:uid="{00000000-0005-0000-0000-0000B9BA0000}"/>
    <cellStyle name="Time 3 6 3 2 3" xfId="47802" xr:uid="{00000000-0005-0000-0000-0000BABA0000}"/>
    <cellStyle name="Time 3 6 3 2 4" xfId="47803" xr:uid="{00000000-0005-0000-0000-0000BBBA0000}"/>
    <cellStyle name="Time 3 6 3 2 5" xfId="47804" xr:uid="{00000000-0005-0000-0000-0000BCBA0000}"/>
    <cellStyle name="Time 3 6 3 2 6" xfId="47805" xr:uid="{00000000-0005-0000-0000-0000BDBA0000}"/>
    <cellStyle name="Time 3 6 3 3" xfId="47806" xr:uid="{00000000-0005-0000-0000-0000BEBA0000}"/>
    <cellStyle name="Time 3 6 3 4" xfId="47807" xr:uid="{00000000-0005-0000-0000-0000BFBA0000}"/>
    <cellStyle name="Time 3 6 3 5" xfId="47808" xr:uid="{00000000-0005-0000-0000-0000C0BA0000}"/>
    <cellStyle name="Time 3 6 3 6" xfId="47809" xr:uid="{00000000-0005-0000-0000-0000C1BA0000}"/>
    <cellStyle name="Time 3 6 4" xfId="47810" xr:uid="{00000000-0005-0000-0000-0000C2BA0000}"/>
    <cellStyle name="Time 3 6 4 2" xfId="47811" xr:uid="{00000000-0005-0000-0000-0000C3BA0000}"/>
    <cellStyle name="Time 3 6 4 3" xfId="47812" xr:uid="{00000000-0005-0000-0000-0000C4BA0000}"/>
    <cellStyle name="Time 3 6 4 4" xfId="47813" xr:uid="{00000000-0005-0000-0000-0000C5BA0000}"/>
    <cellStyle name="Time 3 6 4 5" xfId="47814" xr:uid="{00000000-0005-0000-0000-0000C6BA0000}"/>
    <cellStyle name="Time 3 6 4 6" xfId="47815" xr:uid="{00000000-0005-0000-0000-0000C7BA0000}"/>
    <cellStyle name="Time 3 6 5" xfId="47816" xr:uid="{00000000-0005-0000-0000-0000C8BA0000}"/>
    <cellStyle name="Time 3 6 6" xfId="47817" xr:uid="{00000000-0005-0000-0000-0000C9BA0000}"/>
    <cellStyle name="Time 3 6 7" xfId="47818" xr:uid="{00000000-0005-0000-0000-0000CABA0000}"/>
    <cellStyle name="Time 3 6 8" xfId="47819" xr:uid="{00000000-0005-0000-0000-0000CBBA0000}"/>
    <cellStyle name="Time 3 7" xfId="47820" xr:uid="{00000000-0005-0000-0000-0000CCBA0000}"/>
    <cellStyle name="Time 3 7 2" xfId="47821" xr:uid="{00000000-0005-0000-0000-0000CDBA0000}"/>
    <cellStyle name="Time 3 7 2 2" xfId="47822" xr:uid="{00000000-0005-0000-0000-0000CEBA0000}"/>
    <cellStyle name="Time 3 7 2 3" xfId="47823" xr:uid="{00000000-0005-0000-0000-0000CFBA0000}"/>
    <cellStyle name="Time 3 7 2 4" xfId="47824" xr:uid="{00000000-0005-0000-0000-0000D0BA0000}"/>
    <cellStyle name="Time 3 7 2 5" xfId="47825" xr:uid="{00000000-0005-0000-0000-0000D1BA0000}"/>
    <cellStyle name="Time 3 7 2 6" xfId="47826" xr:uid="{00000000-0005-0000-0000-0000D2BA0000}"/>
    <cellStyle name="Time 3 7 3" xfId="47827" xr:uid="{00000000-0005-0000-0000-0000D3BA0000}"/>
    <cellStyle name="Time 3 7 4" xfId="47828" xr:uid="{00000000-0005-0000-0000-0000D4BA0000}"/>
    <cellStyle name="Time 3 7 5" xfId="47829" xr:uid="{00000000-0005-0000-0000-0000D5BA0000}"/>
    <cellStyle name="Time 3 7 6" xfId="47830" xr:uid="{00000000-0005-0000-0000-0000D6BA0000}"/>
    <cellStyle name="Time 3 8" xfId="47831" xr:uid="{00000000-0005-0000-0000-0000D7BA0000}"/>
    <cellStyle name="Time 3 8 2" xfId="47832" xr:uid="{00000000-0005-0000-0000-0000D8BA0000}"/>
    <cellStyle name="Time 3 8 2 2" xfId="47833" xr:uid="{00000000-0005-0000-0000-0000D9BA0000}"/>
    <cellStyle name="Time 3 8 2 3" xfId="47834" xr:uid="{00000000-0005-0000-0000-0000DABA0000}"/>
    <cellStyle name="Time 3 8 2 4" xfId="47835" xr:uid="{00000000-0005-0000-0000-0000DBBA0000}"/>
    <cellStyle name="Time 3 8 2 5" xfId="47836" xr:uid="{00000000-0005-0000-0000-0000DCBA0000}"/>
    <cellStyle name="Time 3 8 2 6" xfId="47837" xr:uid="{00000000-0005-0000-0000-0000DDBA0000}"/>
    <cellStyle name="Time 3 8 3" xfId="47838" xr:uid="{00000000-0005-0000-0000-0000DEBA0000}"/>
    <cellStyle name="Time 3 8 4" xfId="47839" xr:uid="{00000000-0005-0000-0000-0000DFBA0000}"/>
    <cellStyle name="Time 3 8 5" xfId="47840" xr:uid="{00000000-0005-0000-0000-0000E0BA0000}"/>
    <cellStyle name="Time 3 8 6" xfId="47841" xr:uid="{00000000-0005-0000-0000-0000E1BA0000}"/>
    <cellStyle name="Time 3 9" xfId="47842" xr:uid="{00000000-0005-0000-0000-0000E2BA0000}"/>
    <cellStyle name="Time 3 9 2" xfId="47843" xr:uid="{00000000-0005-0000-0000-0000E3BA0000}"/>
    <cellStyle name="Time 3 9 3" xfId="47844" xr:uid="{00000000-0005-0000-0000-0000E4BA0000}"/>
    <cellStyle name="Time 3 9 4" xfId="47845" xr:uid="{00000000-0005-0000-0000-0000E5BA0000}"/>
    <cellStyle name="Time 3 9 5" xfId="47846" xr:uid="{00000000-0005-0000-0000-0000E6BA0000}"/>
    <cellStyle name="Time 3 9 6" xfId="47847" xr:uid="{00000000-0005-0000-0000-0000E7BA0000}"/>
    <cellStyle name="Time 4" xfId="47848" xr:uid="{00000000-0005-0000-0000-0000E8BA0000}"/>
    <cellStyle name="Time 4 2" xfId="47849" xr:uid="{00000000-0005-0000-0000-0000E9BA0000}"/>
    <cellStyle name="Time 4 2 2" xfId="47850" xr:uid="{00000000-0005-0000-0000-0000EABA0000}"/>
    <cellStyle name="Time 4 2 2 2" xfId="47851" xr:uid="{00000000-0005-0000-0000-0000EBBA0000}"/>
    <cellStyle name="Time 4 2 2 3" xfId="47852" xr:uid="{00000000-0005-0000-0000-0000ECBA0000}"/>
    <cellStyle name="Time 4 2 2 4" xfId="47853" xr:uid="{00000000-0005-0000-0000-0000EDBA0000}"/>
    <cellStyle name="Time 4 2 2 5" xfId="47854" xr:uid="{00000000-0005-0000-0000-0000EEBA0000}"/>
    <cellStyle name="Time 4 2 2 6" xfId="47855" xr:uid="{00000000-0005-0000-0000-0000EFBA0000}"/>
    <cellStyle name="Time 4 2 3" xfId="47856" xr:uid="{00000000-0005-0000-0000-0000F0BA0000}"/>
    <cellStyle name="Time 4 2 4" xfId="47857" xr:uid="{00000000-0005-0000-0000-0000F1BA0000}"/>
    <cellStyle name="Time 4 2 5" xfId="47858" xr:uid="{00000000-0005-0000-0000-0000F2BA0000}"/>
    <cellStyle name="Time 4 2 6" xfId="47859" xr:uid="{00000000-0005-0000-0000-0000F3BA0000}"/>
    <cellStyle name="Time 4 3" xfId="47860" xr:uid="{00000000-0005-0000-0000-0000F4BA0000}"/>
    <cellStyle name="Time 4 3 2" xfId="47861" xr:uid="{00000000-0005-0000-0000-0000F5BA0000}"/>
    <cellStyle name="Time 4 3 2 2" xfId="47862" xr:uid="{00000000-0005-0000-0000-0000F6BA0000}"/>
    <cellStyle name="Time 4 3 2 3" xfId="47863" xr:uid="{00000000-0005-0000-0000-0000F7BA0000}"/>
    <cellStyle name="Time 4 3 2 4" xfId="47864" xr:uid="{00000000-0005-0000-0000-0000F8BA0000}"/>
    <cellStyle name="Time 4 3 2 5" xfId="47865" xr:uid="{00000000-0005-0000-0000-0000F9BA0000}"/>
    <cellStyle name="Time 4 3 2 6" xfId="47866" xr:uid="{00000000-0005-0000-0000-0000FABA0000}"/>
    <cellStyle name="Time 4 3 3" xfId="47867" xr:uid="{00000000-0005-0000-0000-0000FBBA0000}"/>
    <cellStyle name="Time 4 3 4" xfId="47868" xr:uid="{00000000-0005-0000-0000-0000FCBA0000}"/>
    <cellStyle name="Time 4 3 5" xfId="47869" xr:uid="{00000000-0005-0000-0000-0000FDBA0000}"/>
    <cellStyle name="Time 4 3 6" xfId="47870" xr:uid="{00000000-0005-0000-0000-0000FEBA0000}"/>
    <cellStyle name="Time 4 4" xfId="47871" xr:uid="{00000000-0005-0000-0000-0000FFBA0000}"/>
    <cellStyle name="Time 4 4 2" xfId="47872" xr:uid="{00000000-0005-0000-0000-000000BB0000}"/>
    <cellStyle name="Time 4 4 3" xfId="47873" xr:uid="{00000000-0005-0000-0000-000001BB0000}"/>
    <cellStyle name="Time 4 4 4" xfId="47874" xr:uid="{00000000-0005-0000-0000-000002BB0000}"/>
    <cellStyle name="Time 4 4 5" xfId="47875" xr:uid="{00000000-0005-0000-0000-000003BB0000}"/>
    <cellStyle name="Time 4 4 6" xfId="47876" xr:uid="{00000000-0005-0000-0000-000004BB0000}"/>
    <cellStyle name="Time 4 5" xfId="47877" xr:uid="{00000000-0005-0000-0000-000005BB0000}"/>
    <cellStyle name="Time 4 6" xfId="47878" xr:uid="{00000000-0005-0000-0000-000006BB0000}"/>
    <cellStyle name="Time 4 7" xfId="47879" xr:uid="{00000000-0005-0000-0000-000007BB0000}"/>
    <cellStyle name="Time 4 8" xfId="47880" xr:uid="{00000000-0005-0000-0000-000008BB0000}"/>
    <cellStyle name="Time 5" xfId="47881" xr:uid="{00000000-0005-0000-0000-000009BB0000}"/>
    <cellStyle name="Time 5 2" xfId="47882" xr:uid="{00000000-0005-0000-0000-00000ABB0000}"/>
    <cellStyle name="Time 5 2 2" xfId="47883" xr:uid="{00000000-0005-0000-0000-00000BBB0000}"/>
    <cellStyle name="Time 5 2 2 2" xfId="47884" xr:uid="{00000000-0005-0000-0000-00000CBB0000}"/>
    <cellStyle name="Time 5 2 2 3" xfId="47885" xr:uid="{00000000-0005-0000-0000-00000DBB0000}"/>
    <cellStyle name="Time 5 2 2 4" xfId="47886" xr:uid="{00000000-0005-0000-0000-00000EBB0000}"/>
    <cellStyle name="Time 5 2 2 5" xfId="47887" xr:uid="{00000000-0005-0000-0000-00000FBB0000}"/>
    <cellStyle name="Time 5 2 2 6" xfId="47888" xr:uid="{00000000-0005-0000-0000-000010BB0000}"/>
    <cellStyle name="Time 5 2 3" xfId="47889" xr:uid="{00000000-0005-0000-0000-000011BB0000}"/>
    <cellStyle name="Time 5 2 4" xfId="47890" xr:uid="{00000000-0005-0000-0000-000012BB0000}"/>
    <cellStyle name="Time 5 2 5" xfId="47891" xr:uid="{00000000-0005-0000-0000-000013BB0000}"/>
    <cellStyle name="Time 5 2 6" xfId="47892" xr:uid="{00000000-0005-0000-0000-000014BB0000}"/>
    <cellStyle name="Time 5 3" xfId="47893" xr:uid="{00000000-0005-0000-0000-000015BB0000}"/>
    <cellStyle name="Time 5 3 2" xfId="47894" xr:uid="{00000000-0005-0000-0000-000016BB0000}"/>
    <cellStyle name="Time 5 3 2 2" xfId="47895" xr:uid="{00000000-0005-0000-0000-000017BB0000}"/>
    <cellStyle name="Time 5 3 2 3" xfId="47896" xr:uid="{00000000-0005-0000-0000-000018BB0000}"/>
    <cellStyle name="Time 5 3 2 4" xfId="47897" xr:uid="{00000000-0005-0000-0000-000019BB0000}"/>
    <cellStyle name="Time 5 3 2 5" xfId="47898" xr:uid="{00000000-0005-0000-0000-00001ABB0000}"/>
    <cellStyle name="Time 5 3 2 6" xfId="47899" xr:uid="{00000000-0005-0000-0000-00001BBB0000}"/>
    <cellStyle name="Time 5 3 3" xfId="47900" xr:uid="{00000000-0005-0000-0000-00001CBB0000}"/>
    <cellStyle name="Time 5 3 4" xfId="47901" xr:uid="{00000000-0005-0000-0000-00001DBB0000}"/>
    <cellStyle name="Time 5 3 5" xfId="47902" xr:uid="{00000000-0005-0000-0000-00001EBB0000}"/>
    <cellStyle name="Time 5 3 6" xfId="47903" xr:uid="{00000000-0005-0000-0000-00001FBB0000}"/>
    <cellStyle name="Time 5 4" xfId="47904" xr:uid="{00000000-0005-0000-0000-000020BB0000}"/>
    <cellStyle name="Time 5 4 2" xfId="47905" xr:uid="{00000000-0005-0000-0000-000021BB0000}"/>
    <cellStyle name="Time 5 4 3" xfId="47906" xr:uid="{00000000-0005-0000-0000-000022BB0000}"/>
    <cellStyle name="Time 5 4 4" xfId="47907" xr:uid="{00000000-0005-0000-0000-000023BB0000}"/>
    <cellStyle name="Time 5 4 5" xfId="47908" xr:uid="{00000000-0005-0000-0000-000024BB0000}"/>
    <cellStyle name="Time 5 4 6" xfId="47909" xr:uid="{00000000-0005-0000-0000-000025BB0000}"/>
    <cellStyle name="Time 5 5" xfId="47910" xr:uid="{00000000-0005-0000-0000-000026BB0000}"/>
    <cellStyle name="Time 5 6" xfId="47911" xr:uid="{00000000-0005-0000-0000-000027BB0000}"/>
    <cellStyle name="Time 5 7" xfId="47912" xr:uid="{00000000-0005-0000-0000-000028BB0000}"/>
    <cellStyle name="Time 5 8" xfId="47913" xr:uid="{00000000-0005-0000-0000-000029BB0000}"/>
    <cellStyle name="Time 6" xfId="47914" xr:uid="{00000000-0005-0000-0000-00002ABB0000}"/>
    <cellStyle name="Time 6 2" xfId="47915" xr:uid="{00000000-0005-0000-0000-00002BBB0000}"/>
    <cellStyle name="Time 6 2 2" xfId="47916" xr:uid="{00000000-0005-0000-0000-00002CBB0000}"/>
    <cellStyle name="Time 6 2 2 2" xfId="47917" xr:uid="{00000000-0005-0000-0000-00002DBB0000}"/>
    <cellStyle name="Time 6 2 2 3" xfId="47918" xr:uid="{00000000-0005-0000-0000-00002EBB0000}"/>
    <cellStyle name="Time 6 2 2 4" xfId="47919" xr:uid="{00000000-0005-0000-0000-00002FBB0000}"/>
    <cellStyle name="Time 6 2 2 5" xfId="47920" xr:uid="{00000000-0005-0000-0000-000030BB0000}"/>
    <cellStyle name="Time 6 2 2 6" xfId="47921" xr:uid="{00000000-0005-0000-0000-000031BB0000}"/>
    <cellStyle name="Time 6 2 3" xfId="47922" xr:uid="{00000000-0005-0000-0000-000032BB0000}"/>
    <cellStyle name="Time 6 2 4" xfId="47923" xr:uid="{00000000-0005-0000-0000-000033BB0000}"/>
    <cellStyle name="Time 6 2 5" xfId="47924" xr:uid="{00000000-0005-0000-0000-000034BB0000}"/>
    <cellStyle name="Time 6 2 6" xfId="47925" xr:uid="{00000000-0005-0000-0000-000035BB0000}"/>
    <cellStyle name="Time 6 3" xfId="47926" xr:uid="{00000000-0005-0000-0000-000036BB0000}"/>
    <cellStyle name="Time 6 3 2" xfId="47927" xr:uid="{00000000-0005-0000-0000-000037BB0000}"/>
    <cellStyle name="Time 6 3 2 2" xfId="47928" xr:uid="{00000000-0005-0000-0000-000038BB0000}"/>
    <cellStyle name="Time 6 3 2 3" xfId="47929" xr:uid="{00000000-0005-0000-0000-000039BB0000}"/>
    <cellStyle name="Time 6 3 2 4" xfId="47930" xr:uid="{00000000-0005-0000-0000-00003ABB0000}"/>
    <cellStyle name="Time 6 3 2 5" xfId="47931" xr:uid="{00000000-0005-0000-0000-00003BBB0000}"/>
    <cellStyle name="Time 6 3 2 6" xfId="47932" xr:uid="{00000000-0005-0000-0000-00003CBB0000}"/>
    <cellStyle name="Time 6 3 3" xfId="47933" xr:uid="{00000000-0005-0000-0000-00003DBB0000}"/>
    <cellStyle name="Time 6 3 4" xfId="47934" xr:uid="{00000000-0005-0000-0000-00003EBB0000}"/>
    <cellStyle name="Time 6 3 5" xfId="47935" xr:uid="{00000000-0005-0000-0000-00003FBB0000}"/>
    <cellStyle name="Time 6 3 6" xfId="47936" xr:uid="{00000000-0005-0000-0000-000040BB0000}"/>
    <cellStyle name="Time 6 4" xfId="47937" xr:uid="{00000000-0005-0000-0000-000041BB0000}"/>
    <cellStyle name="Time 6 4 2" xfId="47938" xr:uid="{00000000-0005-0000-0000-000042BB0000}"/>
    <cellStyle name="Time 6 4 3" xfId="47939" xr:uid="{00000000-0005-0000-0000-000043BB0000}"/>
    <cellStyle name="Time 6 4 4" xfId="47940" xr:uid="{00000000-0005-0000-0000-000044BB0000}"/>
    <cellStyle name="Time 6 4 5" xfId="47941" xr:uid="{00000000-0005-0000-0000-000045BB0000}"/>
    <cellStyle name="Time 6 4 6" xfId="47942" xr:uid="{00000000-0005-0000-0000-000046BB0000}"/>
    <cellStyle name="Time 6 5" xfId="47943" xr:uid="{00000000-0005-0000-0000-000047BB0000}"/>
    <cellStyle name="Time 6 6" xfId="47944" xr:uid="{00000000-0005-0000-0000-000048BB0000}"/>
    <cellStyle name="Time 6 7" xfId="47945" xr:uid="{00000000-0005-0000-0000-000049BB0000}"/>
    <cellStyle name="Time 6 8" xfId="47946" xr:uid="{00000000-0005-0000-0000-00004ABB0000}"/>
    <cellStyle name="Time 7" xfId="47947" xr:uid="{00000000-0005-0000-0000-00004BBB0000}"/>
    <cellStyle name="Time 7 2" xfId="47948" xr:uid="{00000000-0005-0000-0000-00004CBB0000}"/>
    <cellStyle name="Time 7 2 2" xfId="47949" xr:uid="{00000000-0005-0000-0000-00004DBB0000}"/>
    <cellStyle name="Time 7 2 3" xfId="47950" xr:uid="{00000000-0005-0000-0000-00004EBB0000}"/>
    <cellStyle name="Time 7 2 4" xfId="47951" xr:uid="{00000000-0005-0000-0000-00004FBB0000}"/>
    <cellStyle name="Time 7 2 5" xfId="47952" xr:uid="{00000000-0005-0000-0000-000050BB0000}"/>
    <cellStyle name="Time 7 2 6" xfId="47953" xr:uid="{00000000-0005-0000-0000-000051BB0000}"/>
    <cellStyle name="Time 7 3" xfId="47954" xr:uid="{00000000-0005-0000-0000-000052BB0000}"/>
    <cellStyle name="Time 7 4" xfId="47955" xr:uid="{00000000-0005-0000-0000-000053BB0000}"/>
    <cellStyle name="Time 7 5" xfId="47956" xr:uid="{00000000-0005-0000-0000-000054BB0000}"/>
    <cellStyle name="Time 7 6" xfId="47957" xr:uid="{00000000-0005-0000-0000-000055BB0000}"/>
    <cellStyle name="Time 8" xfId="47958" xr:uid="{00000000-0005-0000-0000-000056BB0000}"/>
    <cellStyle name="Time 8 2" xfId="47959" xr:uid="{00000000-0005-0000-0000-000057BB0000}"/>
    <cellStyle name="Time 8 2 2" xfId="47960" xr:uid="{00000000-0005-0000-0000-000058BB0000}"/>
    <cellStyle name="Time 8 2 3" xfId="47961" xr:uid="{00000000-0005-0000-0000-000059BB0000}"/>
    <cellStyle name="Time 8 2 4" xfId="47962" xr:uid="{00000000-0005-0000-0000-00005ABB0000}"/>
    <cellStyle name="Time 8 2 5" xfId="47963" xr:uid="{00000000-0005-0000-0000-00005BBB0000}"/>
    <cellStyle name="Time 8 2 6" xfId="47964" xr:uid="{00000000-0005-0000-0000-00005CBB0000}"/>
    <cellStyle name="Time 8 3" xfId="47965" xr:uid="{00000000-0005-0000-0000-00005DBB0000}"/>
    <cellStyle name="Time 8 4" xfId="47966" xr:uid="{00000000-0005-0000-0000-00005EBB0000}"/>
    <cellStyle name="Time 8 5" xfId="47967" xr:uid="{00000000-0005-0000-0000-00005FBB0000}"/>
    <cellStyle name="Time 8 6" xfId="47968" xr:uid="{00000000-0005-0000-0000-000060BB0000}"/>
    <cellStyle name="Time 9" xfId="47969" xr:uid="{00000000-0005-0000-0000-000061BB0000}"/>
    <cellStyle name="Time 9 2" xfId="47970" xr:uid="{00000000-0005-0000-0000-000062BB0000}"/>
    <cellStyle name="Time 9 3" xfId="47971" xr:uid="{00000000-0005-0000-0000-000063BB0000}"/>
    <cellStyle name="Time 9 4" xfId="47972" xr:uid="{00000000-0005-0000-0000-000064BB0000}"/>
    <cellStyle name="Time 9 5" xfId="47973" xr:uid="{00000000-0005-0000-0000-000065BB0000}"/>
    <cellStyle name="Time 9 6" xfId="47974" xr:uid="{00000000-0005-0000-0000-000066BB0000}"/>
    <cellStyle name="Times New Roman" xfId="47975" xr:uid="{00000000-0005-0000-0000-000067BB0000}"/>
    <cellStyle name="Title 2" xfId="47976" xr:uid="{00000000-0005-0000-0000-000068BB0000}"/>
    <cellStyle name="Title 2 2" xfId="47977" xr:uid="{00000000-0005-0000-0000-000069BB0000}"/>
    <cellStyle name="Title 3" xfId="47978" xr:uid="{00000000-0005-0000-0000-00006ABB0000}"/>
    <cellStyle name="Title 3 2" xfId="47979" xr:uid="{00000000-0005-0000-0000-00006BBB0000}"/>
    <cellStyle name="Title 4" xfId="47980" xr:uid="{00000000-0005-0000-0000-00006CBB0000}"/>
    <cellStyle name="Titles" xfId="47981" xr:uid="{00000000-0005-0000-0000-00006DBB0000}"/>
    <cellStyle name="Total 2" xfId="47982" xr:uid="{00000000-0005-0000-0000-00006EBB0000}"/>
    <cellStyle name="Total 2 10" xfId="47983" xr:uid="{00000000-0005-0000-0000-00006FBB0000}"/>
    <cellStyle name="Total 2 10 2" xfId="47984" xr:uid="{00000000-0005-0000-0000-000070BB0000}"/>
    <cellStyle name="Total 2 10 2 2" xfId="47985" xr:uid="{00000000-0005-0000-0000-000071BB0000}"/>
    <cellStyle name="Total 2 10 2 3" xfId="47986" xr:uid="{00000000-0005-0000-0000-000072BB0000}"/>
    <cellStyle name="Total 2 10 2 4" xfId="47987" xr:uid="{00000000-0005-0000-0000-000073BB0000}"/>
    <cellStyle name="Total 2 10 2 5" xfId="47988" xr:uid="{00000000-0005-0000-0000-000074BB0000}"/>
    <cellStyle name="Total 2 10 3" xfId="47989" xr:uid="{00000000-0005-0000-0000-000075BB0000}"/>
    <cellStyle name="Total 2 10 4" xfId="47990" xr:uid="{00000000-0005-0000-0000-000076BB0000}"/>
    <cellStyle name="Total 2 10 5" xfId="47991" xr:uid="{00000000-0005-0000-0000-000077BB0000}"/>
    <cellStyle name="Total 2 10 6" xfId="47992" xr:uid="{00000000-0005-0000-0000-000078BB0000}"/>
    <cellStyle name="Total 2 11" xfId="47993" xr:uid="{00000000-0005-0000-0000-000079BB0000}"/>
    <cellStyle name="Total 2 11 2" xfId="47994" xr:uid="{00000000-0005-0000-0000-00007ABB0000}"/>
    <cellStyle name="Total 2 11 2 2" xfId="47995" xr:uid="{00000000-0005-0000-0000-00007BBB0000}"/>
    <cellStyle name="Total 2 11 2 3" xfId="47996" xr:uid="{00000000-0005-0000-0000-00007CBB0000}"/>
    <cellStyle name="Total 2 11 2 4" xfId="47997" xr:uid="{00000000-0005-0000-0000-00007DBB0000}"/>
    <cellStyle name="Total 2 11 2 5" xfId="47998" xr:uid="{00000000-0005-0000-0000-00007EBB0000}"/>
    <cellStyle name="Total 2 11 3" xfId="47999" xr:uid="{00000000-0005-0000-0000-00007FBB0000}"/>
    <cellStyle name="Total 2 11 4" xfId="48000" xr:uid="{00000000-0005-0000-0000-000080BB0000}"/>
    <cellStyle name="Total 2 11 5" xfId="48001" xr:uid="{00000000-0005-0000-0000-000081BB0000}"/>
    <cellStyle name="Total 2 11 6" xfId="48002" xr:uid="{00000000-0005-0000-0000-000082BB0000}"/>
    <cellStyle name="Total 2 12" xfId="48003" xr:uid="{00000000-0005-0000-0000-000083BB0000}"/>
    <cellStyle name="Total 2 12 2" xfId="48004" xr:uid="{00000000-0005-0000-0000-000084BB0000}"/>
    <cellStyle name="Total 2 12 2 2" xfId="48005" xr:uid="{00000000-0005-0000-0000-000085BB0000}"/>
    <cellStyle name="Total 2 12 2 3" xfId="48006" xr:uid="{00000000-0005-0000-0000-000086BB0000}"/>
    <cellStyle name="Total 2 12 2 4" xfId="48007" xr:uid="{00000000-0005-0000-0000-000087BB0000}"/>
    <cellStyle name="Total 2 12 2 5" xfId="48008" xr:uid="{00000000-0005-0000-0000-000088BB0000}"/>
    <cellStyle name="Total 2 12 3" xfId="48009" xr:uid="{00000000-0005-0000-0000-000089BB0000}"/>
    <cellStyle name="Total 2 12 4" xfId="48010" xr:uid="{00000000-0005-0000-0000-00008ABB0000}"/>
    <cellStyle name="Total 2 12 5" xfId="48011" xr:uid="{00000000-0005-0000-0000-00008BBB0000}"/>
    <cellStyle name="Total 2 12 6" xfId="48012" xr:uid="{00000000-0005-0000-0000-00008CBB0000}"/>
    <cellStyle name="Total 2 13" xfId="48013" xr:uid="{00000000-0005-0000-0000-00008DBB0000}"/>
    <cellStyle name="Total 2 13 2" xfId="48014" xr:uid="{00000000-0005-0000-0000-00008EBB0000}"/>
    <cellStyle name="Total 2 13 2 2" xfId="48015" xr:uid="{00000000-0005-0000-0000-00008FBB0000}"/>
    <cellStyle name="Total 2 13 2 3" xfId="48016" xr:uid="{00000000-0005-0000-0000-000090BB0000}"/>
    <cellStyle name="Total 2 13 2 4" xfId="48017" xr:uid="{00000000-0005-0000-0000-000091BB0000}"/>
    <cellStyle name="Total 2 13 2 5" xfId="48018" xr:uid="{00000000-0005-0000-0000-000092BB0000}"/>
    <cellStyle name="Total 2 13 3" xfId="48019" xr:uid="{00000000-0005-0000-0000-000093BB0000}"/>
    <cellStyle name="Total 2 13 4" xfId="48020" xr:uid="{00000000-0005-0000-0000-000094BB0000}"/>
    <cellStyle name="Total 2 13 5" xfId="48021" xr:uid="{00000000-0005-0000-0000-000095BB0000}"/>
    <cellStyle name="Total 2 13 6" xfId="48022" xr:uid="{00000000-0005-0000-0000-000096BB0000}"/>
    <cellStyle name="Total 2 14" xfId="48023" xr:uid="{00000000-0005-0000-0000-000097BB0000}"/>
    <cellStyle name="Total 2 14 2" xfId="48024" xr:uid="{00000000-0005-0000-0000-000098BB0000}"/>
    <cellStyle name="Total 2 14 2 2" xfId="48025" xr:uid="{00000000-0005-0000-0000-000099BB0000}"/>
    <cellStyle name="Total 2 14 2 3" xfId="48026" xr:uid="{00000000-0005-0000-0000-00009ABB0000}"/>
    <cellStyle name="Total 2 14 2 4" xfId="48027" xr:uid="{00000000-0005-0000-0000-00009BBB0000}"/>
    <cellStyle name="Total 2 14 2 5" xfId="48028" xr:uid="{00000000-0005-0000-0000-00009CBB0000}"/>
    <cellStyle name="Total 2 14 3" xfId="48029" xr:uid="{00000000-0005-0000-0000-00009DBB0000}"/>
    <cellStyle name="Total 2 14 4" xfId="48030" xr:uid="{00000000-0005-0000-0000-00009EBB0000}"/>
    <cellStyle name="Total 2 14 5" xfId="48031" xr:uid="{00000000-0005-0000-0000-00009FBB0000}"/>
    <cellStyle name="Total 2 14 6" xfId="48032" xr:uid="{00000000-0005-0000-0000-0000A0BB0000}"/>
    <cellStyle name="Total 2 15" xfId="48033" xr:uid="{00000000-0005-0000-0000-0000A1BB0000}"/>
    <cellStyle name="Total 2 15 2" xfId="48034" xr:uid="{00000000-0005-0000-0000-0000A2BB0000}"/>
    <cellStyle name="Total 2 15 2 2" xfId="48035" xr:uid="{00000000-0005-0000-0000-0000A3BB0000}"/>
    <cellStyle name="Total 2 15 2 3" xfId="48036" xr:uid="{00000000-0005-0000-0000-0000A4BB0000}"/>
    <cellStyle name="Total 2 15 2 4" xfId="48037" xr:uid="{00000000-0005-0000-0000-0000A5BB0000}"/>
    <cellStyle name="Total 2 15 2 5" xfId="48038" xr:uid="{00000000-0005-0000-0000-0000A6BB0000}"/>
    <cellStyle name="Total 2 15 3" xfId="48039" xr:uid="{00000000-0005-0000-0000-0000A7BB0000}"/>
    <cellStyle name="Total 2 15 4" xfId="48040" xr:uid="{00000000-0005-0000-0000-0000A8BB0000}"/>
    <cellStyle name="Total 2 15 5" xfId="48041" xr:uid="{00000000-0005-0000-0000-0000A9BB0000}"/>
    <cellStyle name="Total 2 15 6" xfId="48042" xr:uid="{00000000-0005-0000-0000-0000AABB0000}"/>
    <cellStyle name="Total 2 16" xfId="48043" xr:uid="{00000000-0005-0000-0000-0000ABBB0000}"/>
    <cellStyle name="Total 2 16 2" xfId="48044" xr:uid="{00000000-0005-0000-0000-0000ACBB0000}"/>
    <cellStyle name="Total 2 16 2 2" xfId="48045" xr:uid="{00000000-0005-0000-0000-0000ADBB0000}"/>
    <cellStyle name="Total 2 16 2 3" xfId="48046" xr:uid="{00000000-0005-0000-0000-0000AEBB0000}"/>
    <cellStyle name="Total 2 16 2 4" xfId="48047" xr:uid="{00000000-0005-0000-0000-0000AFBB0000}"/>
    <cellStyle name="Total 2 16 2 5" xfId="48048" xr:uid="{00000000-0005-0000-0000-0000B0BB0000}"/>
    <cellStyle name="Total 2 16 3" xfId="48049" xr:uid="{00000000-0005-0000-0000-0000B1BB0000}"/>
    <cellStyle name="Total 2 16 4" xfId="48050" xr:uid="{00000000-0005-0000-0000-0000B2BB0000}"/>
    <cellStyle name="Total 2 16 5" xfId="48051" xr:uid="{00000000-0005-0000-0000-0000B3BB0000}"/>
    <cellStyle name="Total 2 16 6" xfId="48052" xr:uid="{00000000-0005-0000-0000-0000B4BB0000}"/>
    <cellStyle name="Total 2 17" xfId="48053" xr:uid="{00000000-0005-0000-0000-0000B5BB0000}"/>
    <cellStyle name="Total 2 17 2" xfId="48054" xr:uid="{00000000-0005-0000-0000-0000B6BB0000}"/>
    <cellStyle name="Total 2 17 2 2" xfId="48055" xr:uid="{00000000-0005-0000-0000-0000B7BB0000}"/>
    <cellStyle name="Total 2 17 2 3" xfId="48056" xr:uid="{00000000-0005-0000-0000-0000B8BB0000}"/>
    <cellStyle name="Total 2 17 2 4" xfId="48057" xr:uid="{00000000-0005-0000-0000-0000B9BB0000}"/>
    <cellStyle name="Total 2 17 2 5" xfId="48058" xr:uid="{00000000-0005-0000-0000-0000BABB0000}"/>
    <cellStyle name="Total 2 17 3" xfId="48059" xr:uid="{00000000-0005-0000-0000-0000BBBB0000}"/>
    <cellStyle name="Total 2 17 4" xfId="48060" xr:uid="{00000000-0005-0000-0000-0000BCBB0000}"/>
    <cellStyle name="Total 2 17 5" xfId="48061" xr:uid="{00000000-0005-0000-0000-0000BDBB0000}"/>
    <cellStyle name="Total 2 17 6" xfId="48062" xr:uid="{00000000-0005-0000-0000-0000BEBB0000}"/>
    <cellStyle name="Total 2 18" xfId="48063" xr:uid="{00000000-0005-0000-0000-0000BFBB0000}"/>
    <cellStyle name="Total 2 18 2" xfId="48064" xr:uid="{00000000-0005-0000-0000-0000C0BB0000}"/>
    <cellStyle name="Total 2 18 2 2" xfId="48065" xr:uid="{00000000-0005-0000-0000-0000C1BB0000}"/>
    <cellStyle name="Total 2 18 2 3" xfId="48066" xr:uid="{00000000-0005-0000-0000-0000C2BB0000}"/>
    <cellStyle name="Total 2 18 2 4" xfId="48067" xr:uid="{00000000-0005-0000-0000-0000C3BB0000}"/>
    <cellStyle name="Total 2 18 2 5" xfId="48068" xr:uid="{00000000-0005-0000-0000-0000C4BB0000}"/>
    <cellStyle name="Total 2 18 3" xfId="48069" xr:uid="{00000000-0005-0000-0000-0000C5BB0000}"/>
    <cellStyle name="Total 2 18 4" xfId="48070" xr:uid="{00000000-0005-0000-0000-0000C6BB0000}"/>
    <cellStyle name="Total 2 18 5" xfId="48071" xr:uid="{00000000-0005-0000-0000-0000C7BB0000}"/>
    <cellStyle name="Total 2 18 6" xfId="48072" xr:uid="{00000000-0005-0000-0000-0000C8BB0000}"/>
    <cellStyle name="Total 2 19" xfId="48073" xr:uid="{00000000-0005-0000-0000-0000C9BB0000}"/>
    <cellStyle name="Total 2 19 2" xfId="48074" xr:uid="{00000000-0005-0000-0000-0000CABB0000}"/>
    <cellStyle name="Total 2 19 2 2" xfId="48075" xr:uid="{00000000-0005-0000-0000-0000CBBB0000}"/>
    <cellStyle name="Total 2 19 2 3" xfId="48076" xr:uid="{00000000-0005-0000-0000-0000CCBB0000}"/>
    <cellStyle name="Total 2 19 2 4" xfId="48077" xr:uid="{00000000-0005-0000-0000-0000CDBB0000}"/>
    <cellStyle name="Total 2 19 2 5" xfId="48078" xr:uid="{00000000-0005-0000-0000-0000CEBB0000}"/>
    <cellStyle name="Total 2 19 3" xfId="48079" xr:uid="{00000000-0005-0000-0000-0000CFBB0000}"/>
    <cellStyle name="Total 2 19 4" xfId="48080" xr:uid="{00000000-0005-0000-0000-0000D0BB0000}"/>
    <cellStyle name="Total 2 19 5" xfId="48081" xr:uid="{00000000-0005-0000-0000-0000D1BB0000}"/>
    <cellStyle name="Total 2 19 6" xfId="48082" xr:uid="{00000000-0005-0000-0000-0000D2BB0000}"/>
    <cellStyle name="Total 2 2" xfId="48083" xr:uid="{00000000-0005-0000-0000-0000D3BB0000}"/>
    <cellStyle name="Total 2 2 10" xfId="48084" xr:uid="{00000000-0005-0000-0000-0000D4BB0000}"/>
    <cellStyle name="Total 2 2 10 2" xfId="48085" xr:uid="{00000000-0005-0000-0000-0000D5BB0000}"/>
    <cellStyle name="Total 2 2 10 2 2" xfId="48086" xr:uid="{00000000-0005-0000-0000-0000D6BB0000}"/>
    <cellStyle name="Total 2 2 10 2 3" xfId="48087" xr:uid="{00000000-0005-0000-0000-0000D7BB0000}"/>
    <cellStyle name="Total 2 2 10 2 4" xfId="48088" xr:uid="{00000000-0005-0000-0000-0000D8BB0000}"/>
    <cellStyle name="Total 2 2 10 2 5" xfId="48089" xr:uid="{00000000-0005-0000-0000-0000D9BB0000}"/>
    <cellStyle name="Total 2 2 10 2 6" xfId="48090" xr:uid="{00000000-0005-0000-0000-0000DABB0000}"/>
    <cellStyle name="Total 2 2 10 3" xfId="48091" xr:uid="{00000000-0005-0000-0000-0000DBBB0000}"/>
    <cellStyle name="Total 2 2 10 4" xfId="48092" xr:uid="{00000000-0005-0000-0000-0000DCBB0000}"/>
    <cellStyle name="Total 2 2 10 5" xfId="48093" xr:uid="{00000000-0005-0000-0000-0000DDBB0000}"/>
    <cellStyle name="Total 2 2 10 6" xfId="48094" xr:uid="{00000000-0005-0000-0000-0000DEBB0000}"/>
    <cellStyle name="Total 2 2 10 7" xfId="48095" xr:uid="{00000000-0005-0000-0000-0000DFBB0000}"/>
    <cellStyle name="Total 2 2 11" xfId="48096" xr:uid="{00000000-0005-0000-0000-0000E0BB0000}"/>
    <cellStyle name="Total 2 2 11 2" xfId="48097" xr:uid="{00000000-0005-0000-0000-0000E1BB0000}"/>
    <cellStyle name="Total 2 2 11 2 2" xfId="48098" xr:uid="{00000000-0005-0000-0000-0000E2BB0000}"/>
    <cellStyle name="Total 2 2 11 2 3" xfId="48099" xr:uid="{00000000-0005-0000-0000-0000E3BB0000}"/>
    <cellStyle name="Total 2 2 11 2 4" xfId="48100" xr:uid="{00000000-0005-0000-0000-0000E4BB0000}"/>
    <cellStyle name="Total 2 2 11 2 5" xfId="48101" xr:uid="{00000000-0005-0000-0000-0000E5BB0000}"/>
    <cellStyle name="Total 2 2 11 2 6" xfId="48102" xr:uid="{00000000-0005-0000-0000-0000E6BB0000}"/>
    <cellStyle name="Total 2 2 11 3" xfId="48103" xr:uid="{00000000-0005-0000-0000-0000E7BB0000}"/>
    <cellStyle name="Total 2 2 11 4" xfId="48104" xr:uid="{00000000-0005-0000-0000-0000E8BB0000}"/>
    <cellStyle name="Total 2 2 11 5" xfId="48105" xr:uid="{00000000-0005-0000-0000-0000E9BB0000}"/>
    <cellStyle name="Total 2 2 11 6" xfId="48106" xr:uid="{00000000-0005-0000-0000-0000EABB0000}"/>
    <cellStyle name="Total 2 2 11 7" xfId="48107" xr:uid="{00000000-0005-0000-0000-0000EBBB0000}"/>
    <cellStyle name="Total 2 2 12" xfId="48108" xr:uid="{00000000-0005-0000-0000-0000ECBB0000}"/>
    <cellStyle name="Total 2 2 12 2" xfId="48109" xr:uid="{00000000-0005-0000-0000-0000EDBB0000}"/>
    <cellStyle name="Total 2 2 12 2 2" xfId="48110" xr:uid="{00000000-0005-0000-0000-0000EEBB0000}"/>
    <cellStyle name="Total 2 2 12 2 3" xfId="48111" xr:uid="{00000000-0005-0000-0000-0000EFBB0000}"/>
    <cellStyle name="Total 2 2 12 2 4" xfId="48112" xr:uid="{00000000-0005-0000-0000-0000F0BB0000}"/>
    <cellStyle name="Total 2 2 12 2 5" xfId="48113" xr:uid="{00000000-0005-0000-0000-0000F1BB0000}"/>
    <cellStyle name="Total 2 2 12 2 6" xfId="48114" xr:uid="{00000000-0005-0000-0000-0000F2BB0000}"/>
    <cellStyle name="Total 2 2 12 3" xfId="48115" xr:uid="{00000000-0005-0000-0000-0000F3BB0000}"/>
    <cellStyle name="Total 2 2 12 4" xfId="48116" xr:uid="{00000000-0005-0000-0000-0000F4BB0000}"/>
    <cellStyle name="Total 2 2 12 5" xfId="48117" xr:uid="{00000000-0005-0000-0000-0000F5BB0000}"/>
    <cellStyle name="Total 2 2 12 6" xfId="48118" xr:uid="{00000000-0005-0000-0000-0000F6BB0000}"/>
    <cellStyle name="Total 2 2 12 7" xfId="48119" xr:uid="{00000000-0005-0000-0000-0000F7BB0000}"/>
    <cellStyle name="Total 2 2 13" xfId="48120" xr:uid="{00000000-0005-0000-0000-0000F8BB0000}"/>
    <cellStyle name="Total 2 2 13 2" xfId="48121" xr:uid="{00000000-0005-0000-0000-0000F9BB0000}"/>
    <cellStyle name="Total 2 2 13 2 2" xfId="48122" xr:uid="{00000000-0005-0000-0000-0000FABB0000}"/>
    <cellStyle name="Total 2 2 13 2 3" xfId="48123" xr:uid="{00000000-0005-0000-0000-0000FBBB0000}"/>
    <cellStyle name="Total 2 2 13 2 4" xfId="48124" xr:uid="{00000000-0005-0000-0000-0000FCBB0000}"/>
    <cellStyle name="Total 2 2 13 2 5" xfId="48125" xr:uid="{00000000-0005-0000-0000-0000FDBB0000}"/>
    <cellStyle name="Total 2 2 13 2 6" xfId="48126" xr:uid="{00000000-0005-0000-0000-0000FEBB0000}"/>
    <cellStyle name="Total 2 2 13 3" xfId="48127" xr:uid="{00000000-0005-0000-0000-0000FFBB0000}"/>
    <cellStyle name="Total 2 2 13 4" xfId="48128" xr:uid="{00000000-0005-0000-0000-000000BC0000}"/>
    <cellStyle name="Total 2 2 13 5" xfId="48129" xr:uid="{00000000-0005-0000-0000-000001BC0000}"/>
    <cellStyle name="Total 2 2 13 6" xfId="48130" xr:uid="{00000000-0005-0000-0000-000002BC0000}"/>
    <cellStyle name="Total 2 2 13 7" xfId="48131" xr:uid="{00000000-0005-0000-0000-000003BC0000}"/>
    <cellStyle name="Total 2 2 14" xfId="48132" xr:uid="{00000000-0005-0000-0000-000004BC0000}"/>
    <cellStyle name="Total 2 2 14 2" xfId="48133" xr:uid="{00000000-0005-0000-0000-000005BC0000}"/>
    <cellStyle name="Total 2 2 14 2 2" xfId="48134" xr:uid="{00000000-0005-0000-0000-000006BC0000}"/>
    <cellStyle name="Total 2 2 14 2 3" xfId="48135" xr:uid="{00000000-0005-0000-0000-000007BC0000}"/>
    <cellStyle name="Total 2 2 14 2 4" xfId="48136" xr:uid="{00000000-0005-0000-0000-000008BC0000}"/>
    <cellStyle name="Total 2 2 14 2 5" xfId="48137" xr:uid="{00000000-0005-0000-0000-000009BC0000}"/>
    <cellStyle name="Total 2 2 14 2 6" xfId="48138" xr:uid="{00000000-0005-0000-0000-00000ABC0000}"/>
    <cellStyle name="Total 2 2 14 3" xfId="48139" xr:uid="{00000000-0005-0000-0000-00000BBC0000}"/>
    <cellStyle name="Total 2 2 14 4" xfId="48140" xr:uid="{00000000-0005-0000-0000-00000CBC0000}"/>
    <cellStyle name="Total 2 2 14 5" xfId="48141" xr:uid="{00000000-0005-0000-0000-00000DBC0000}"/>
    <cellStyle name="Total 2 2 14 6" xfId="48142" xr:uid="{00000000-0005-0000-0000-00000EBC0000}"/>
    <cellStyle name="Total 2 2 14 7" xfId="48143" xr:uid="{00000000-0005-0000-0000-00000FBC0000}"/>
    <cellStyle name="Total 2 2 15" xfId="48144" xr:uid="{00000000-0005-0000-0000-000010BC0000}"/>
    <cellStyle name="Total 2 2 15 2" xfId="48145" xr:uid="{00000000-0005-0000-0000-000011BC0000}"/>
    <cellStyle name="Total 2 2 15 2 2" xfId="48146" xr:uid="{00000000-0005-0000-0000-000012BC0000}"/>
    <cellStyle name="Total 2 2 15 2 3" xfId="48147" xr:uid="{00000000-0005-0000-0000-000013BC0000}"/>
    <cellStyle name="Total 2 2 15 2 4" xfId="48148" xr:uid="{00000000-0005-0000-0000-000014BC0000}"/>
    <cellStyle name="Total 2 2 15 2 5" xfId="48149" xr:uid="{00000000-0005-0000-0000-000015BC0000}"/>
    <cellStyle name="Total 2 2 15 2 6" xfId="48150" xr:uid="{00000000-0005-0000-0000-000016BC0000}"/>
    <cellStyle name="Total 2 2 15 3" xfId="48151" xr:uid="{00000000-0005-0000-0000-000017BC0000}"/>
    <cellStyle name="Total 2 2 15 4" xfId="48152" xr:uid="{00000000-0005-0000-0000-000018BC0000}"/>
    <cellStyle name="Total 2 2 15 5" xfId="48153" xr:uid="{00000000-0005-0000-0000-000019BC0000}"/>
    <cellStyle name="Total 2 2 15 6" xfId="48154" xr:uid="{00000000-0005-0000-0000-00001ABC0000}"/>
    <cellStyle name="Total 2 2 15 7" xfId="48155" xr:uid="{00000000-0005-0000-0000-00001BBC0000}"/>
    <cellStyle name="Total 2 2 16" xfId="48156" xr:uid="{00000000-0005-0000-0000-00001CBC0000}"/>
    <cellStyle name="Total 2 2 16 2" xfId="48157" xr:uid="{00000000-0005-0000-0000-00001DBC0000}"/>
    <cellStyle name="Total 2 2 16 2 2" xfId="48158" xr:uid="{00000000-0005-0000-0000-00001EBC0000}"/>
    <cellStyle name="Total 2 2 16 2 3" xfId="48159" xr:uid="{00000000-0005-0000-0000-00001FBC0000}"/>
    <cellStyle name="Total 2 2 16 2 4" xfId="48160" xr:uid="{00000000-0005-0000-0000-000020BC0000}"/>
    <cellStyle name="Total 2 2 16 2 5" xfId="48161" xr:uid="{00000000-0005-0000-0000-000021BC0000}"/>
    <cellStyle name="Total 2 2 16 2 6" xfId="48162" xr:uid="{00000000-0005-0000-0000-000022BC0000}"/>
    <cellStyle name="Total 2 2 16 3" xfId="48163" xr:uid="{00000000-0005-0000-0000-000023BC0000}"/>
    <cellStyle name="Total 2 2 16 4" xfId="48164" xr:uid="{00000000-0005-0000-0000-000024BC0000}"/>
    <cellStyle name="Total 2 2 16 5" xfId="48165" xr:uid="{00000000-0005-0000-0000-000025BC0000}"/>
    <cellStyle name="Total 2 2 16 6" xfId="48166" xr:uid="{00000000-0005-0000-0000-000026BC0000}"/>
    <cellStyle name="Total 2 2 16 7" xfId="48167" xr:uid="{00000000-0005-0000-0000-000027BC0000}"/>
    <cellStyle name="Total 2 2 17" xfId="48168" xr:uid="{00000000-0005-0000-0000-000028BC0000}"/>
    <cellStyle name="Total 2 2 17 2" xfId="48169" xr:uid="{00000000-0005-0000-0000-000029BC0000}"/>
    <cellStyle name="Total 2 2 17 2 2" xfId="48170" xr:uid="{00000000-0005-0000-0000-00002ABC0000}"/>
    <cellStyle name="Total 2 2 17 2 3" xfId="48171" xr:uid="{00000000-0005-0000-0000-00002BBC0000}"/>
    <cellStyle name="Total 2 2 17 2 4" xfId="48172" xr:uid="{00000000-0005-0000-0000-00002CBC0000}"/>
    <cellStyle name="Total 2 2 17 2 5" xfId="48173" xr:uid="{00000000-0005-0000-0000-00002DBC0000}"/>
    <cellStyle name="Total 2 2 17 2 6" xfId="48174" xr:uid="{00000000-0005-0000-0000-00002EBC0000}"/>
    <cellStyle name="Total 2 2 17 3" xfId="48175" xr:uid="{00000000-0005-0000-0000-00002FBC0000}"/>
    <cellStyle name="Total 2 2 17 4" xfId="48176" xr:uid="{00000000-0005-0000-0000-000030BC0000}"/>
    <cellStyle name="Total 2 2 17 5" xfId="48177" xr:uid="{00000000-0005-0000-0000-000031BC0000}"/>
    <cellStyle name="Total 2 2 17 6" xfId="48178" xr:uid="{00000000-0005-0000-0000-000032BC0000}"/>
    <cellStyle name="Total 2 2 17 7" xfId="48179" xr:uid="{00000000-0005-0000-0000-000033BC0000}"/>
    <cellStyle name="Total 2 2 18" xfId="48180" xr:uid="{00000000-0005-0000-0000-000034BC0000}"/>
    <cellStyle name="Total 2 2 18 2" xfId="48181" xr:uid="{00000000-0005-0000-0000-000035BC0000}"/>
    <cellStyle name="Total 2 2 18 2 2" xfId="48182" xr:uid="{00000000-0005-0000-0000-000036BC0000}"/>
    <cellStyle name="Total 2 2 18 2 3" xfId="48183" xr:uid="{00000000-0005-0000-0000-000037BC0000}"/>
    <cellStyle name="Total 2 2 18 2 4" xfId="48184" xr:uid="{00000000-0005-0000-0000-000038BC0000}"/>
    <cellStyle name="Total 2 2 18 2 5" xfId="48185" xr:uid="{00000000-0005-0000-0000-000039BC0000}"/>
    <cellStyle name="Total 2 2 18 2 6" xfId="48186" xr:uid="{00000000-0005-0000-0000-00003ABC0000}"/>
    <cellStyle name="Total 2 2 18 3" xfId="48187" xr:uid="{00000000-0005-0000-0000-00003BBC0000}"/>
    <cellStyle name="Total 2 2 18 4" xfId="48188" xr:uid="{00000000-0005-0000-0000-00003CBC0000}"/>
    <cellStyle name="Total 2 2 18 5" xfId="48189" xr:uid="{00000000-0005-0000-0000-00003DBC0000}"/>
    <cellStyle name="Total 2 2 18 6" xfId="48190" xr:uid="{00000000-0005-0000-0000-00003EBC0000}"/>
    <cellStyle name="Total 2 2 18 7" xfId="48191" xr:uid="{00000000-0005-0000-0000-00003FBC0000}"/>
    <cellStyle name="Total 2 2 19" xfId="48192" xr:uid="{00000000-0005-0000-0000-000040BC0000}"/>
    <cellStyle name="Total 2 2 19 2" xfId="48193" xr:uid="{00000000-0005-0000-0000-000041BC0000}"/>
    <cellStyle name="Total 2 2 19 2 2" xfId="48194" xr:uid="{00000000-0005-0000-0000-000042BC0000}"/>
    <cellStyle name="Total 2 2 19 2 3" xfId="48195" xr:uid="{00000000-0005-0000-0000-000043BC0000}"/>
    <cellStyle name="Total 2 2 19 2 4" xfId="48196" xr:uid="{00000000-0005-0000-0000-000044BC0000}"/>
    <cellStyle name="Total 2 2 19 2 5" xfId="48197" xr:uid="{00000000-0005-0000-0000-000045BC0000}"/>
    <cellStyle name="Total 2 2 19 2 6" xfId="48198" xr:uid="{00000000-0005-0000-0000-000046BC0000}"/>
    <cellStyle name="Total 2 2 19 3" xfId="48199" xr:uid="{00000000-0005-0000-0000-000047BC0000}"/>
    <cellStyle name="Total 2 2 19 4" xfId="48200" xr:uid="{00000000-0005-0000-0000-000048BC0000}"/>
    <cellStyle name="Total 2 2 19 5" xfId="48201" xr:uid="{00000000-0005-0000-0000-000049BC0000}"/>
    <cellStyle name="Total 2 2 19 6" xfId="48202" xr:uid="{00000000-0005-0000-0000-00004ABC0000}"/>
    <cellStyle name="Total 2 2 19 7" xfId="48203" xr:uid="{00000000-0005-0000-0000-00004BBC0000}"/>
    <cellStyle name="Total 2 2 2" xfId="48204" xr:uid="{00000000-0005-0000-0000-00004CBC0000}"/>
    <cellStyle name="Total 2 2 2 2" xfId="48205" xr:uid="{00000000-0005-0000-0000-00004DBC0000}"/>
    <cellStyle name="Total 2 2 2 2 2" xfId="48206" xr:uid="{00000000-0005-0000-0000-00004EBC0000}"/>
    <cellStyle name="Total 2 2 2 2 3" xfId="48207" xr:uid="{00000000-0005-0000-0000-00004FBC0000}"/>
    <cellStyle name="Total 2 2 2 2 4" xfId="48208" xr:uid="{00000000-0005-0000-0000-000050BC0000}"/>
    <cellStyle name="Total 2 2 2 2 5" xfId="48209" xr:uid="{00000000-0005-0000-0000-000051BC0000}"/>
    <cellStyle name="Total 2 2 2 2 6" xfId="48210" xr:uid="{00000000-0005-0000-0000-000052BC0000}"/>
    <cellStyle name="Total 2 2 2 3" xfId="48211" xr:uid="{00000000-0005-0000-0000-000053BC0000}"/>
    <cellStyle name="Total 2 2 2 3 2" xfId="48212" xr:uid="{00000000-0005-0000-0000-000054BC0000}"/>
    <cellStyle name="Total 2 2 2 3 3" xfId="48213" xr:uid="{00000000-0005-0000-0000-000055BC0000}"/>
    <cellStyle name="Total 2 2 2 3 4" xfId="48214" xr:uid="{00000000-0005-0000-0000-000056BC0000}"/>
    <cellStyle name="Total 2 2 2 3 5" xfId="48215" xr:uid="{00000000-0005-0000-0000-000057BC0000}"/>
    <cellStyle name="Total 2 2 2 3 6" xfId="48216" xr:uid="{00000000-0005-0000-0000-000058BC0000}"/>
    <cellStyle name="Total 2 2 2 4" xfId="48217" xr:uid="{00000000-0005-0000-0000-000059BC0000}"/>
    <cellStyle name="Total 2 2 2 5" xfId="48218" xr:uid="{00000000-0005-0000-0000-00005ABC0000}"/>
    <cellStyle name="Total 2 2 2 6" xfId="48219" xr:uid="{00000000-0005-0000-0000-00005BBC0000}"/>
    <cellStyle name="Total 2 2 2 7" xfId="48220" xr:uid="{00000000-0005-0000-0000-00005CBC0000}"/>
    <cellStyle name="Total 2 2 2 8" xfId="48221" xr:uid="{00000000-0005-0000-0000-00005DBC0000}"/>
    <cellStyle name="Total 2 2 20" xfId="48222" xr:uid="{00000000-0005-0000-0000-00005EBC0000}"/>
    <cellStyle name="Total 2 2 20 2" xfId="48223" xr:uid="{00000000-0005-0000-0000-00005FBC0000}"/>
    <cellStyle name="Total 2 2 20 2 2" xfId="48224" xr:uid="{00000000-0005-0000-0000-000060BC0000}"/>
    <cellStyle name="Total 2 2 20 2 3" xfId="48225" xr:uid="{00000000-0005-0000-0000-000061BC0000}"/>
    <cellStyle name="Total 2 2 20 2 4" xfId="48226" xr:uid="{00000000-0005-0000-0000-000062BC0000}"/>
    <cellStyle name="Total 2 2 20 2 5" xfId="48227" xr:uid="{00000000-0005-0000-0000-000063BC0000}"/>
    <cellStyle name="Total 2 2 20 2 6" xfId="48228" xr:uid="{00000000-0005-0000-0000-000064BC0000}"/>
    <cellStyle name="Total 2 2 20 3" xfId="48229" xr:uid="{00000000-0005-0000-0000-000065BC0000}"/>
    <cellStyle name="Total 2 2 20 4" xfId="48230" xr:uid="{00000000-0005-0000-0000-000066BC0000}"/>
    <cellStyle name="Total 2 2 20 5" xfId="48231" xr:uid="{00000000-0005-0000-0000-000067BC0000}"/>
    <cellStyle name="Total 2 2 20 6" xfId="48232" xr:uid="{00000000-0005-0000-0000-000068BC0000}"/>
    <cellStyle name="Total 2 2 20 7" xfId="48233" xr:uid="{00000000-0005-0000-0000-000069BC0000}"/>
    <cellStyle name="Total 2 2 21" xfId="48234" xr:uid="{00000000-0005-0000-0000-00006ABC0000}"/>
    <cellStyle name="Total 2 2 21 2" xfId="48235" xr:uid="{00000000-0005-0000-0000-00006BBC0000}"/>
    <cellStyle name="Total 2 2 21 2 2" xfId="48236" xr:uid="{00000000-0005-0000-0000-00006CBC0000}"/>
    <cellStyle name="Total 2 2 21 2 3" xfId="48237" xr:uid="{00000000-0005-0000-0000-00006DBC0000}"/>
    <cellStyle name="Total 2 2 21 2 4" xfId="48238" xr:uid="{00000000-0005-0000-0000-00006EBC0000}"/>
    <cellStyle name="Total 2 2 21 2 5" xfId="48239" xr:uid="{00000000-0005-0000-0000-00006FBC0000}"/>
    <cellStyle name="Total 2 2 21 2 6" xfId="48240" xr:uid="{00000000-0005-0000-0000-000070BC0000}"/>
    <cellStyle name="Total 2 2 21 3" xfId="48241" xr:uid="{00000000-0005-0000-0000-000071BC0000}"/>
    <cellStyle name="Total 2 2 21 4" xfId="48242" xr:uid="{00000000-0005-0000-0000-000072BC0000}"/>
    <cellStyle name="Total 2 2 21 5" xfId="48243" xr:uid="{00000000-0005-0000-0000-000073BC0000}"/>
    <cellStyle name="Total 2 2 21 6" xfId="48244" xr:uid="{00000000-0005-0000-0000-000074BC0000}"/>
    <cellStyle name="Total 2 2 21 7" xfId="48245" xr:uid="{00000000-0005-0000-0000-000075BC0000}"/>
    <cellStyle name="Total 2 2 22" xfId="48246" xr:uid="{00000000-0005-0000-0000-000076BC0000}"/>
    <cellStyle name="Total 2 2 22 2" xfId="48247" xr:uid="{00000000-0005-0000-0000-000077BC0000}"/>
    <cellStyle name="Total 2 2 22 2 2" xfId="48248" xr:uid="{00000000-0005-0000-0000-000078BC0000}"/>
    <cellStyle name="Total 2 2 22 2 3" xfId="48249" xr:uid="{00000000-0005-0000-0000-000079BC0000}"/>
    <cellStyle name="Total 2 2 22 2 4" xfId="48250" xr:uid="{00000000-0005-0000-0000-00007ABC0000}"/>
    <cellStyle name="Total 2 2 22 2 5" xfId="48251" xr:uid="{00000000-0005-0000-0000-00007BBC0000}"/>
    <cellStyle name="Total 2 2 22 2 6" xfId="48252" xr:uid="{00000000-0005-0000-0000-00007CBC0000}"/>
    <cellStyle name="Total 2 2 22 3" xfId="48253" xr:uid="{00000000-0005-0000-0000-00007DBC0000}"/>
    <cellStyle name="Total 2 2 22 4" xfId="48254" xr:uid="{00000000-0005-0000-0000-00007EBC0000}"/>
    <cellStyle name="Total 2 2 22 5" xfId="48255" xr:uid="{00000000-0005-0000-0000-00007FBC0000}"/>
    <cellStyle name="Total 2 2 22 6" xfId="48256" xr:uid="{00000000-0005-0000-0000-000080BC0000}"/>
    <cellStyle name="Total 2 2 22 7" xfId="48257" xr:uid="{00000000-0005-0000-0000-000081BC0000}"/>
    <cellStyle name="Total 2 2 23" xfId="48258" xr:uid="{00000000-0005-0000-0000-000082BC0000}"/>
    <cellStyle name="Total 2 2 23 2" xfId="48259" xr:uid="{00000000-0005-0000-0000-000083BC0000}"/>
    <cellStyle name="Total 2 2 23 2 2" xfId="48260" xr:uid="{00000000-0005-0000-0000-000084BC0000}"/>
    <cellStyle name="Total 2 2 23 2 3" xfId="48261" xr:uid="{00000000-0005-0000-0000-000085BC0000}"/>
    <cellStyle name="Total 2 2 23 2 4" xfId="48262" xr:uid="{00000000-0005-0000-0000-000086BC0000}"/>
    <cellStyle name="Total 2 2 23 2 5" xfId="48263" xr:uid="{00000000-0005-0000-0000-000087BC0000}"/>
    <cellStyle name="Total 2 2 23 2 6" xfId="48264" xr:uid="{00000000-0005-0000-0000-000088BC0000}"/>
    <cellStyle name="Total 2 2 23 3" xfId="48265" xr:uid="{00000000-0005-0000-0000-000089BC0000}"/>
    <cellStyle name="Total 2 2 23 4" xfId="48266" xr:uid="{00000000-0005-0000-0000-00008ABC0000}"/>
    <cellStyle name="Total 2 2 23 5" xfId="48267" xr:uid="{00000000-0005-0000-0000-00008BBC0000}"/>
    <cellStyle name="Total 2 2 23 6" xfId="48268" xr:uid="{00000000-0005-0000-0000-00008CBC0000}"/>
    <cellStyle name="Total 2 2 23 7" xfId="48269" xr:uid="{00000000-0005-0000-0000-00008DBC0000}"/>
    <cellStyle name="Total 2 2 24" xfId="48270" xr:uid="{00000000-0005-0000-0000-00008EBC0000}"/>
    <cellStyle name="Total 2 2 24 2" xfId="48271" xr:uid="{00000000-0005-0000-0000-00008FBC0000}"/>
    <cellStyle name="Total 2 2 24 2 2" xfId="48272" xr:uid="{00000000-0005-0000-0000-000090BC0000}"/>
    <cellStyle name="Total 2 2 24 2 3" xfId="48273" xr:uid="{00000000-0005-0000-0000-000091BC0000}"/>
    <cellStyle name="Total 2 2 24 2 4" xfId="48274" xr:uid="{00000000-0005-0000-0000-000092BC0000}"/>
    <cellStyle name="Total 2 2 24 2 5" xfId="48275" xr:uid="{00000000-0005-0000-0000-000093BC0000}"/>
    <cellStyle name="Total 2 2 24 2 6" xfId="48276" xr:uid="{00000000-0005-0000-0000-000094BC0000}"/>
    <cellStyle name="Total 2 2 24 3" xfId="48277" xr:uid="{00000000-0005-0000-0000-000095BC0000}"/>
    <cellStyle name="Total 2 2 24 4" xfId="48278" xr:uid="{00000000-0005-0000-0000-000096BC0000}"/>
    <cellStyle name="Total 2 2 24 5" xfId="48279" xr:uid="{00000000-0005-0000-0000-000097BC0000}"/>
    <cellStyle name="Total 2 2 24 6" xfId="48280" xr:uid="{00000000-0005-0000-0000-000098BC0000}"/>
    <cellStyle name="Total 2 2 24 7" xfId="48281" xr:uid="{00000000-0005-0000-0000-000099BC0000}"/>
    <cellStyle name="Total 2 2 25" xfId="48282" xr:uid="{00000000-0005-0000-0000-00009ABC0000}"/>
    <cellStyle name="Total 2 2 25 2" xfId="48283" xr:uid="{00000000-0005-0000-0000-00009BBC0000}"/>
    <cellStyle name="Total 2 2 25 2 2" xfId="48284" xr:uid="{00000000-0005-0000-0000-00009CBC0000}"/>
    <cellStyle name="Total 2 2 25 2 3" xfId="48285" xr:uid="{00000000-0005-0000-0000-00009DBC0000}"/>
    <cellStyle name="Total 2 2 25 2 4" xfId="48286" xr:uid="{00000000-0005-0000-0000-00009EBC0000}"/>
    <cellStyle name="Total 2 2 25 2 5" xfId="48287" xr:uid="{00000000-0005-0000-0000-00009FBC0000}"/>
    <cellStyle name="Total 2 2 25 2 6" xfId="48288" xr:uid="{00000000-0005-0000-0000-0000A0BC0000}"/>
    <cellStyle name="Total 2 2 25 3" xfId="48289" xr:uid="{00000000-0005-0000-0000-0000A1BC0000}"/>
    <cellStyle name="Total 2 2 25 4" xfId="48290" xr:uid="{00000000-0005-0000-0000-0000A2BC0000}"/>
    <cellStyle name="Total 2 2 25 5" xfId="48291" xr:uid="{00000000-0005-0000-0000-0000A3BC0000}"/>
    <cellStyle name="Total 2 2 25 6" xfId="48292" xr:uid="{00000000-0005-0000-0000-0000A4BC0000}"/>
    <cellStyle name="Total 2 2 25 7" xfId="48293" xr:uid="{00000000-0005-0000-0000-0000A5BC0000}"/>
    <cellStyle name="Total 2 2 26" xfId="48294" xr:uid="{00000000-0005-0000-0000-0000A6BC0000}"/>
    <cellStyle name="Total 2 2 26 2" xfId="48295" xr:uid="{00000000-0005-0000-0000-0000A7BC0000}"/>
    <cellStyle name="Total 2 2 26 2 2" xfId="48296" xr:uid="{00000000-0005-0000-0000-0000A8BC0000}"/>
    <cellStyle name="Total 2 2 26 2 3" xfId="48297" xr:uid="{00000000-0005-0000-0000-0000A9BC0000}"/>
    <cellStyle name="Total 2 2 26 2 4" xfId="48298" xr:uid="{00000000-0005-0000-0000-0000AABC0000}"/>
    <cellStyle name="Total 2 2 26 2 5" xfId="48299" xr:uid="{00000000-0005-0000-0000-0000ABBC0000}"/>
    <cellStyle name="Total 2 2 26 2 6" xfId="48300" xr:uid="{00000000-0005-0000-0000-0000ACBC0000}"/>
    <cellStyle name="Total 2 2 26 3" xfId="48301" xr:uid="{00000000-0005-0000-0000-0000ADBC0000}"/>
    <cellStyle name="Total 2 2 26 4" xfId="48302" xr:uid="{00000000-0005-0000-0000-0000AEBC0000}"/>
    <cellStyle name="Total 2 2 26 5" xfId="48303" xr:uid="{00000000-0005-0000-0000-0000AFBC0000}"/>
    <cellStyle name="Total 2 2 26 6" xfId="48304" xr:uid="{00000000-0005-0000-0000-0000B0BC0000}"/>
    <cellStyle name="Total 2 2 26 7" xfId="48305" xr:uid="{00000000-0005-0000-0000-0000B1BC0000}"/>
    <cellStyle name="Total 2 2 27" xfId="48306" xr:uid="{00000000-0005-0000-0000-0000B2BC0000}"/>
    <cellStyle name="Total 2 2 27 2" xfId="48307" xr:uid="{00000000-0005-0000-0000-0000B3BC0000}"/>
    <cellStyle name="Total 2 2 27 2 2" xfId="48308" xr:uid="{00000000-0005-0000-0000-0000B4BC0000}"/>
    <cellStyle name="Total 2 2 27 2 3" xfId="48309" xr:uid="{00000000-0005-0000-0000-0000B5BC0000}"/>
    <cellStyle name="Total 2 2 27 2 4" xfId="48310" xr:uid="{00000000-0005-0000-0000-0000B6BC0000}"/>
    <cellStyle name="Total 2 2 27 2 5" xfId="48311" xr:uid="{00000000-0005-0000-0000-0000B7BC0000}"/>
    <cellStyle name="Total 2 2 27 2 6" xfId="48312" xr:uid="{00000000-0005-0000-0000-0000B8BC0000}"/>
    <cellStyle name="Total 2 2 27 3" xfId="48313" xr:uid="{00000000-0005-0000-0000-0000B9BC0000}"/>
    <cellStyle name="Total 2 2 27 4" xfId="48314" xr:uid="{00000000-0005-0000-0000-0000BABC0000}"/>
    <cellStyle name="Total 2 2 27 5" xfId="48315" xr:uid="{00000000-0005-0000-0000-0000BBBC0000}"/>
    <cellStyle name="Total 2 2 27 6" xfId="48316" xr:uid="{00000000-0005-0000-0000-0000BCBC0000}"/>
    <cellStyle name="Total 2 2 27 7" xfId="48317" xr:uid="{00000000-0005-0000-0000-0000BDBC0000}"/>
    <cellStyle name="Total 2 2 28" xfId="48318" xr:uid="{00000000-0005-0000-0000-0000BEBC0000}"/>
    <cellStyle name="Total 2 2 28 2" xfId="48319" xr:uid="{00000000-0005-0000-0000-0000BFBC0000}"/>
    <cellStyle name="Total 2 2 28 2 2" xfId="48320" xr:uid="{00000000-0005-0000-0000-0000C0BC0000}"/>
    <cellStyle name="Total 2 2 28 2 3" xfId="48321" xr:uid="{00000000-0005-0000-0000-0000C1BC0000}"/>
    <cellStyle name="Total 2 2 28 2 4" xfId="48322" xr:uid="{00000000-0005-0000-0000-0000C2BC0000}"/>
    <cellStyle name="Total 2 2 28 2 5" xfId="48323" xr:uid="{00000000-0005-0000-0000-0000C3BC0000}"/>
    <cellStyle name="Total 2 2 28 2 6" xfId="48324" xr:uid="{00000000-0005-0000-0000-0000C4BC0000}"/>
    <cellStyle name="Total 2 2 28 3" xfId="48325" xr:uid="{00000000-0005-0000-0000-0000C5BC0000}"/>
    <cellStyle name="Total 2 2 28 4" xfId="48326" xr:uid="{00000000-0005-0000-0000-0000C6BC0000}"/>
    <cellStyle name="Total 2 2 28 5" xfId="48327" xr:uid="{00000000-0005-0000-0000-0000C7BC0000}"/>
    <cellStyle name="Total 2 2 28 6" xfId="48328" xr:uid="{00000000-0005-0000-0000-0000C8BC0000}"/>
    <cellStyle name="Total 2 2 28 7" xfId="48329" xr:uid="{00000000-0005-0000-0000-0000C9BC0000}"/>
    <cellStyle name="Total 2 2 29" xfId="48330" xr:uid="{00000000-0005-0000-0000-0000CABC0000}"/>
    <cellStyle name="Total 2 2 29 2" xfId="48331" xr:uid="{00000000-0005-0000-0000-0000CBBC0000}"/>
    <cellStyle name="Total 2 2 29 2 2" xfId="48332" xr:uid="{00000000-0005-0000-0000-0000CCBC0000}"/>
    <cellStyle name="Total 2 2 29 2 3" xfId="48333" xr:uid="{00000000-0005-0000-0000-0000CDBC0000}"/>
    <cellStyle name="Total 2 2 29 2 4" xfId="48334" xr:uid="{00000000-0005-0000-0000-0000CEBC0000}"/>
    <cellStyle name="Total 2 2 29 2 5" xfId="48335" xr:uid="{00000000-0005-0000-0000-0000CFBC0000}"/>
    <cellStyle name="Total 2 2 29 2 6" xfId="48336" xr:uid="{00000000-0005-0000-0000-0000D0BC0000}"/>
    <cellStyle name="Total 2 2 29 3" xfId="48337" xr:uid="{00000000-0005-0000-0000-0000D1BC0000}"/>
    <cellStyle name="Total 2 2 29 4" xfId="48338" xr:uid="{00000000-0005-0000-0000-0000D2BC0000}"/>
    <cellStyle name="Total 2 2 29 5" xfId="48339" xr:uid="{00000000-0005-0000-0000-0000D3BC0000}"/>
    <cellStyle name="Total 2 2 29 6" xfId="48340" xr:uid="{00000000-0005-0000-0000-0000D4BC0000}"/>
    <cellStyle name="Total 2 2 29 7" xfId="48341" xr:uid="{00000000-0005-0000-0000-0000D5BC0000}"/>
    <cellStyle name="Total 2 2 3" xfId="48342" xr:uid="{00000000-0005-0000-0000-0000D6BC0000}"/>
    <cellStyle name="Total 2 2 3 2" xfId="48343" xr:uid="{00000000-0005-0000-0000-0000D7BC0000}"/>
    <cellStyle name="Total 2 2 3 2 2" xfId="48344" xr:uid="{00000000-0005-0000-0000-0000D8BC0000}"/>
    <cellStyle name="Total 2 2 3 2 3" xfId="48345" xr:uid="{00000000-0005-0000-0000-0000D9BC0000}"/>
    <cellStyle name="Total 2 2 3 2 4" xfId="48346" xr:uid="{00000000-0005-0000-0000-0000DABC0000}"/>
    <cellStyle name="Total 2 2 3 2 5" xfId="48347" xr:uid="{00000000-0005-0000-0000-0000DBBC0000}"/>
    <cellStyle name="Total 2 2 3 2 6" xfId="48348" xr:uid="{00000000-0005-0000-0000-0000DCBC0000}"/>
    <cellStyle name="Total 2 2 3 3" xfId="48349" xr:uid="{00000000-0005-0000-0000-0000DDBC0000}"/>
    <cellStyle name="Total 2 2 3 4" xfId="48350" xr:uid="{00000000-0005-0000-0000-0000DEBC0000}"/>
    <cellStyle name="Total 2 2 3 5" xfId="48351" xr:uid="{00000000-0005-0000-0000-0000DFBC0000}"/>
    <cellStyle name="Total 2 2 3 6" xfId="48352" xr:uid="{00000000-0005-0000-0000-0000E0BC0000}"/>
    <cellStyle name="Total 2 2 3 7" xfId="48353" xr:uid="{00000000-0005-0000-0000-0000E1BC0000}"/>
    <cellStyle name="Total 2 2 30" xfId="48354" xr:uid="{00000000-0005-0000-0000-0000E2BC0000}"/>
    <cellStyle name="Total 2 2 30 2" xfId="48355" xr:uid="{00000000-0005-0000-0000-0000E3BC0000}"/>
    <cellStyle name="Total 2 2 30 2 2" xfId="48356" xr:uid="{00000000-0005-0000-0000-0000E4BC0000}"/>
    <cellStyle name="Total 2 2 30 2 3" xfId="48357" xr:uid="{00000000-0005-0000-0000-0000E5BC0000}"/>
    <cellStyle name="Total 2 2 30 2 4" xfId="48358" xr:uid="{00000000-0005-0000-0000-0000E6BC0000}"/>
    <cellStyle name="Total 2 2 30 2 5" xfId="48359" xr:uid="{00000000-0005-0000-0000-0000E7BC0000}"/>
    <cellStyle name="Total 2 2 30 2 6" xfId="48360" xr:uid="{00000000-0005-0000-0000-0000E8BC0000}"/>
    <cellStyle name="Total 2 2 30 3" xfId="48361" xr:uid="{00000000-0005-0000-0000-0000E9BC0000}"/>
    <cellStyle name="Total 2 2 30 4" xfId="48362" xr:uid="{00000000-0005-0000-0000-0000EABC0000}"/>
    <cellStyle name="Total 2 2 30 5" xfId="48363" xr:uid="{00000000-0005-0000-0000-0000EBBC0000}"/>
    <cellStyle name="Total 2 2 30 6" xfId="48364" xr:uid="{00000000-0005-0000-0000-0000ECBC0000}"/>
    <cellStyle name="Total 2 2 30 7" xfId="48365" xr:uid="{00000000-0005-0000-0000-0000EDBC0000}"/>
    <cellStyle name="Total 2 2 31" xfId="48366" xr:uid="{00000000-0005-0000-0000-0000EEBC0000}"/>
    <cellStyle name="Total 2 2 31 2" xfId="48367" xr:uid="{00000000-0005-0000-0000-0000EFBC0000}"/>
    <cellStyle name="Total 2 2 31 2 2" xfId="48368" xr:uid="{00000000-0005-0000-0000-0000F0BC0000}"/>
    <cellStyle name="Total 2 2 31 2 3" xfId="48369" xr:uid="{00000000-0005-0000-0000-0000F1BC0000}"/>
    <cellStyle name="Total 2 2 31 2 4" xfId="48370" xr:uid="{00000000-0005-0000-0000-0000F2BC0000}"/>
    <cellStyle name="Total 2 2 31 2 5" xfId="48371" xr:uid="{00000000-0005-0000-0000-0000F3BC0000}"/>
    <cellStyle name="Total 2 2 31 2 6" xfId="48372" xr:uid="{00000000-0005-0000-0000-0000F4BC0000}"/>
    <cellStyle name="Total 2 2 31 3" xfId="48373" xr:uid="{00000000-0005-0000-0000-0000F5BC0000}"/>
    <cellStyle name="Total 2 2 31 4" xfId="48374" xr:uid="{00000000-0005-0000-0000-0000F6BC0000}"/>
    <cellStyle name="Total 2 2 31 5" xfId="48375" xr:uid="{00000000-0005-0000-0000-0000F7BC0000}"/>
    <cellStyle name="Total 2 2 31 6" xfId="48376" xr:uid="{00000000-0005-0000-0000-0000F8BC0000}"/>
    <cellStyle name="Total 2 2 31 7" xfId="48377" xr:uid="{00000000-0005-0000-0000-0000F9BC0000}"/>
    <cellStyle name="Total 2 2 32" xfId="48378" xr:uid="{00000000-0005-0000-0000-0000FABC0000}"/>
    <cellStyle name="Total 2 2 32 2" xfId="48379" xr:uid="{00000000-0005-0000-0000-0000FBBC0000}"/>
    <cellStyle name="Total 2 2 32 2 2" xfId="48380" xr:uid="{00000000-0005-0000-0000-0000FCBC0000}"/>
    <cellStyle name="Total 2 2 32 2 3" xfId="48381" xr:uid="{00000000-0005-0000-0000-0000FDBC0000}"/>
    <cellStyle name="Total 2 2 32 2 4" xfId="48382" xr:uid="{00000000-0005-0000-0000-0000FEBC0000}"/>
    <cellStyle name="Total 2 2 32 2 5" xfId="48383" xr:uid="{00000000-0005-0000-0000-0000FFBC0000}"/>
    <cellStyle name="Total 2 2 32 2 6" xfId="48384" xr:uid="{00000000-0005-0000-0000-000000BD0000}"/>
    <cellStyle name="Total 2 2 32 3" xfId="48385" xr:uid="{00000000-0005-0000-0000-000001BD0000}"/>
    <cellStyle name="Total 2 2 32 4" xfId="48386" xr:uid="{00000000-0005-0000-0000-000002BD0000}"/>
    <cellStyle name="Total 2 2 32 5" xfId="48387" xr:uid="{00000000-0005-0000-0000-000003BD0000}"/>
    <cellStyle name="Total 2 2 32 6" xfId="48388" xr:uid="{00000000-0005-0000-0000-000004BD0000}"/>
    <cellStyle name="Total 2 2 32 7" xfId="48389" xr:uid="{00000000-0005-0000-0000-000005BD0000}"/>
    <cellStyle name="Total 2 2 33" xfId="48390" xr:uid="{00000000-0005-0000-0000-000006BD0000}"/>
    <cellStyle name="Total 2 2 33 2" xfId="48391" xr:uid="{00000000-0005-0000-0000-000007BD0000}"/>
    <cellStyle name="Total 2 2 33 2 2" xfId="48392" xr:uid="{00000000-0005-0000-0000-000008BD0000}"/>
    <cellStyle name="Total 2 2 33 2 3" xfId="48393" xr:uid="{00000000-0005-0000-0000-000009BD0000}"/>
    <cellStyle name="Total 2 2 33 2 4" xfId="48394" xr:uid="{00000000-0005-0000-0000-00000ABD0000}"/>
    <cellStyle name="Total 2 2 33 2 5" xfId="48395" xr:uid="{00000000-0005-0000-0000-00000BBD0000}"/>
    <cellStyle name="Total 2 2 33 2 6" xfId="48396" xr:uid="{00000000-0005-0000-0000-00000CBD0000}"/>
    <cellStyle name="Total 2 2 33 3" xfId="48397" xr:uid="{00000000-0005-0000-0000-00000DBD0000}"/>
    <cellStyle name="Total 2 2 33 4" xfId="48398" xr:uid="{00000000-0005-0000-0000-00000EBD0000}"/>
    <cellStyle name="Total 2 2 33 5" xfId="48399" xr:uid="{00000000-0005-0000-0000-00000FBD0000}"/>
    <cellStyle name="Total 2 2 33 6" xfId="48400" xr:uid="{00000000-0005-0000-0000-000010BD0000}"/>
    <cellStyle name="Total 2 2 33 7" xfId="48401" xr:uid="{00000000-0005-0000-0000-000011BD0000}"/>
    <cellStyle name="Total 2 2 34" xfId="48402" xr:uid="{00000000-0005-0000-0000-000012BD0000}"/>
    <cellStyle name="Total 2 2 34 2" xfId="48403" xr:uid="{00000000-0005-0000-0000-000013BD0000}"/>
    <cellStyle name="Total 2 2 34 2 2" xfId="48404" xr:uid="{00000000-0005-0000-0000-000014BD0000}"/>
    <cellStyle name="Total 2 2 34 2 3" xfId="48405" xr:uid="{00000000-0005-0000-0000-000015BD0000}"/>
    <cellStyle name="Total 2 2 34 2 4" xfId="48406" xr:uid="{00000000-0005-0000-0000-000016BD0000}"/>
    <cellStyle name="Total 2 2 34 2 5" xfId="48407" xr:uid="{00000000-0005-0000-0000-000017BD0000}"/>
    <cellStyle name="Total 2 2 34 2 6" xfId="48408" xr:uid="{00000000-0005-0000-0000-000018BD0000}"/>
    <cellStyle name="Total 2 2 34 3" xfId="48409" xr:uid="{00000000-0005-0000-0000-000019BD0000}"/>
    <cellStyle name="Total 2 2 34 4" xfId="48410" xr:uid="{00000000-0005-0000-0000-00001ABD0000}"/>
    <cellStyle name="Total 2 2 34 5" xfId="48411" xr:uid="{00000000-0005-0000-0000-00001BBD0000}"/>
    <cellStyle name="Total 2 2 34 6" xfId="48412" xr:uid="{00000000-0005-0000-0000-00001CBD0000}"/>
    <cellStyle name="Total 2 2 34 7" xfId="48413" xr:uid="{00000000-0005-0000-0000-00001DBD0000}"/>
    <cellStyle name="Total 2 2 35" xfId="48414" xr:uid="{00000000-0005-0000-0000-00001EBD0000}"/>
    <cellStyle name="Total 2 2 35 2" xfId="48415" xr:uid="{00000000-0005-0000-0000-00001FBD0000}"/>
    <cellStyle name="Total 2 2 35 2 2" xfId="48416" xr:uid="{00000000-0005-0000-0000-000020BD0000}"/>
    <cellStyle name="Total 2 2 35 2 3" xfId="48417" xr:uid="{00000000-0005-0000-0000-000021BD0000}"/>
    <cellStyle name="Total 2 2 35 2 4" xfId="48418" xr:uid="{00000000-0005-0000-0000-000022BD0000}"/>
    <cellStyle name="Total 2 2 35 2 5" xfId="48419" xr:uid="{00000000-0005-0000-0000-000023BD0000}"/>
    <cellStyle name="Total 2 2 35 2 6" xfId="48420" xr:uid="{00000000-0005-0000-0000-000024BD0000}"/>
    <cellStyle name="Total 2 2 35 3" xfId="48421" xr:uid="{00000000-0005-0000-0000-000025BD0000}"/>
    <cellStyle name="Total 2 2 35 4" xfId="48422" xr:uid="{00000000-0005-0000-0000-000026BD0000}"/>
    <cellStyle name="Total 2 2 35 5" xfId="48423" xr:uid="{00000000-0005-0000-0000-000027BD0000}"/>
    <cellStyle name="Total 2 2 35 6" xfId="48424" xr:uid="{00000000-0005-0000-0000-000028BD0000}"/>
    <cellStyle name="Total 2 2 35 7" xfId="48425" xr:uid="{00000000-0005-0000-0000-000029BD0000}"/>
    <cellStyle name="Total 2 2 36" xfId="48426" xr:uid="{00000000-0005-0000-0000-00002ABD0000}"/>
    <cellStyle name="Total 2 2 36 2" xfId="48427" xr:uid="{00000000-0005-0000-0000-00002BBD0000}"/>
    <cellStyle name="Total 2 2 36 2 2" xfId="48428" xr:uid="{00000000-0005-0000-0000-00002CBD0000}"/>
    <cellStyle name="Total 2 2 36 2 3" xfId="48429" xr:uid="{00000000-0005-0000-0000-00002DBD0000}"/>
    <cellStyle name="Total 2 2 36 2 4" xfId="48430" xr:uid="{00000000-0005-0000-0000-00002EBD0000}"/>
    <cellStyle name="Total 2 2 36 2 5" xfId="48431" xr:uid="{00000000-0005-0000-0000-00002FBD0000}"/>
    <cellStyle name="Total 2 2 36 2 6" xfId="48432" xr:uid="{00000000-0005-0000-0000-000030BD0000}"/>
    <cellStyle name="Total 2 2 36 3" xfId="48433" xr:uid="{00000000-0005-0000-0000-000031BD0000}"/>
    <cellStyle name="Total 2 2 36 4" xfId="48434" xr:uid="{00000000-0005-0000-0000-000032BD0000}"/>
    <cellStyle name="Total 2 2 36 5" xfId="48435" xr:uid="{00000000-0005-0000-0000-000033BD0000}"/>
    <cellStyle name="Total 2 2 36 6" xfId="48436" xr:uid="{00000000-0005-0000-0000-000034BD0000}"/>
    <cellStyle name="Total 2 2 36 7" xfId="48437" xr:uid="{00000000-0005-0000-0000-000035BD0000}"/>
    <cellStyle name="Total 2 2 37" xfId="48438" xr:uid="{00000000-0005-0000-0000-000036BD0000}"/>
    <cellStyle name="Total 2 2 37 2" xfId="48439" xr:uid="{00000000-0005-0000-0000-000037BD0000}"/>
    <cellStyle name="Total 2 2 37 2 2" xfId="48440" xr:uid="{00000000-0005-0000-0000-000038BD0000}"/>
    <cellStyle name="Total 2 2 37 2 3" xfId="48441" xr:uid="{00000000-0005-0000-0000-000039BD0000}"/>
    <cellStyle name="Total 2 2 37 2 4" xfId="48442" xr:uid="{00000000-0005-0000-0000-00003ABD0000}"/>
    <cellStyle name="Total 2 2 37 2 5" xfId="48443" xr:uid="{00000000-0005-0000-0000-00003BBD0000}"/>
    <cellStyle name="Total 2 2 37 2 6" xfId="48444" xr:uid="{00000000-0005-0000-0000-00003CBD0000}"/>
    <cellStyle name="Total 2 2 37 3" xfId="48445" xr:uid="{00000000-0005-0000-0000-00003DBD0000}"/>
    <cellStyle name="Total 2 2 37 4" xfId="48446" xr:uid="{00000000-0005-0000-0000-00003EBD0000}"/>
    <cellStyle name="Total 2 2 37 5" xfId="48447" xr:uid="{00000000-0005-0000-0000-00003FBD0000}"/>
    <cellStyle name="Total 2 2 37 6" xfId="48448" xr:uid="{00000000-0005-0000-0000-000040BD0000}"/>
    <cellStyle name="Total 2 2 37 7" xfId="48449" xr:uid="{00000000-0005-0000-0000-000041BD0000}"/>
    <cellStyle name="Total 2 2 38" xfId="48450" xr:uid="{00000000-0005-0000-0000-000042BD0000}"/>
    <cellStyle name="Total 2 2 38 2" xfId="48451" xr:uid="{00000000-0005-0000-0000-000043BD0000}"/>
    <cellStyle name="Total 2 2 38 2 2" xfId="48452" xr:uid="{00000000-0005-0000-0000-000044BD0000}"/>
    <cellStyle name="Total 2 2 38 2 3" xfId="48453" xr:uid="{00000000-0005-0000-0000-000045BD0000}"/>
    <cellStyle name="Total 2 2 38 2 4" xfId="48454" xr:uid="{00000000-0005-0000-0000-000046BD0000}"/>
    <cellStyle name="Total 2 2 38 2 5" xfId="48455" xr:uid="{00000000-0005-0000-0000-000047BD0000}"/>
    <cellStyle name="Total 2 2 38 2 6" xfId="48456" xr:uid="{00000000-0005-0000-0000-000048BD0000}"/>
    <cellStyle name="Total 2 2 38 3" xfId="48457" xr:uid="{00000000-0005-0000-0000-000049BD0000}"/>
    <cellStyle name="Total 2 2 38 4" xfId="48458" xr:uid="{00000000-0005-0000-0000-00004ABD0000}"/>
    <cellStyle name="Total 2 2 38 5" xfId="48459" xr:uid="{00000000-0005-0000-0000-00004BBD0000}"/>
    <cellStyle name="Total 2 2 38 6" xfId="48460" xr:uid="{00000000-0005-0000-0000-00004CBD0000}"/>
    <cellStyle name="Total 2 2 38 7" xfId="48461" xr:uid="{00000000-0005-0000-0000-00004DBD0000}"/>
    <cellStyle name="Total 2 2 39" xfId="48462" xr:uid="{00000000-0005-0000-0000-00004EBD0000}"/>
    <cellStyle name="Total 2 2 39 2" xfId="48463" xr:uid="{00000000-0005-0000-0000-00004FBD0000}"/>
    <cellStyle name="Total 2 2 39 2 2" xfId="48464" xr:uid="{00000000-0005-0000-0000-000050BD0000}"/>
    <cellStyle name="Total 2 2 39 2 3" xfId="48465" xr:uid="{00000000-0005-0000-0000-000051BD0000}"/>
    <cellStyle name="Total 2 2 39 2 4" xfId="48466" xr:uid="{00000000-0005-0000-0000-000052BD0000}"/>
    <cellStyle name="Total 2 2 39 2 5" xfId="48467" xr:uid="{00000000-0005-0000-0000-000053BD0000}"/>
    <cellStyle name="Total 2 2 39 2 6" xfId="48468" xr:uid="{00000000-0005-0000-0000-000054BD0000}"/>
    <cellStyle name="Total 2 2 39 3" xfId="48469" xr:uid="{00000000-0005-0000-0000-000055BD0000}"/>
    <cellStyle name="Total 2 2 39 4" xfId="48470" xr:uid="{00000000-0005-0000-0000-000056BD0000}"/>
    <cellStyle name="Total 2 2 39 5" xfId="48471" xr:uid="{00000000-0005-0000-0000-000057BD0000}"/>
    <cellStyle name="Total 2 2 39 6" xfId="48472" xr:uid="{00000000-0005-0000-0000-000058BD0000}"/>
    <cellStyle name="Total 2 2 39 7" xfId="48473" xr:uid="{00000000-0005-0000-0000-000059BD0000}"/>
    <cellStyle name="Total 2 2 4" xfId="48474" xr:uid="{00000000-0005-0000-0000-00005ABD0000}"/>
    <cellStyle name="Total 2 2 4 2" xfId="48475" xr:uid="{00000000-0005-0000-0000-00005BBD0000}"/>
    <cellStyle name="Total 2 2 4 2 2" xfId="48476" xr:uid="{00000000-0005-0000-0000-00005CBD0000}"/>
    <cellStyle name="Total 2 2 4 2 3" xfId="48477" xr:uid="{00000000-0005-0000-0000-00005DBD0000}"/>
    <cellStyle name="Total 2 2 4 2 4" xfId="48478" xr:uid="{00000000-0005-0000-0000-00005EBD0000}"/>
    <cellStyle name="Total 2 2 4 2 5" xfId="48479" xr:uid="{00000000-0005-0000-0000-00005FBD0000}"/>
    <cellStyle name="Total 2 2 4 2 6" xfId="48480" xr:uid="{00000000-0005-0000-0000-000060BD0000}"/>
    <cellStyle name="Total 2 2 4 3" xfId="48481" xr:uid="{00000000-0005-0000-0000-000061BD0000}"/>
    <cellStyle name="Total 2 2 4 4" xfId="48482" xr:uid="{00000000-0005-0000-0000-000062BD0000}"/>
    <cellStyle name="Total 2 2 4 5" xfId="48483" xr:uid="{00000000-0005-0000-0000-000063BD0000}"/>
    <cellStyle name="Total 2 2 4 6" xfId="48484" xr:uid="{00000000-0005-0000-0000-000064BD0000}"/>
    <cellStyle name="Total 2 2 4 7" xfId="48485" xr:uid="{00000000-0005-0000-0000-000065BD0000}"/>
    <cellStyle name="Total 2 2 40" xfId="48486" xr:uid="{00000000-0005-0000-0000-000066BD0000}"/>
    <cellStyle name="Total 2 2 40 2" xfId="48487" xr:uid="{00000000-0005-0000-0000-000067BD0000}"/>
    <cellStyle name="Total 2 2 40 2 2" xfId="48488" xr:uid="{00000000-0005-0000-0000-000068BD0000}"/>
    <cellStyle name="Total 2 2 40 2 3" xfId="48489" xr:uid="{00000000-0005-0000-0000-000069BD0000}"/>
    <cellStyle name="Total 2 2 40 2 4" xfId="48490" xr:uid="{00000000-0005-0000-0000-00006ABD0000}"/>
    <cellStyle name="Total 2 2 40 2 5" xfId="48491" xr:uid="{00000000-0005-0000-0000-00006BBD0000}"/>
    <cellStyle name="Total 2 2 40 2 6" xfId="48492" xr:uid="{00000000-0005-0000-0000-00006CBD0000}"/>
    <cellStyle name="Total 2 2 40 3" xfId="48493" xr:uid="{00000000-0005-0000-0000-00006DBD0000}"/>
    <cellStyle name="Total 2 2 40 4" xfId="48494" xr:uid="{00000000-0005-0000-0000-00006EBD0000}"/>
    <cellStyle name="Total 2 2 40 5" xfId="48495" xr:uid="{00000000-0005-0000-0000-00006FBD0000}"/>
    <cellStyle name="Total 2 2 40 6" xfId="48496" xr:uid="{00000000-0005-0000-0000-000070BD0000}"/>
    <cellStyle name="Total 2 2 40 7" xfId="48497" xr:uid="{00000000-0005-0000-0000-000071BD0000}"/>
    <cellStyle name="Total 2 2 41" xfId="48498" xr:uid="{00000000-0005-0000-0000-000072BD0000}"/>
    <cellStyle name="Total 2 2 41 2" xfId="48499" xr:uid="{00000000-0005-0000-0000-000073BD0000}"/>
    <cellStyle name="Total 2 2 41 2 2" xfId="48500" xr:uid="{00000000-0005-0000-0000-000074BD0000}"/>
    <cellStyle name="Total 2 2 41 2 3" xfId="48501" xr:uid="{00000000-0005-0000-0000-000075BD0000}"/>
    <cellStyle name="Total 2 2 41 2 4" xfId="48502" xr:uid="{00000000-0005-0000-0000-000076BD0000}"/>
    <cellStyle name="Total 2 2 41 2 5" xfId="48503" xr:uid="{00000000-0005-0000-0000-000077BD0000}"/>
    <cellStyle name="Total 2 2 41 2 6" xfId="48504" xr:uid="{00000000-0005-0000-0000-000078BD0000}"/>
    <cellStyle name="Total 2 2 41 3" xfId="48505" xr:uid="{00000000-0005-0000-0000-000079BD0000}"/>
    <cellStyle name="Total 2 2 41 4" xfId="48506" xr:uid="{00000000-0005-0000-0000-00007ABD0000}"/>
    <cellStyle name="Total 2 2 41 5" xfId="48507" xr:uid="{00000000-0005-0000-0000-00007BBD0000}"/>
    <cellStyle name="Total 2 2 41 6" xfId="48508" xr:uid="{00000000-0005-0000-0000-00007CBD0000}"/>
    <cellStyle name="Total 2 2 41 7" xfId="48509" xr:uid="{00000000-0005-0000-0000-00007DBD0000}"/>
    <cellStyle name="Total 2 2 42" xfId="48510" xr:uid="{00000000-0005-0000-0000-00007EBD0000}"/>
    <cellStyle name="Total 2 2 42 2" xfId="48511" xr:uid="{00000000-0005-0000-0000-00007FBD0000}"/>
    <cellStyle name="Total 2 2 42 3" xfId="48512" xr:uid="{00000000-0005-0000-0000-000080BD0000}"/>
    <cellStyle name="Total 2 2 42 4" xfId="48513" xr:uid="{00000000-0005-0000-0000-000081BD0000}"/>
    <cellStyle name="Total 2 2 42 5" xfId="48514" xr:uid="{00000000-0005-0000-0000-000082BD0000}"/>
    <cellStyle name="Total 2 2 42 6" xfId="48515" xr:uid="{00000000-0005-0000-0000-000083BD0000}"/>
    <cellStyle name="Total 2 2 43" xfId="48516" xr:uid="{00000000-0005-0000-0000-000084BD0000}"/>
    <cellStyle name="Total 2 2 43 2" xfId="48517" xr:uid="{00000000-0005-0000-0000-000085BD0000}"/>
    <cellStyle name="Total 2 2 43 3" xfId="48518" xr:uid="{00000000-0005-0000-0000-000086BD0000}"/>
    <cellStyle name="Total 2 2 43 4" xfId="48519" xr:uid="{00000000-0005-0000-0000-000087BD0000}"/>
    <cellStyle name="Total 2 2 43 5" xfId="48520" xr:uid="{00000000-0005-0000-0000-000088BD0000}"/>
    <cellStyle name="Total 2 2 43 6" xfId="48521" xr:uid="{00000000-0005-0000-0000-000089BD0000}"/>
    <cellStyle name="Total 2 2 44" xfId="48522" xr:uid="{00000000-0005-0000-0000-00008ABD0000}"/>
    <cellStyle name="Total 2 2 45" xfId="48523" xr:uid="{00000000-0005-0000-0000-00008BBD0000}"/>
    <cellStyle name="Total 2 2 46" xfId="48524" xr:uid="{00000000-0005-0000-0000-00008CBD0000}"/>
    <cellStyle name="Total 2 2 47" xfId="48525" xr:uid="{00000000-0005-0000-0000-00008DBD0000}"/>
    <cellStyle name="Total 2 2 5" xfId="48526" xr:uid="{00000000-0005-0000-0000-00008EBD0000}"/>
    <cellStyle name="Total 2 2 5 2" xfId="48527" xr:uid="{00000000-0005-0000-0000-00008FBD0000}"/>
    <cellStyle name="Total 2 2 5 2 2" xfId="48528" xr:uid="{00000000-0005-0000-0000-000090BD0000}"/>
    <cellStyle name="Total 2 2 5 2 3" xfId="48529" xr:uid="{00000000-0005-0000-0000-000091BD0000}"/>
    <cellStyle name="Total 2 2 5 2 4" xfId="48530" xr:uid="{00000000-0005-0000-0000-000092BD0000}"/>
    <cellStyle name="Total 2 2 5 2 5" xfId="48531" xr:uid="{00000000-0005-0000-0000-000093BD0000}"/>
    <cellStyle name="Total 2 2 5 2 6" xfId="48532" xr:uid="{00000000-0005-0000-0000-000094BD0000}"/>
    <cellStyle name="Total 2 2 5 3" xfId="48533" xr:uid="{00000000-0005-0000-0000-000095BD0000}"/>
    <cellStyle name="Total 2 2 5 4" xfId="48534" xr:uid="{00000000-0005-0000-0000-000096BD0000}"/>
    <cellStyle name="Total 2 2 5 5" xfId="48535" xr:uid="{00000000-0005-0000-0000-000097BD0000}"/>
    <cellStyle name="Total 2 2 5 6" xfId="48536" xr:uid="{00000000-0005-0000-0000-000098BD0000}"/>
    <cellStyle name="Total 2 2 5 7" xfId="48537" xr:uid="{00000000-0005-0000-0000-000099BD0000}"/>
    <cellStyle name="Total 2 2 6" xfId="48538" xr:uid="{00000000-0005-0000-0000-00009ABD0000}"/>
    <cellStyle name="Total 2 2 6 2" xfId="48539" xr:uid="{00000000-0005-0000-0000-00009BBD0000}"/>
    <cellStyle name="Total 2 2 6 2 2" xfId="48540" xr:uid="{00000000-0005-0000-0000-00009CBD0000}"/>
    <cellStyle name="Total 2 2 6 2 3" xfId="48541" xr:uid="{00000000-0005-0000-0000-00009DBD0000}"/>
    <cellStyle name="Total 2 2 6 2 4" xfId="48542" xr:uid="{00000000-0005-0000-0000-00009EBD0000}"/>
    <cellStyle name="Total 2 2 6 2 5" xfId="48543" xr:uid="{00000000-0005-0000-0000-00009FBD0000}"/>
    <cellStyle name="Total 2 2 6 2 6" xfId="48544" xr:uid="{00000000-0005-0000-0000-0000A0BD0000}"/>
    <cellStyle name="Total 2 2 6 3" xfId="48545" xr:uid="{00000000-0005-0000-0000-0000A1BD0000}"/>
    <cellStyle name="Total 2 2 6 4" xfId="48546" xr:uid="{00000000-0005-0000-0000-0000A2BD0000}"/>
    <cellStyle name="Total 2 2 6 5" xfId="48547" xr:uid="{00000000-0005-0000-0000-0000A3BD0000}"/>
    <cellStyle name="Total 2 2 6 6" xfId="48548" xr:uid="{00000000-0005-0000-0000-0000A4BD0000}"/>
    <cellStyle name="Total 2 2 6 7" xfId="48549" xr:uid="{00000000-0005-0000-0000-0000A5BD0000}"/>
    <cellStyle name="Total 2 2 7" xfId="48550" xr:uid="{00000000-0005-0000-0000-0000A6BD0000}"/>
    <cellStyle name="Total 2 2 7 2" xfId="48551" xr:uid="{00000000-0005-0000-0000-0000A7BD0000}"/>
    <cellStyle name="Total 2 2 7 2 2" xfId="48552" xr:uid="{00000000-0005-0000-0000-0000A8BD0000}"/>
    <cellStyle name="Total 2 2 7 2 3" xfId="48553" xr:uid="{00000000-0005-0000-0000-0000A9BD0000}"/>
    <cellStyle name="Total 2 2 7 2 4" xfId="48554" xr:uid="{00000000-0005-0000-0000-0000AABD0000}"/>
    <cellStyle name="Total 2 2 7 2 5" xfId="48555" xr:uid="{00000000-0005-0000-0000-0000ABBD0000}"/>
    <cellStyle name="Total 2 2 7 2 6" xfId="48556" xr:uid="{00000000-0005-0000-0000-0000ACBD0000}"/>
    <cellStyle name="Total 2 2 7 3" xfId="48557" xr:uid="{00000000-0005-0000-0000-0000ADBD0000}"/>
    <cellStyle name="Total 2 2 7 4" xfId="48558" xr:uid="{00000000-0005-0000-0000-0000AEBD0000}"/>
    <cellStyle name="Total 2 2 7 5" xfId="48559" xr:uid="{00000000-0005-0000-0000-0000AFBD0000}"/>
    <cellStyle name="Total 2 2 7 6" xfId="48560" xr:uid="{00000000-0005-0000-0000-0000B0BD0000}"/>
    <cellStyle name="Total 2 2 7 7" xfId="48561" xr:uid="{00000000-0005-0000-0000-0000B1BD0000}"/>
    <cellStyle name="Total 2 2 8" xfId="48562" xr:uid="{00000000-0005-0000-0000-0000B2BD0000}"/>
    <cellStyle name="Total 2 2 8 2" xfId="48563" xr:uid="{00000000-0005-0000-0000-0000B3BD0000}"/>
    <cellStyle name="Total 2 2 8 2 2" xfId="48564" xr:uid="{00000000-0005-0000-0000-0000B4BD0000}"/>
    <cellStyle name="Total 2 2 8 2 3" xfId="48565" xr:uid="{00000000-0005-0000-0000-0000B5BD0000}"/>
    <cellStyle name="Total 2 2 8 2 4" xfId="48566" xr:uid="{00000000-0005-0000-0000-0000B6BD0000}"/>
    <cellStyle name="Total 2 2 8 2 5" xfId="48567" xr:uid="{00000000-0005-0000-0000-0000B7BD0000}"/>
    <cellStyle name="Total 2 2 8 2 6" xfId="48568" xr:uid="{00000000-0005-0000-0000-0000B8BD0000}"/>
    <cellStyle name="Total 2 2 8 3" xfId="48569" xr:uid="{00000000-0005-0000-0000-0000B9BD0000}"/>
    <cellStyle name="Total 2 2 8 4" xfId="48570" xr:uid="{00000000-0005-0000-0000-0000BABD0000}"/>
    <cellStyle name="Total 2 2 8 5" xfId="48571" xr:uid="{00000000-0005-0000-0000-0000BBBD0000}"/>
    <cellStyle name="Total 2 2 8 6" xfId="48572" xr:uid="{00000000-0005-0000-0000-0000BCBD0000}"/>
    <cellStyle name="Total 2 2 8 7" xfId="48573" xr:uid="{00000000-0005-0000-0000-0000BDBD0000}"/>
    <cellStyle name="Total 2 2 9" xfId="48574" xr:uid="{00000000-0005-0000-0000-0000BEBD0000}"/>
    <cellStyle name="Total 2 2 9 2" xfId="48575" xr:uid="{00000000-0005-0000-0000-0000BFBD0000}"/>
    <cellStyle name="Total 2 2 9 2 2" xfId="48576" xr:uid="{00000000-0005-0000-0000-0000C0BD0000}"/>
    <cellStyle name="Total 2 2 9 2 3" xfId="48577" xr:uid="{00000000-0005-0000-0000-0000C1BD0000}"/>
    <cellStyle name="Total 2 2 9 2 4" xfId="48578" xr:uid="{00000000-0005-0000-0000-0000C2BD0000}"/>
    <cellStyle name="Total 2 2 9 2 5" xfId="48579" xr:uid="{00000000-0005-0000-0000-0000C3BD0000}"/>
    <cellStyle name="Total 2 2 9 2 6" xfId="48580" xr:uid="{00000000-0005-0000-0000-0000C4BD0000}"/>
    <cellStyle name="Total 2 2 9 3" xfId="48581" xr:uid="{00000000-0005-0000-0000-0000C5BD0000}"/>
    <cellStyle name="Total 2 2 9 4" xfId="48582" xr:uid="{00000000-0005-0000-0000-0000C6BD0000}"/>
    <cellStyle name="Total 2 2 9 5" xfId="48583" xr:uid="{00000000-0005-0000-0000-0000C7BD0000}"/>
    <cellStyle name="Total 2 2 9 6" xfId="48584" xr:uid="{00000000-0005-0000-0000-0000C8BD0000}"/>
    <cellStyle name="Total 2 2 9 7" xfId="48585" xr:uid="{00000000-0005-0000-0000-0000C9BD0000}"/>
    <cellStyle name="Total 2 20" xfId="48586" xr:uid="{00000000-0005-0000-0000-0000CABD0000}"/>
    <cellStyle name="Total 2 20 2" xfId="48587" xr:uid="{00000000-0005-0000-0000-0000CBBD0000}"/>
    <cellStyle name="Total 2 20 2 2" xfId="48588" xr:uid="{00000000-0005-0000-0000-0000CCBD0000}"/>
    <cellStyle name="Total 2 20 2 3" xfId="48589" xr:uid="{00000000-0005-0000-0000-0000CDBD0000}"/>
    <cellStyle name="Total 2 20 2 4" xfId="48590" xr:uid="{00000000-0005-0000-0000-0000CEBD0000}"/>
    <cellStyle name="Total 2 20 2 5" xfId="48591" xr:uid="{00000000-0005-0000-0000-0000CFBD0000}"/>
    <cellStyle name="Total 2 20 3" xfId="48592" xr:uid="{00000000-0005-0000-0000-0000D0BD0000}"/>
    <cellStyle name="Total 2 20 4" xfId="48593" xr:uid="{00000000-0005-0000-0000-0000D1BD0000}"/>
    <cellStyle name="Total 2 20 5" xfId="48594" xr:uid="{00000000-0005-0000-0000-0000D2BD0000}"/>
    <cellStyle name="Total 2 20 6" xfId="48595" xr:uid="{00000000-0005-0000-0000-0000D3BD0000}"/>
    <cellStyle name="Total 2 21" xfId="48596" xr:uid="{00000000-0005-0000-0000-0000D4BD0000}"/>
    <cellStyle name="Total 2 21 2" xfId="48597" xr:uid="{00000000-0005-0000-0000-0000D5BD0000}"/>
    <cellStyle name="Total 2 21 2 2" xfId="48598" xr:uid="{00000000-0005-0000-0000-0000D6BD0000}"/>
    <cellStyle name="Total 2 21 2 3" xfId="48599" xr:uid="{00000000-0005-0000-0000-0000D7BD0000}"/>
    <cellStyle name="Total 2 21 2 4" xfId="48600" xr:uid="{00000000-0005-0000-0000-0000D8BD0000}"/>
    <cellStyle name="Total 2 21 2 5" xfId="48601" xr:uid="{00000000-0005-0000-0000-0000D9BD0000}"/>
    <cellStyle name="Total 2 21 3" xfId="48602" xr:uid="{00000000-0005-0000-0000-0000DABD0000}"/>
    <cellStyle name="Total 2 21 4" xfId="48603" xr:uid="{00000000-0005-0000-0000-0000DBBD0000}"/>
    <cellStyle name="Total 2 21 5" xfId="48604" xr:uid="{00000000-0005-0000-0000-0000DCBD0000}"/>
    <cellStyle name="Total 2 21 6" xfId="48605" xr:uid="{00000000-0005-0000-0000-0000DDBD0000}"/>
    <cellStyle name="Total 2 22" xfId="48606" xr:uid="{00000000-0005-0000-0000-0000DEBD0000}"/>
    <cellStyle name="Total 2 22 2" xfId="48607" xr:uid="{00000000-0005-0000-0000-0000DFBD0000}"/>
    <cellStyle name="Total 2 22 2 2" xfId="48608" xr:uid="{00000000-0005-0000-0000-0000E0BD0000}"/>
    <cellStyle name="Total 2 22 2 3" xfId="48609" xr:uid="{00000000-0005-0000-0000-0000E1BD0000}"/>
    <cellStyle name="Total 2 22 2 4" xfId="48610" xr:uid="{00000000-0005-0000-0000-0000E2BD0000}"/>
    <cellStyle name="Total 2 22 2 5" xfId="48611" xr:uid="{00000000-0005-0000-0000-0000E3BD0000}"/>
    <cellStyle name="Total 2 22 3" xfId="48612" xr:uid="{00000000-0005-0000-0000-0000E4BD0000}"/>
    <cellStyle name="Total 2 22 4" xfId="48613" xr:uid="{00000000-0005-0000-0000-0000E5BD0000}"/>
    <cellStyle name="Total 2 22 5" xfId="48614" xr:uid="{00000000-0005-0000-0000-0000E6BD0000}"/>
    <cellStyle name="Total 2 22 6" xfId="48615" xr:uid="{00000000-0005-0000-0000-0000E7BD0000}"/>
    <cellStyle name="Total 2 23" xfId="48616" xr:uid="{00000000-0005-0000-0000-0000E8BD0000}"/>
    <cellStyle name="Total 2 23 2" xfId="48617" xr:uid="{00000000-0005-0000-0000-0000E9BD0000}"/>
    <cellStyle name="Total 2 23 2 2" xfId="48618" xr:uid="{00000000-0005-0000-0000-0000EABD0000}"/>
    <cellStyle name="Total 2 23 2 3" xfId="48619" xr:uid="{00000000-0005-0000-0000-0000EBBD0000}"/>
    <cellStyle name="Total 2 23 2 4" xfId="48620" xr:uid="{00000000-0005-0000-0000-0000ECBD0000}"/>
    <cellStyle name="Total 2 23 2 5" xfId="48621" xr:uid="{00000000-0005-0000-0000-0000EDBD0000}"/>
    <cellStyle name="Total 2 23 3" xfId="48622" xr:uid="{00000000-0005-0000-0000-0000EEBD0000}"/>
    <cellStyle name="Total 2 23 4" xfId="48623" xr:uid="{00000000-0005-0000-0000-0000EFBD0000}"/>
    <cellStyle name="Total 2 23 5" xfId="48624" xr:uid="{00000000-0005-0000-0000-0000F0BD0000}"/>
    <cellStyle name="Total 2 23 6" xfId="48625" xr:uid="{00000000-0005-0000-0000-0000F1BD0000}"/>
    <cellStyle name="Total 2 24" xfId="48626" xr:uid="{00000000-0005-0000-0000-0000F2BD0000}"/>
    <cellStyle name="Total 2 24 2" xfId="48627" xr:uid="{00000000-0005-0000-0000-0000F3BD0000}"/>
    <cellStyle name="Total 2 24 2 2" xfId="48628" xr:uid="{00000000-0005-0000-0000-0000F4BD0000}"/>
    <cellStyle name="Total 2 24 2 3" xfId="48629" xr:uid="{00000000-0005-0000-0000-0000F5BD0000}"/>
    <cellStyle name="Total 2 24 2 4" xfId="48630" xr:uid="{00000000-0005-0000-0000-0000F6BD0000}"/>
    <cellStyle name="Total 2 24 2 5" xfId="48631" xr:uid="{00000000-0005-0000-0000-0000F7BD0000}"/>
    <cellStyle name="Total 2 24 3" xfId="48632" xr:uid="{00000000-0005-0000-0000-0000F8BD0000}"/>
    <cellStyle name="Total 2 24 4" xfId="48633" xr:uid="{00000000-0005-0000-0000-0000F9BD0000}"/>
    <cellStyle name="Total 2 24 5" xfId="48634" xr:uid="{00000000-0005-0000-0000-0000FABD0000}"/>
    <cellStyle name="Total 2 24 6" xfId="48635" xr:uid="{00000000-0005-0000-0000-0000FBBD0000}"/>
    <cellStyle name="Total 2 25" xfId="48636" xr:uid="{00000000-0005-0000-0000-0000FCBD0000}"/>
    <cellStyle name="Total 2 25 2" xfId="48637" xr:uid="{00000000-0005-0000-0000-0000FDBD0000}"/>
    <cellStyle name="Total 2 25 2 2" xfId="48638" xr:uid="{00000000-0005-0000-0000-0000FEBD0000}"/>
    <cellStyle name="Total 2 25 2 3" xfId="48639" xr:uid="{00000000-0005-0000-0000-0000FFBD0000}"/>
    <cellStyle name="Total 2 25 2 4" xfId="48640" xr:uid="{00000000-0005-0000-0000-000000BE0000}"/>
    <cellStyle name="Total 2 25 2 5" xfId="48641" xr:uid="{00000000-0005-0000-0000-000001BE0000}"/>
    <cellStyle name="Total 2 25 3" xfId="48642" xr:uid="{00000000-0005-0000-0000-000002BE0000}"/>
    <cellStyle name="Total 2 25 4" xfId="48643" xr:uid="{00000000-0005-0000-0000-000003BE0000}"/>
    <cellStyle name="Total 2 25 5" xfId="48644" xr:uid="{00000000-0005-0000-0000-000004BE0000}"/>
    <cellStyle name="Total 2 25 6" xfId="48645" xr:uid="{00000000-0005-0000-0000-000005BE0000}"/>
    <cellStyle name="Total 2 26" xfId="48646" xr:uid="{00000000-0005-0000-0000-000006BE0000}"/>
    <cellStyle name="Total 2 26 2" xfId="48647" xr:uid="{00000000-0005-0000-0000-000007BE0000}"/>
    <cellStyle name="Total 2 26 2 2" xfId="48648" xr:uid="{00000000-0005-0000-0000-000008BE0000}"/>
    <cellStyle name="Total 2 26 2 3" xfId="48649" xr:uid="{00000000-0005-0000-0000-000009BE0000}"/>
    <cellStyle name="Total 2 26 2 4" xfId="48650" xr:uid="{00000000-0005-0000-0000-00000ABE0000}"/>
    <cellStyle name="Total 2 26 2 5" xfId="48651" xr:uid="{00000000-0005-0000-0000-00000BBE0000}"/>
    <cellStyle name="Total 2 26 3" xfId="48652" xr:uid="{00000000-0005-0000-0000-00000CBE0000}"/>
    <cellStyle name="Total 2 26 4" xfId="48653" xr:uid="{00000000-0005-0000-0000-00000DBE0000}"/>
    <cellStyle name="Total 2 26 5" xfId="48654" xr:uid="{00000000-0005-0000-0000-00000EBE0000}"/>
    <cellStyle name="Total 2 26 6" xfId="48655" xr:uid="{00000000-0005-0000-0000-00000FBE0000}"/>
    <cellStyle name="Total 2 27" xfId="48656" xr:uid="{00000000-0005-0000-0000-000010BE0000}"/>
    <cellStyle name="Total 2 27 2" xfId="48657" xr:uid="{00000000-0005-0000-0000-000011BE0000}"/>
    <cellStyle name="Total 2 27 2 2" xfId="48658" xr:uid="{00000000-0005-0000-0000-000012BE0000}"/>
    <cellStyle name="Total 2 27 2 3" xfId="48659" xr:uid="{00000000-0005-0000-0000-000013BE0000}"/>
    <cellStyle name="Total 2 27 2 4" xfId="48660" xr:uid="{00000000-0005-0000-0000-000014BE0000}"/>
    <cellStyle name="Total 2 27 2 5" xfId="48661" xr:uid="{00000000-0005-0000-0000-000015BE0000}"/>
    <cellStyle name="Total 2 27 3" xfId="48662" xr:uid="{00000000-0005-0000-0000-000016BE0000}"/>
    <cellStyle name="Total 2 27 4" xfId="48663" xr:uid="{00000000-0005-0000-0000-000017BE0000}"/>
    <cellStyle name="Total 2 27 5" xfId="48664" xr:uid="{00000000-0005-0000-0000-000018BE0000}"/>
    <cellStyle name="Total 2 27 6" xfId="48665" xr:uid="{00000000-0005-0000-0000-000019BE0000}"/>
    <cellStyle name="Total 2 28" xfId="48666" xr:uid="{00000000-0005-0000-0000-00001ABE0000}"/>
    <cellStyle name="Total 2 28 2" xfId="48667" xr:uid="{00000000-0005-0000-0000-00001BBE0000}"/>
    <cellStyle name="Total 2 28 2 2" xfId="48668" xr:uid="{00000000-0005-0000-0000-00001CBE0000}"/>
    <cellStyle name="Total 2 28 2 3" xfId="48669" xr:uid="{00000000-0005-0000-0000-00001DBE0000}"/>
    <cellStyle name="Total 2 28 2 4" xfId="48670" xr:uid="{00000000-0005-0000-0000-00001EBE0000}"/>
    <cellStyle name="Total 2 28 2 5" xfId="48671" xr:uid="{00000000-0005-0000-0000-00001FBE0000}"/>
    <cellStyle name="Total 2 28 3" xfId="48672" xr:uid="{00000000-0005-0000-0000-000020BE0000}"/>
    <cellStyle name="Total 2 28 4" xfId="48673" xr:uid="{00000000-0005-0000-0000-000021BE0000}"/>
    <cellStyle name="Total 2 28 5" xfId="48674" xr:uid="{00000000-0005-0000-0000-000022BE0000}"/>
    <cellStyle name="Total 2 28 6" xfId="48675" xr:uid="{00000000-0005-0000-0000-000023BE0000}"/>
    <cellStyle name="Total 2 29" xfId="48676" xr:uid="{00000000-0005-0000-0000-000024BE0000}"/>
    <cellStyle name="Total 2 29 2" xfId="48677" xr:uid="{00000000-0005-0000-0000-000025BE0000}"/>
    <cellStyle name="Total 2 29 2 2" xfId="48678" xr:uid="{00000000-0005-0000-0000-000026BE0000}"/>
    <cellStyle name="Total 2 29 2 3" xfId="48679" xr:uid="{00000000-0005-0000-0000-000027BE0000}"/>
    <cellStyle name="Total 2 29 2 4" xfId="48680" xr:uid="{00000000-0005-0000-0000-000028BE0000}"/>
    <cellStyle name="Total 2 29 2 5" xfId="48681" xr:uid="{00000000-0005-0000-0000-000029BE0000}"/>
    <cellStyle name="Total 2 29 3" xfId="48682" xr:uid="{00000000-0005-0000-0000-00002ABE0000}"/>
    <cellStyle name="Total 2 29 4" xfId="48683" xr:uid="{00000000-0005-0000-0000-00002BBE0000}"/>
    <cellStyle name="Total 2 29 5" xfId="48684" xr:uid="{00000000-0005-0000-0000-00002CBE0000}"/>
    <cellStyle name="Total 2 29 6" xfId="48685" xr:uid="{00000000-0005-0000-0000-00002DBE0000}"/>
    <cellStyle name="Total 2 3" xfId="48686" xr:uid="{00000000-0005-0000-0000-00002EBE0000}"/>
    <cellStyle name="Total 2 3 10" xfId="48687" xr:uid="{00000000-0005-0000-0000-00002FBE0000}"/>
    <cellStyle name="Total 2 3 10 2" xfId="48688" xr:uid="{00000000-0005-0000-0000-000030BE0000}"/>
    <cellStyle name="Total 2 3 10 2 2" xfId="48689" xr:uid="{00000000-0005-0000-0000-000031BE0000}"/>
    <cellStyle name="Total 2 3 10 2 3" xfId="48690" xr:uid="{00000000-0005-0000-0000-000032BE0000}"/>
    <cellStyle name="Total 2 3 10 2 4" xfId="48691" xr:uid="{00000000-0005-0000-0000-000033BE0000}"/>
    <cellStyle name="Total 2 3 10 2 5" xfId="48692" xr:uid="{00000000-0005-0000-0000-000034BE0000}"/>
    <cellStyle name="Total 2 3 10 2 6" xfId="48693" xr:uid="{00000000-0005-0000-0000-000035BE0000}"/>
    <cellStyle name="Total 2 3 10 3" xfId="48694" xr:uid="{00000000-0005-0000-0000-000036BE0000}"/>
    <cellStyle name="Total 2 3 10 4" xfId="48695" xr:uid="{00000000-0005-0000-0000-000037BE0000}"/>
    <cellStyle name="Total 2 3 10 5" xfId="48696" xr:uid="{00000000-0005-0000-0000-000038BE0000}"/>
    <cellStyle name="Total 2 3 10 6" xfId="48697" xr:uid="{00000000-0005-0000-0000-000039BE0000}"/>
    <cellStyle name="Total 2 3 10 7" xfId="48698" xr:uid="{00000000-0005-0000-0000-00003ABE0000}"/>
    <cellStyle name="Total 2 3 11" xfId="48699" xr:uid="{00000000-0005-0000-0000-00003BBE0000}"/>
    <cellStyle name="Total 2 3 11 2" xfId="48700" xr:uid="{00000000-0005-0000-0000-00003CBE0000}"/>
    <cellStyle name="Total 2 3 11 2 2" xfId="48701" xr:uid="{00000000-0005-0000-0000-00003DBE0000}"/>
    <cellStyle name="Total 2 3 11 2 3" xfId="48702" xr:uid="{00000000-0005-0000-0000-00003EBE0000}"/>
    <cellStyle name="Total 2 3 11 2 4" xfId="48703" xr:uid="{00000000-0005-0000-0000-00003FBE0000}"/>
    <cellStyle name="Total 2 3 11 2 5" xfId="48704" xr:uid="{00000000-0005-0000-0000-000040BE0000}"/>
    <cellStyle name="Total 2 3 11 2 6" xfId="48705" xr:uid="{00000000-0005-0000-0000-000041BE0000}"/>
    <cellStyle name="Total 2 3 11 3" xfId="48706" xr:uid="{00000000-0005-0000-0000-000042BE0000}"/>
    <cellStyle name="Total 2 3 11 4" xfId="48707" xr:uid="{00000000-0005-0000-0000-000043BE0000}"/>
    <cellStyle name="Total 2 3 11 5" xfId="48708" xr:uid="{00000000-0005-0000-0000-000044BE0000}"/>
    <cellStyle name="Total 2 3 11 6" xfId="48709" xr:uid="{00000000-0005-0000-0000-000045BE0000}"/>
    <cellStyle name="Total 2 3 11 7" xfId="48710" xr:uid="{00000000-0005-0000-0000-000046BE0000}"/>
    <cellStyle name="Total 2 3 12" xfId="48711" xr:uid="{00000000-0005-0000-0000-000047BE0000}"/>
    <cellStyle name="Total 2 3 12 2" xfId="48712" xr:uid="{00000000-0005-0000-0000-000048BE0000}"/>
    <cellStyle name="Total 2 3 12 2 2" xfId="48713" xr:uid="{00000000-0005-0000-0000-000049BE0000}"/>
    <cellStyle name="Total 2 3 12 2 3" xfId="48714" xr:uid="{00000000-0005-0000-0000-00004ABE0000}"/>
    <cellStyle name="Total 2 3 12 2 4" xfId="48715" xr:uid="{00000000-0005-0000-0000-00004BBE0000}"/>
    <cellStyle name="Total 2 3 12 2 5" xfId="48716" xr:uid="{00000000-0005-0000-0000-00004CBE0000}"/>
    <cellStyle name="Total 2 3 12 2 6" xfId="48717" xr:uid="{00000000-0005-0000-0000-00004DBE0000}"/>
    <cellStyle name="Total 2 3 12 3" xfId="48718" xr:uid="{00000000-0005-0000-0000-00004EBE0000}"/>
    <cellStyle name="Total 2 3 12 4" xfId="48719" xr:uid="{00000000-0005-0000-0000-00004FBE0000}"/>
    <cellStyle name="Total 2 3 12 5" xfId="48720" xr:uid="{00000000-0005-0000-0000-000050BE0000}"/>
    <cellStyle name="Total 2 3 12 6" xfId="48721" xr:uid="{00000000-0005-0000-0000-000051BE0000}"/>
    <cellStyle name="Total 2 3 12 7" xfId="48722" xr:uid="{00000000-0005-0000-0000-000052BE0000}"/>
    <cellStyle name="Total 2 3 13" xfId="48723" xr:uid="{00000000-0005-0000-0000-000053BE0000}"/>
    <cellStyle name="Total 2 3 13 2" xfId="48724" xr:uid="{00000000-0005-0000-0000-000054BE0000}"/>
    <cellStyle name="Total 2 3 13 2 2" xfId="48725" xr:uid="{00000000-0005-0000-0000-000055BE0000}"/>
    <cellStyle name="Total 2 3 13 2 3" xfId="48726" xr:uid="{00000000-0005-0000-0000-000056BE0000}"/>
    <cellStyle name="Total 2 3 13 2 4" xfId="48727" xr:uid="{00000000-0005-0000-0000-000057BE0000}"/>
    <cellStyle name="Total 2 3 13 2 5" xfId="48728" xr:uid="{00000000-0005-0000-0000-000058BE0000}"/>
    <cellStyle name="Total 2 3 13 2 6" xfId="48729" xr:uid="{00000000-0005-0000-0000-000059BE0000}"/>
    <cellStyle name="Total 2 3 13 3" xfId="48730" xr:uid="{00000000-0005-0000-0000-00005ABE0000}"/>
    <cellStyle name="Total 2 3 13 4" xfId="48731" xr:uid="{00000000-0005-0000-0000-00005BBE0000}"/>
    <cellStyle name="Total 2 3 13 5" xfId="48732" xr:uid="{00000000-0005-0000-0000-00005CBE0000}"/>
    <cellStyle name="Total 2 3 13 6" xfId="48733" xr:uid="{00000000-0005-0000-0000-00005DBE0000}"/>
    <cellStyle name="Total 2 3 13 7" xfId="48734" xr:uid="{00000000-0005-0000-0000-00005EBE0000}"/>
    <cellStyle name="Total 2 3 14" xfId="48735" xr:uid="{00000000-0005-0000-0000-00005FBE0000}"/>
    <cellStyle name="Total 2 3 14 2" xfId="48736" xr:uid="{00000000-0005-0000-0000-000060BE0000}"/>
    <cellStyle name="Total 2 3 14 2 2" xfId="48737" xr:uid="{00000000-0005-0000-0000-000061BE0000}"/>
    <cellStyle name="Total 2 3 14 2 3" xfId="48738" xr:uid="{00000000-0005-0000-0000-000062BE0000}"/>
    <cellStyle name="Total 2 3 14 2 4" xfId="48739" xr:uid="{00000000-0005-0000-0000-000063BE0000}"/>
    <cellStyle name="Total 2 3 14 2 5" xfId="48740" xr:uid="{00000000-0005-0000-0000-000064BE0000}"/>
    <cellStyle name="Total 2 3 14 2 6" xfId="48741" xr:uid="{00000000-0005-0000-0000-000065BE0000}"/>
    <cellStyle name="Total 2 3 14 3" xfId="48742" xr:uid="{00000000-0005-0000-0000-000066BE0000}"/>
    <cellStyle name="Total 2 3 14 4" xfId="48743" xr:uid="{00000000-0005-0000-0000-000067BE0000}"/>
    <cellStyle name="Total 2 3 14 5" xfId="48744" xr:uid="{00000000-0005-0000-0000-000068BE0000}"/>
    <cellStyle name="Total 2 3 14 6" xfId="48745" xr:uid="{00000000-0005-0000-0000-000069BE0000}"/>
    <cellStyle name="Total 2 3 14 7" xfId="48746" xr:uid="{00000000-0005-0000-0000-00006ABE0000}"/>
    <cellStyle name="Total 2 3 15" xfId="48747" xr:uid="{00000000-0005-0000-0000-00006BBE0000}"/>
    <cellStyle name="Total 2 3 15 2" xfId="48748" xr:uid="{00000000-0005-0000-0000-00006CBE0000}"/>
    <cellStyle name="Total 2 3 15 2 2" xfId="48749" xr:uid="{00000000-0005-0000-0000-00006DBE0000}"/>
    <cellStyle name="Total 2 3 15 2 3" xfId="48750" xr:uid="{00000000-0005-0000-0000-00006EBE0000}"/>
    <cellStyle name="Total 2 3 15 2 4" xfId="48751" xr:uid="{00000000-0005-0000-0000-00006FBE0000}"/>
    <cellStyle name="Total 2 3 15 2 5" xfId="48752" xr:uid="{00000000-0005-0000-0000-000070BE0000}"/>
    <cellStyle name="Total 2 3 15 2 6" xfId="48753" xr:uid="{00000000-0005-0000-0000-000071BE0000}"/>
    <cellStyle name="Total 2 3 15 3" xfId="48754" xr:uid="{00000000-0005-0000-0000-000072BE0000}"/>
    <cellStyle name="Total 2 3 15 4" xfId="48755" xr:uid="{00000000-0005-0000-0000-000073BE0000}"/>
    <cellStyle name="Total 2 3 15 5" xfId="48756" xr:uid="{00000000-0005-0000-0000-000074BE0000}"/>
    <cellStyle name="Total 2 3 15 6" xfId="48757" xr:uid="{00000000-0005-0000-0000-000075BE0000}"/>
    <cellStyle name="Total 2 3 15 7" xfId="48758" xr:uid="{00000000-0005-0000-0000-000076BE0000}"/>
    <cellStyle name="Total 2 3 16" xfId="48759" xr:uid="{00000000-0005-0000-0000-000077BE0000}"/>
    <cellStyle name="Total 2 3 16 2" xfId="48760" xr:uid="{00000000-0005-0000-0000-000078BE0000}"/>
    <cellStyle name="Total 2 3 16 2 2" xfId="48761" xr:uid="{00000000-0005-0000-0000-000079BE0000}"/>
    <cellStyle name="Total 2 3 16 2 3" xfId="48762" xr:uid="{00000000-0005-0000-0000-00007ABE0000}"/>
    <cellStyle name="Total 2 3 16 2 4" xfId="48763" xr:uid="{00000000-0005-0000-0000-00007BBE0000}"/>
    <cellStyle name="Total 2 3 16 2 5" xfId="48764" xr:uid="{00000000-0005-0000-0000-00007CBE0000}"/>
    <cellStyle name="Total 2 3 16 2 6" xfId="48765" xr:uid="{00000000-0005-0000-0000-00007DBE0000}"/>
    <cellStyle name="Total 2 3 16 3" xfId="48766" xr:uid="{00000000-0005-0000-0000-00007EBE0000}"/>
    <cellStyle name="Total 2 3 16 4" xfId="48767" xr:uid="{00000000-0005-0000-0000-00007FBE0000}"/>
    <cellStyle name="Total 2 3 16 5" xfId="48768" xr:uid="{00000000-0005-0000-0000-000080BE0000}"/>
    <cellStyle name="Total 2 3 16 6" xfId="48769" xr:uid="{00000000-0005-0000-0000-000081BE0000}"/>
    <cellStyle name="Total 2 3 16 7" xfId="48770" xr:uid="{00000000-0005-0000-0000-000082BE0000}"/>
    <cellStyle name="Total 2 3 17" xfId="48771" xr:uid="{00000000-0005-0000-0000-000083BE0000}"/>
    <cellStyle name="Total 2 3 17 2" xfId="48772" xr:uid="{00000000-0005-0000-0000-000084BE0000}"/>
    <cellStyle name="Total 2 3 17 2 2" xfId="48773" xr:uid="{00000000-0005-0000-0000-000085BE0000}"/>
    <cellStyle name="Total 2 3 17 2 3" xfId="48774" xr:uid="{00000000-0005-0000-0000-000086BE0000}"/>
    <cellStyle name="Total 2 3 17 2 4" xfId="48775" xr:uid="{00000000-0005-0000-0000-000087BE0000}"/>
    <cellStyle name="Total 2 3 17 2 5" xfId="48776" xr:uid="{00000000-0005-0000-0000-000088BE0000}"/>
    <cellStyle name="Total 2 3 17 2 6" xfId="48777" xr:uid="{00000000-0005-0000-0000-000089BE0000}"/>
    <cellStyle name="Total 2 3 17 3" xfId="48778" xr:uid="{00000000-0005-0000-0000-00008ABE0000}"/>
    <cellStyle name="Total 2 3 17 4" xfId="48779" xr:uid="{00000000-0005-0000-0000-00008BBE0000}"/>
    <cellStyle name="Total 2 3 17 5" xfId="48780" xr:uid="{00000000-0005-0000-0000-00008CBE0000}"/>
    <cellStyle name="Total 2 3 17 6" xfId="48781" xr:uid="{00000000-0005-0000-0000-00008DBE0000}"/>
    <cellStyle name="Total 2 3 17 7" xfId="48782" xr:uid="{00000000-0005-0000-0000-00008EBE0000}"/>
    <cellStyle name="Total 2 3 18" xfId="48783" xr:uid="{00000000-0005-0000-0000-00008FBE0000}"/>
    <cellStyle name="Total 2 3 18 2" xfId="48784" xr:uid="{00000000-0005-0000-0000-000090BE0000}"/>
    <cellStyle name="Total 2 3 18 2 2" xfId="48785" xr:uid="{00000000-0005-0000-0000-000091BE0000}"/>
    <cellStyle name="Total 2 3 18 2 3" xfId="48786" xr:uid="{00000000-0005-0000-0000-000092BE0000}"/>
    <cellStyle name="Total 2 3 18 2 4" xfId="48787" xr:uid="{00000000-0005-0000-0000-000093BE0000}"/>
    <cellStyle name="Total 2 3 18 2 5" xfId="48788" xr:uid="{00000000-0005-0000-0000-000094BE0000}"/>
    <cellStyle name="Total 2 3 18 2 6" xfId="48789" xr:uid="{00000000-0005-0000-0000-000095BE0000}"/>
    <cellStyle name="Total 2 3 18 3" xfId="48790" xr:uid="{00000000-0005-0000-0000-000096BE0000}"/>
    <cellStyle name="Total 2 3 18 4" xfId="48791" xr:uid="{00000000-0005-0000-0000-000097BE0000}"/>
    <cellStyle name="Total 2 3 18 5" xfId="48792" xr:uid="{00000000-0005-0000-0000-000098BE0000}"/>
    <cellStyle name="Total 2 3 18 6" xfId="48793" xr:uid="{00000000-0005-0000-0000-000099BE0000}"/>
    <cellStyle name="Total 2 3 18 7" xfId="48794" xr:uid="{00000000-0005-0000-0000-00009ABE0000}"/>
    <cellStyle name="Total 2 3 19" xfId="48795" xr:uid="{00000000-0005-0000-0000-00009BBE0000}"/>
    <cellStyle name="Total 2 3 19 2" xfId="48796" xr:uid="{00000000-0005-0000-0000-00009CBE0000}"/>
    <cellStyle name="Total 2 3 19 2 2" xfId="48797" xr:uid="{00000000-0005-0000-0000-00009DBE0000}"/>
    <cellStyle name="Total 2 3 19 2 3" xfId="48798" xr:uid="{00000000-0005-0000-0000-00009EBE0000}"/>
    <cellStyle name="Total 2 3 19 2 4" xfId="48799" xr:uid="{00000000-0005-0000-0000-00009FBE0000}"/>
    <cellStyle name="Total 2 3 19 2 5" xfId="48800" xr:uid="{00000000-0005-0000-0000-0000A0BE0000}"/>
    <cellStyle name="Total 2 3 19 2 6" xfId="48801" xr:uid="{00000000-0005-0000-0000-0000A1BE0000}"/>
    <cellStyle name="Total 2 3 19 3" xfId="48802" xr:uid="{00000000-0005-0000-0000-0000A2BE0000}"/>
    <cellStyle name="Total 2 3 19 4" xfId="48803" xr:uid="{00000000-0005-0000-0000-0000A3BE0000}"/>
    <cellStyle name="Total 2 3 19 5" xfId="48804" xr:uid="{00000000-0005-0000-0000-0000A4BE0000}"/>
    <cellStyle name="Total 2 3 19 6" xfId="48805" xr:uid="{00000000-0005-0000-0000-0000A5BE0000}"/>
    <cellStyle name="Total 2 3 19 7" xfId="48806" xr:uid="{00000000-0005-0000-0000-0000A6BE0000}"/>
    <cellStyle name="Total 2 3 2" xfId="48807" xr:uid="{00000000-0005-0000-0000-0000A7BE0000}"/>
    <cellStyle name="Total 2 3 2 2" xfId="48808" xr:uid="{00000000-0005-0000-0000-0000A8BE0000}"/>
    <cellStyle name="Total 2 3 2 2 10" xfId="48809" xr:uid="{00000000-0005-0000-0000-0000A9BE0000}"/>
    <cellStyle name="Total 2 3 2 2 10 2" xfId="48810" xr:uid="{00000000-0005-0000-0000-0000AABE0000}"/>
    <cellStyle name="Total 2 3 2 2 10 3" xfId="48811" xr:uid="{00000000-0005-0000-0000-0000ABBE0000}"/>
    <cellStyle name="Total 2 3 2 2 10 4" xfId="48812" xr:uid="{00000000-0005-0000-0000-0000ACBE0000}"/>
    <cellStyle name="Total 2 3 2 2 10 5" xfId="48813" xr:uid="{00000000-0005-0000-0000-0000ADBE0000}"/>
    <cellStyle name="Total 2 3 2 2 10 6" xfId="48814" xr:uid="{00000000-0005-0000-0000-0000AEBE0000}"/>
    <cellStyle name="Total 2 3 2 2 11" xfId="48815" xr:uid="{00000000-0005-0000-0000-0000AFBE0000}"/>
    <cellStyle name="Total 2 3 2 2 12" xfId="48816" xr:uid="{00000000-0005-0000-0000-0000B0BE0000}"/>
    <cellStyle name="Total 2 3 2 2 13" xfId="48817" xr:uid="{00000000-0005-0000-0000-0000B1BE0000}"/>
    <cellStyle name="Total 2 3 2 2 14" xfId="48818" xr:uid="{00000000-0005-0000-0000-0000B2BE0000}"/>
    <cellStyle name="Total 2 3 2 2 2" xfId="48819" xr:uid="{00000000-0005-0000-0000-0000B3BE0000}"/>
    <cellStyle name="Total 2 3 2 2 2 2" xfId="48820" xr:uid="{00000000-0005-0000-0000-0000B4BE0000}"/>
    <cellStyle name="Total 2 3 2 2 2 2 2" xfId="48821" xr:uid="{00000000-0005-0000-0000-0000B5BE0000}"/>
    <cellStyle name="Total 2 3 2 2 2 2 2 2" xfId="48822" xr:uid="{00000000-0005-0000-0000-0000B6BE0000}"/>
    <cellStyle name="Total 2 3 2 2 2 2 2 3" xfId="48823" xr:uid="{00000000-0005-0000-0000-0000B7BE0000}"/>
    <cellStyle name="Total 2 3 2 2 2 2 2 4" xfId="48824" xr:uid="{00000000-0005-0000-0000-0000B8BE0000}"/>
    <cellStyle name="Total 2 3 2 2 2 2 2 5" xfId="48825" xr:uid="{00000000-0005-0000-0000-0000B9BE0000}"/>
    <cellStyle name="Total 2 3 2 2 2 2 2 6" xfId="48826" xr:uid="{00000000-0005-0000-0000-0000BABE0000}"/>
    <cellStyle name="Total 2 3 2 2 2 2 3" xfId="48827" xr:uid="{00000000-0005-0000-0000-0000BBBE0000}"/>
    <cellStyle name="Total 2 3 2 2 2 2 4" xfId="48828" xr:uid="{00000000-0005-0000-0000-0000BCBE0000}"/>
    <cellStyle name="Total 2 3 2 2 2 2 5" xfId="48829" xr:uid="{00000000-0005-0000-0000-0000BDBE0000}"/>
    <cellStyle name="Total 2 3 2 2 2 2 6" xfId="48830" xr:uid="{00000000-0005-0000-0000-0000BEBE0000}"/>
    <cellStyle name="Total 2 3 2 2 2 3" xfId="48831" xr:uid="{00000000-0005-0000-0000-0000BFBE0000}"/>
    <cellStyle name="Total 2 3 2 2 2 3 2" xfId="48832" xr:uid="{00000000-0005-0000-0000-0000C0BE0000}"/>
    <cellStyle name="Total 2 3 2 2 2 3 2 2" xfId="48833" xr:uid="{00000000-0005-0000-0000-0000C1BE0000}"/>
    <cellStyle name="Total 2 3 2 2 2 3 2 3" xfId="48834" xr:uid="{00000000-0005-0000-0000-0000C2BE0000}"/>
    <cellStyle name="Total 2 3 2 2 2 3 2 4" xfId="48835" xr:uid="{00000000-0005-0000-0000-0000C3BE0000}"/>
    <cellStyle name="Total 2 3 2 2 2 3 2 5" xfId="48836" xr:uid="{00000000-0005-0000-0000-0000C4BE0000}"/>
    <cellStyle name="Total 2 3 2 2 2 3 2 6" xfId="48837" xr:uid="{00000000-0005-0000-0000-0000C5BE0000}"/>
    <cellStyle name="Total 2 3 2 2 2 3 3" xfId="48838" xr:uid="{00000000-0005-0000-0000-0000C6BE0000}"/>
    <cellStyle name="Total 2 3 2 2 2 3 4" xfId="48839" xr:uid="{00000000-0005-0000-0000-0000C7BE0000}"/>
    <cellStyle name="Total 2 3 2 2 2 3 5" xfId="48840" xr:uid="{00000000-0005-0000-0000-0000C8BE0000}"/>
    <cellStyle name="Total 2 3 2 2 2 3 6" xfId="48841" xr:uid="{00000000-0005-0000-0000-0000C9BE0000}"/>
    <cellStyle name="Total 2 3 2 2 2 4" xfId="48842" xr:uid="{00000000-0005-0000-0000-0000CABE0000}"/>
    <cellStyle name="Total 2 3 2 2 2 4 2" xfId="48843" xr:uid="{00000000-0005-0000-0000-0000CBBE0000}"/>
    <cellStyle name="Total 2 3 2 2 2 4 3" xfId="48844" xr:uid="{00000000-0005-0000-0000-0000CCBE0000}"/>
    <cellStyle name="Total 2 3 2 2 2 4 4" xfId="48845" xr:uid="{00000000-0005-0000-0000-0000CDBE0000}"/>
    <cellStyle name="Total 2 3 2 2 2 4 5" xfId="48846" xr:uid="{00000000-0005-0000-0000-0000CEBE0000}"/>
    <cellStyle name="Total 2 3 2 2 2 4 6" xfId="48847" xr:uid="{00000000-0005-0000-0000-0000CFBE0000}"/>
    <cellStyle name="Total 2 3 2 2 2 5" xfId="48848" xr:uid="{00000000-0005-0000-0000-0000D0BE0000}"/>
    <cellStyle name="Total 2 3 2 2 2 6" xfId="48849" xr:uid="{00000000-0005-0000-0000-0000D1BE0000}"/>
    <cellStyle name="Total 2 3 2 2 2 7" xfId="48850" xr:uid="{00000000-0005-0000-0000-0000D2BE0000}"/>
    <cellStyle name="Total 2 3 2 2 2 8" xfId="48851" xr:uid="{00000000-0005-0000-0000-0000D3BE0000}"/>
    <cellStyle name="Total 2 3 2 2 3" xfId="48852" xr:uid="{00000000-0005-0000-0000-0000D4BE0000}"/>
    <cellStyle name="Total 2 3 2 2 3 2" xfId="48853" xr:uid="{00000000-0005-0000-0000-0000D5BE0000}"/>
    <cellStyle name="Total 2 3 2 2 3 2 2" xfId="48854" xr:uid="{00000000-0005-0000-0000-0000D6BE0000}"/>
    <cellStyle name="Total 2 3 2 2 3 2 2 2" xfId="48855" xr:uid="{00000000-0005-0000-0000-0000D7BE0000}"/>
    <cellStyle name="Total 2 3 2 2 3 2 2 3" xfId="48856" xr:uid="{00000000-0005-0000-0000-0000D8BE0000}"/>
    <cellStyle name="Total 2 3 2 2 3 2 2 4" xfId="48857" xr:uid="{00000000-0005-0000-0000-0000D9BE0000}"/>
    <cellStyle name="Total 2 3 2 2 3 2 2 5" xfId="48858" xr:uid="{00000000-0005-0000-0000-0000DABE0000}"/>
    <cellStyle name="Total 2 3 2 2 3 2 2 6" xfId="48859" xr:uid="{00000000-0005-0000-0000-0000DBBE0000}"/>
    <cellStyle name="Total 2 3 2 2 3 2 3" xfId="48860" xr:uid="{00000000-0005-0000-0000-0000DCBE0000}"/>
    <cellStyle name="Total 2 3 2 2 3 2 4" xfId="48861" xr:uid="{00000000-0005-0000-0000-0000DDBE0000}"/>
    <cellStyle name="Total 2 3 2 2 3 2 5" xfId="48862" xr:uid="{00000000-0005-0000-0000-0000DEBE0000}"/>
    <cellStyle name="Total 2 3 2 2 3 2 6" xfId="48863" xr:uid="{00000000-0005-0000-0000-0000DFBE0000}"/>
    <cellStyle name="Total 2 3 2 2 3 3" xfId="48864" xr:uid="{00000000-0005-0000-0000-0000E0BE0000}"/>
    <cellStyle name="Total 2 3 2 2 3 3 2" xfId="48865" xr:uid="{00000000-0005-0000-0000-0000E1BE0000}"/>
    <cellStyle name="Total 2 3 2 2 3 3 2 2" xfId="48866" xr:uid="{00000000-0005-0000-0000-0000E2BE0000}"/>
    <cellStyle name="Total 2 3 2 2 3 3 2 3" xfId="48867" xr:uid="{00000000-0005-0000-0000-0000E3BE0000}"/>
    <cellStyle name="Total 2 3 2 2 3 3 2 4" xfId="48868" xr:uid="{00000000-0005-0000-0000-0000E4BE0000}"/>
    <cellStyle name="Total 2 3 2 2 3 3 2 5" xfId="48869" xr:uid="{00000000-0005-0000-0000-0000E5BE0000}"/>
    <cellStyle name="Total 2 3 2 2 3 3 2 6" xfId="48870" xr:uid="{00000000-0005-0000-0000-0000E6BE0000}"/>
    <cellStyle name="Total 2 3 2 2 3 3 3" xfId="48871" xr:uid="{00000000-0005-0000-0000-0000E7BE0000}"/>
    <cellStyle name="Total 2 3 2 2 3 3 4" xfId="48872" xr:uid="{00000000-0005-0000-0000-0000E8BE0000}"/>
    <cellStyle name="Total 2 3 2 2 3 3 5" xfId="48873" xr:uid="{00000000-0005-0000-0000-0000E9BE0000}"/>
    <cellStyle name="Total 2 3 2 2 3 3 6" xfId="48874" xr:uid="{00000000-0005-0000-0000-0000EABE0000}"/>
    <cellStyle name="Total 2 3 2 2 3 4" xfId="48875" xr:uid="{00000000-0005-0000-0000-0000EBBE0000}"/>
    <cellStyle name="Total 2 3 2 2 3 4 2" xfId="48876" xr:uid="{00000000-0005-0000-0000-0000ECBE0000}"/>
    <cellStyle name="Total 2 3 2 2 3 4 3" xfId="48877" xr:uid="{00000000-0005-0000-0000-0000EDBE0000}"/>
    <cellStyle name="Total 2 3 2 2 3 4 4" xfId="48878" xr:uid="{00000000-0005-0000-0000-0000EEBE0000}"/>
    <cellStyle name="Total 2 3 2 2 3 4 5" xfId="48879" xr:uid="{00000000-0005-0000-0000-0000EFBE0000}"/>
    <cellStyle name="Total 2 3 2 2 3 4 6" xfId="48880" xr:uid="{00000000-0005-0000-0000-0000F0BE0000}"/>
    <cellStyle name="Total 2 3 2 2 3 5" xfId="48881" xr:uid="{00000000-0005-0000-0000-0000F1BE0000}"/>
    <cellStyle name="Total 2 3 2 2 3 6" xfId="48882" xr:uid="{00000000-0005-0000-0000-0000F2BE0000}"/>
    <cellStyle name="Total 2 3 2 2 3 7" xfId="48883" xr:uid="{00000000-0005-0000-0000-0000F3BE0000}"/>
    <cellStyle name="Total 2 3 2 2 3 8" xfId="48884" xr:uid="{00000000-0005-0000-0000-0000F4BE0000}"/>
    <cellStyle name="Total 2 3 2 2 4" xfId="48885" xr:uid="{00000000-0005-0000-0000-0000F5BE0000}"/>
    <cellStyle name="Total 2 3 2 2 4 2" xfId="48886" xr:uid="{00000000-0005-0000-0000-0000F6BE0000}"/>
    <cellStyle name="Total 2 3 2 2 4 2 2" xfId="48887" xr:uid="{00000000-0005-0000-0000-0000F7BE0000}"/>
    <cellStyle name="Total 2 3 2 2 4 2 2 2" xfId="48888" xr:uid="{00000000-0005-0000-0000-0000F8BE0000}"/>
    <cellStyle name="Total 2 3 2 2 4 2 2 3" xfId="48889" xr:uid="{00000000-0005-0000-0000-0000F9BE0000}"/>
    <cellStyle name="Total 2 3 2 2 4 2 2 4" xfId="48890" xr:uid="{00000000-0005-0000-0000-0000FABE0000}"/>
    <cellStyle name="Total 2 3 2 2 4 2 2 5" xfId="48891" xr:uid="{00000000-0005-0000-0000-0000FBBE0000}"/>
    <cellStyle name="Total 2 3 2 2 4 2 2 6" xfId="48892" xr:uid="{00000000-0005-0000-0000-0000FCBE0000}"/>
    <cellStyle name="Total 2 3 2 2 4 2 3" xfId="48893" xr:uid="{00000000-0005-0000-0000-0000FDBE0000}"/>
    <cellStyle name="Total 2 3 2 2 4 2 4" xfId="48894" xr:uid="{00000000-0005-0000-0000-0000FEBE0000}"/>
    <cellStyle name="Total 2 3 2 2 4 2 5" xfId="48895" xr:uid="{00000000-0005-0000-0000-0000FFBE0000}"/>
    <cellStyle name="Total 2 3 2 2 4 2 6" xfId="48896" xr:uid="{00000000-0005-0000-0000-000000BF0000}"/>
    <cellStyle name="Total 2 3 2 2 4 3" xfId="48897" xr:uid="{00000000-0005-0000-0000-000001BF0000}"/>
    <cellStyle name="Total 2 3 2 2 4 3 2" xfId="48898" xr:uid="{00000000-0005-0000-0000-000002BF0000}"/>
    <cellStyle name="Total 2 3 2 2 4 3 2 2" xfId="48899" xr:uid="{00000000-0005-0000-0000-000003BF0000}"/>
    <cellStyle name="Total 2 3 2 2 4 3 2 3" xfId="48900" xr:uid="{00000000-0005-0000-0000-000004BF0000}"/>
    <cellStyle name="Total 2 3 2 2 4 3 2 4" xfId="48901" xr:uid="{00000000-0005-0000-0000-000005BF0000}"/>
    <cellStyle name="Total 2 3 2 2 4 3 2 5" xfId="48902" xr:uid="{00000000-0005-0000-0000-000006BF0000}"/>
    <cellStyle name="Total 2 3 2 2 4 3 2 6" xfId="48903" xr:uid="{00000000-0005-0000-0000-000007BF0000}"/>
    <cellStyle name="Total 2 3 2 2 4 3 3" xfId="48904" xr:uid="{00000000-0005-0000-0000-000008BF0000}"/>
    <cellStyle name="Total 2 3 2 2 4 3 4" xfId="48905" xr:uid="{00000000-0005-0000-0000-000009BF0000}"/>
    <cellStyle name="Total 2 3 2 2 4 3 5" xfId="48906" xr:uid="{00000000-0005-0000-0000-00000ABF0000}"/>
    <cellStyle name="Total 2 3 2 2 4 3 6" xfId="48907" xr:uid="{00000000-0005-0000-0000-00000BBF0000}"/>
    <cellStyle name="Total 2 3 2 2 4 4" xfId="48908" xr:uid="{00000000-0005-0000-0000-00000CBF0000}"/>
    <cellStyle name="Total 2 3 2 2 4 4 2" xfId="48909" xr:uid="{00000000-0005-0000-0000-00000DBF0000}"/>
    <cellStyle name="Total 2 3 2 2 4 4 3" xfId="48910" xr:uid="{00000000-0005-0000-0000-00000EBF0000}"/>
    <cellStyle name="Total 2 3 2 2 4 4 4" xfId="48911" xr:uid="{00000000-0005-0000-0000-00000FBF0000}"/>
    <cellStyle name="Total 2 3 2 2 4 4 5" xfId="48912" xr:uid="{00000000-0005-0000-0000-000010BF0000}"/>
    <cellStyle name="Total 2 3 2 2 4 4 6" xfId="48913" xr:uid="{00000000-0005-0000-0000-000011BF0000}"/>
    <cellStyle name="Total 2 3 2 2 4 5" xfId="48914" xr:uid="{00000000-0005-0000-0000-000012BF0000}"/>
    <cellStyle name="Total 2 3 2 2 4 6" xfId="48915" xr:uid="{00000000-0005-0000-0000-000013BF0000}"/>
    <cellStyle name="Total 2 3 2 2 4 7" xfId="48916" xr:uid="{00000000-0005-0000-0000-000014BF0000}"/>
    <cellStyle name="Total 2 3 2 2 4 8" xfId="48917" xr:uid="{00000000-0005-0000-0000-000015BF0000}"/>
    <cellStyle name="Total 2 3 2 2 5" xfId="48918" xr:uid="{00000000-0005-0000-0000-000016BF0000}"/>
    <cellStyle name="Total 2 3 2 2 5 2" xfId="48919" xr:uid="{00000000-0005-0000-0000-000017BF0000}"/>
    <cellStyle name="Total 2 3 2 2 5 2 2" xfId="48920" xr:uid="{00000000-0005-0000-0000-000018BF0000}"/>
    <cellStyle name="Total 2 3 2 2 5 2 2 2" xfId="48921" xr:uid="{00000000-0005-0000-0000-000019BF0000}"/>
    <cellStyle name="Total 2 3 2 2 5 2 2 3" xfId="48922" xr:uid="{00000000-0005-0000-0000-00001ABF0000}"/>
    <cellStyle name="Total 2 3 2 2 5 2 2 4" xfId="48923" xr:uid="{00000000-0005-0000-0000-00001BBF0000}"/>
    <cellStyle name="Total 2 3 2 2 5 2 2 5" xfId="48924" xr:uid="{00000000-0005-0000-0000-00001CBF0000}"/>
    <cellStyle name="Total 2 3 2 2 5 2 2 6" xfId="48925" xr:uid="{00000000-0005-0000-0000-00001DBF0000}"/>
    <cellStyle name="Total 2 3 2 2 5 2 3" xfId="48926" xr:uid="{00000000-0005-0000-0000-00001EBF0000}"/>
    <cellStyle name="Total 2 3 2 2 5 2 4" xfId="48927" xr:uid="{00000000-0005-0000-0000-00001FBF0000}"/>
    <cellStyle name="Total 2 3 2 2 5 2 5" xfId="48928" xr:uid="{00000000-0005-0000-0000-000020BF0000}"/>
    <cellStyle name="Total 2 3 2 2 5 2 6" xfId="48929" xr:uid="{00000000-0005-0000-0000-000021BF0000}"/>
    <cellStyle name="Total 2 3 2 2 5 3" xfId="48930" xr:uid="{00000000-0005-0000-0000-000022BF0000}"/>
    <cellStyle name="Total 2 3 2 2 5 3 2" xfId="48931" xr:uid="{00000000-0005-0000-0000-000023BF0000}"/>
    <cellStyle name="Total 2 3 2 2 5 3 2 2" xfId="48932" xr:uid="{00000000-0005-0000-0000-000024BF0000}"/>
    <cellStyle name="Total 2 3 2 2 5 3 2 3" xfId="48933" xr:uid="{00000000-0005-0000-0000-000025BF0000}"/>
    <cellStyle name="Total 2 3 2 2 5 3 2 4" xfId="48934" xr:uid="{00000000-0005-0000-0000-000026BF0000}"/>
    <cellStyle name="Total 2 3 2 2 5 3 2 5" xfId="48935" xr:uid="{00000000-0005-0000-0000-000027BF0000}"/>
    <cellStyle name="Total 2 3 2 2 5 3 2 6" xfId="48936" xr:uid="{00000000-0005-0000-0000-000028BF0000}"/>
    <cellStyle name="Total 2 3 2 2 5 3 3" xfId="48937" xr:uid="{00000000-0005-0000-0000-000029BF0000}"/>
    <cellStyle name="Total 2 3 2 2 5 3 4" xfId="48938" xr:uid="{00000000-0005-0000-0000-00002ABF0000}"/>
    <cellStyle name="Total 2 3 2 2 5 3 5" xfId="48939" xr:uid="{00000000-0005-0000-0000-00002BBF0000}"/>
    <cellStyle name="Total 2 3 2 2 5 3 6" xfId="48940" xr:uid="{00000000-0005-0000-0000-00002CBF0000}"/>
    <cellStyle name="Total 2 3 2 2 5 4" xfId="48941" xr:uid="{00000000-0005-0000-0000-00002DBF0000}"/>
    <cellStyle name="Total 2 3 2 2 5 4 2" xfId="48942" xr:uid="{00000000-0005-0000-0000-00002EBF0000}"/>
    <cellStyle name="Total 2 3 2 2 5 4 3" xfId="48943" xr:uid="{00000000-0005-0000-0000-00002FBF0000}"/>
    <cellStyle name="Total 2 3 2 2 5 4 4" xfId="48944" xr:uid="{00000000-0005-0000-0000-000030BF0000}"/>
    <cellStyle name="Total 2 3 2 2 5 4 5" xfId="48945" xr:uid="{00000000-0005-0000-0000-000031BF0000}"/>
    <cellStyle name="Total 2 3 2 2 5 4 6" xfId="48946" xr:uid="{00000000-0005-0000-0000-000032BF0000}"/>
    <cellStyle name="Total 2 3 2 2 5 5" xfId="48947" xr:uid="{00000000-0005-0000-0000-000033BF0000}"/>
    <cellStyle name="Total 2 3 2 2 5 6" xfId="48948" xr:uid="{00000000-0005-0000-0000-000034BF0000}"/>
    <cellStyle name="Total 2 3 2 2 5 7" xfId="48949" xr:uid="{00000000-0005-0000-0000-000035BF0000}"/>
    <cellStyle name="Total 2 3 2 2 5 8" xfId="48950" xr:uid="{00000000-0005-0000-0000-000036BF0000}"/>
    <cellStyle name="Total 2 3 2 2 6" xfId="48951" xr:uid="{00000000-0005-0000-0000-000037BF0000}"/>
    <cellStyle name="Total 2 3 2 2 6 2" xfId="48952" xr:uid="{00000000-0005-0000-0000-000038BF0000}"/>
    <cellStyle name="Total 2 3 2 2 6 2 2" xfId="48953" xr:uid="{00000000-0005-0000-0000-000039BF0000}"/>
    <cellStyle name="Total 2 3 2 2 6 2 2 2" xfId="48954" xr:uid="{00000000-0005-0000-0000-00003ABF0000}"/>
    <cellStyle name="Total 2 3 2 2 6 2 2 3" xfId="48955" xr:uid="{00000000-0005-0000-0000-00003BBF0000}"/>
    <cellStyle name="Total 2 3 2 2 6 2 2 4" xfId="48956" xr:uid="{00000000-0005-0000-0000-00003CBF0000}"/>
    <cellStyle name="Total 2 3 2 2 6 2 2 5" xfId="48957" xr:uid="{00000000-0005-0000-0000-00003DBF0000}"/>
    <cellStyle name="Total 2 3 2 2 6 2 2 6" xfId="48958" xr:uid="{00000000-0005-0000-0000-00003EBF0000}"/>
    <cellStyle name="Total 2 3 2 2 6 2 3" xfId="48959" xr:uid="{00000000-0005-0000-0000-00003FBF0000}"/>
    <cellStyle name="Total 2 3 2 2 6 2 4" xfId="48960" xr:uid="{00000000-0005-0000-0000-000040BF0000}"/>
    <cellStyle name="Total 2 3 2 2 6 2 5" xfId="48961" xr:uid="{00000000-0005-0000-0000-000041BF0000}"/>
    <cellStyle name="Total 2 3 2 2 6 2 6" xfId="48962" xr:uid="{00000000-0005-0000-0000-000042BF0000}"/>
    <cellStyle name="Total 2 3 2 2 6 3" xfId="48963" xr:uid="{00000000-0005-0000-0000-000043BF0000}"/>
    <cellStyle name="Total 2 3 2 2 6 3 2" xfId="48964" xr:uid="{00000000-0005-0000-0000-000044BF0000}"/>
    <cellStyle name="Total 2 3 2 2 6 3 2 2" xfId="48965" xr:uid="{00000000-0005-0000-0000-000045BF0000}"/>
    <cellStyle name="Total 2 3 2 2 6 3 2 3" xfId="48966" xr:uid="{00000000-0005-0000-0000-000046BF0000}"/>
    <cellStyle name="Total 2 3 2 2 6 3 2 4" xfId="48967" xr:uid="{00000000-0005-0000-0000-000047BF0000}"/>
    <cellStyle name="Total 2 3 2 2 6 3 2 5" xfId="48968" xr:uid="{00000000-0005-0000-0000-000048BF0000}"/>
    <cellStyle name="Total 2 3 2 2 6 3 2 6" xfId="48969" xr:uid="{00000000-0005-0000-0000-000049BF0000}"/>
    <cellStyle name="Total 2 3 2 2 6 3 3" xfId="48970" xr:uid="{00000000-0005-0000-0000-00004ABF0000}"/>
    <cellStyle name="Total 2 3 2 2 6 3 4" xfId="48971" xr:uid="{00000000-0005-0000-0000-00004BBF0000}"/>
    <cellStyle name="Total 2 3 2 2 6 3 5" xfId="48972" xr:uid="{00000000-0005-0000-0000-00004CBF0000}"/>
    <cellStyle name="Total 2 3 2 2 6 3 6" xfId="48973" xr:uid="{00000000-0005-0000-0000-00004DBF0000}"/>
    <cellStyle name="Total 2 3 2 2 6 4" xfId="48974" xr:uid="{00000000-0005-0000-0000-00004EBF0000}"/>
    <cellStyle name="Total 2 3 2 2 6 4 2" xfId="48975" xr:uid="{00000000-0005-0000-0000-00004FBF0000}"/>
    <cellStyle name="Total 2 3 2 2 6 4 3" xfId="48976" xr:uid="{00000000-0005-0000-0000-000050BF0000}"/>
    <cellStyle name="Total 2 3 2 2 6 4 4" xfId="48977" xr:uid="{00000000-0005-0000-0000-000051BF0000}"/>
    <cellStyle name="Total 2 3 2 2 6 4 5" xfId="48978" xr:uid="{00000000-0005-0000-0000-000052BF0000}"/>
    <cellStyle name="Total 2 3 2 2 6 4 6" xfId="48979" xr:uid="{00000000-0005-0000-0000-000053BF0000}"/>
    <cellStyle name="Total 2 3 2 2 6 5" xfId="48980" xr:uid="{00000000-0005-0000-0000-000054BF0000}"/>
    <cellStyle name="Total 2 3 2 2 6 6" xfId="48981" xr:uid="{00000000-0005-0000-0000-000055BF0000}"/>
    <cellStyle name="Total 2 3 2 2 6 7" xfId="48982" xr:uid="{00000000-0005-0000-0000-000056BF0000}"/>
    <cellStyle name="Total 2 3 2 2 6 8" xfId="48983" xr:uid="{00000000-0005-0000-0000-000057BF0000}"/>
    <cellStyle name="Total 2 3 2 2 7" xfId="48984" xr:uid="{00000000-0005-0000-0000-000058BF0000}"/>
    <cellStyle name="Total 2 3 2 2 7 2" xfId="48985" xr:uid="{00000000-0005-0000-0000-000059BF0000}"/>
    <cellStyle name="Total 2 3 2 2 7 2 2" xfId="48986" xr:uid="{00000000-0005-0000-0000-00005ABF0000}"/>
    <cellStyle name="Total 2 3 2 2 7 2 3" xfId="48987" xr:uid="{00000000-0005-0000-0000-00005BBF0000}"/>
    <cellStyle name="Total 2 3 2 2 7 2 4" xfId="48988" xr:uid="{00000000-0005-0000-0000-00005CBF0000}"/>
    <cellStyle name="Total 2 3 2 2 7 2 5" xfId="48989" xr:uid="{00000000-0005-0000-0000-00005DBF0000}"/>
    <cellStyle name="Total 2 3 2 2 7 2 6" xfId="48990" xr:uid="{00000000-0005-0000-0000-00005EBF0000}"/>
    <cellStyle name="Total 2 3 2 2 7 3" xfId="48991" xr:uid="{00000000-0005-0000-0000-00005FBF0000}"/>
    <cellStyle name="Total 2 3 2 2 7 4" xfId="48992" xr:uid="{00000000-0005-0000-0000-000060BF0000}"/>
    <cellStyle name="Total 2 3 2 2 7 5" xfId="48993" xr:uid="{00000000-0005-0000-0000-000061BF0000}"/>
    <cellStyle name="Total 2 3 2 2 7 6" xfId="48994" xr:uid="{00000000-0005-0000-0000-000062BF0000}"/>
    <cellStyle name="Total 2 3 2 2 8" xfId="48995" xr:uid="{00000000-0005-0000-0000-000063BF0000}"/>
    <cellStyle name="Total 2 3 2 2 8 2" xfId="48996" xr:uid="{00000000-0005-0000-0000-000064BF0000}"/>
    <cellStyle name="Total 2 3 2 2 8 2 2" xfId="48997" xr:uid="{00000000-0005-0000-0000-000065BF0000}"/>
    <cellStyle name="Total 2 3 2 2 8 2 3" xfId="48998" xr:uid="{00000000-0005-0000-0000-000066BF0000}"/>
    <cellStyle name="Total 2 3 2 2 8 2 4" xfId="48999" xr:uid="{00000000-0005-0000-0000-000067BF0000}"/>
    <cellStyle name="Total 2 3 2 2 8 2 5" xfId="49000" xr:uid="{00000000-0005-0000-0000-000068BF0000}"/>
    <cellStyle name="Total 2 3 2 2 8 2 6" xfId="49001" xr:uid="{00000000-0005-0000-0000-000069BF0000}"/>
    <cellStyle name="Total 2 3 2 2 8 3" xfId="49002" xr:uid="{00000000-0005-0000-0000-00006ABF0000}"/>
    <cellStyle name="Total 2 3 2 2 8 4" xfId="49003" xr:uid="{00000000-0005-0000-0000-00006BBF0000}"/>
    <cellStyle name="Total 2 3 2 2 8 5" xfId="49004" xr:uid="{00000000-0005-0000-0000-00006CBF0000}"/>
    <cellStyle name="Total 2 3 2 2 8 6" xfId="49005" xr:uid="{00000000-0005-0000-0000-00006DBF0000}"/>
    <cellStyle name="Total 2 3 2 2 9" xfId="49006" xr:uid="{00000000-0005-0000-0000-00006EBF0000}"/>
    <cellStyle name="Total 2 3 2 2 9 2" xfId="49007" xr:uid="{00000000-0005-0000-0000-00006FBF0000}"/>
    <cellStyle name="Total 2 3 2 2 9 3" xfId="49008" xr:uid="{00000000-0005-0000-0000-000070BF0000}"/>
    <cellStyle name="Total 2 3 2 2 9 4" xfId="49009" xr:uid="{00000000-0005-0000-0000-000071BF0000}"/>
    <cellStyle name="Total 2 3 2 2 9 5" xfId="49010" xr:uid="{00000000-0005-0000-0000-000072BF0000}"/>
    <cellStyle name="Total 2 3 2 2 9 6" xfId="49011" xr:uid="{00000000-0005-0000-0000-000073BF0000}"/>
    <cellStyle name="Total 2 3 2 3" xfId="49012" xr:uid="{00000000-0005-0000-0000-000074BF0000}"/>
    <cellStyle name="Total 2 3 2 3 2" xfId="49013" xr:uid="{00000000-0005-0000-0000-000075BF0000}"/>
    <cellStyle name="Total 2 3 2 3 3" xfId="49014" xr:uid="{00000000-0005-0000-0000-000076BF0000}"/>
    <cellStyle name="Total 2 3 2 3 4" xfId="49015" xr:uid="{00000000-0005-0000-0000-000077BF0000}"/>
    <cellStyle name="Total 2 3 2 3 5" xfId="49016" xr:uid="{00000000-0005-0000-0000-000078BF0000}"/>
    <cellStyle name="Total 2 3 2 3 6" xfId="49017" xr:uid="{00000000-0005-0000-0000-000079BF0000}"/>
    <cellStyle name="Total 2 3 2 4" xfId="49018" xr:uid="{00000000-0005-0000-0000-00007ABF0000}"/>
    <cellStyle name="Total 2 3 2 4 2" xfId="49019" xr:uid="{00000000-0005-0000-0000-00007BBF0000}"/>
    <cellStyle name="Total 2 3 2 4 3" xfId="49020" xr:uid="{00000000-0005-0000-0000-00007CBF0000}"/>
    <cellStyle name="Total 2 3 2 4 4" xfId="49021" xr:uid="{00000000-0005-0000-0000-00007DBF0000}"/>
    <cellStyle name="Total 2 3 2 4 5" xfId="49022" xr:uid="{00000000-0005-0000-0000-00007EBF0000}"/>
    <cellStyle name="Total 2 3 2 4 6" xfId="49023" xr:uid="{00000000-0005-0000-0000-00007FBF0000}"/>
    <cellStyle name="Total 2 3 2 5" xfId="49024" xr:uid="{00000000-0005-0000-0000-000080BF0000}"/>
    <cellStyle name="Total 2 3 2 6" xfId="49025" xr:uid="{00000000-0005-0000-0000-000081BF0000}"/>
    <cellStyle name="Total 2 3 2 7" xfId="49026" xr:uid="{00000000-0005-0000-0000-000082BF0000}"/>
    <cellStyle name="Total 2 3 2 8" xfId="49027" xr:uid="{00000000-0005-0000-0000-000083BF0000}"/>
    <cellStyle name="Total 2 3 20" xfId="49028" xr:uid="{00000000-0005-0000-0000-000084BF0000}"/>
    <cellStyle name="Total 2 3 20 2" xfId="49029" xr:uid="{00000000-0005-0000-0000-000085BF0000}"/>
    <cellStyle name="Total 2 3 20 2 2" xfId="49030" xr:uid="{00000000-0005-0000-0000-000086BF0000}"/>
    <cellStyle name="Total 2 3 20 2 3" xfId="49031" xr:uid="{00000000-0005-0000-0000-000087BF0000}"/>
    <cellStyle name="Total 2 3 20 2 4" xfId="49032" xr:uid="{00000000-0005-0000-0000-000088BF0000}"/>
    <cellStyle name="Total 2 3 20 2 5" xfId="49033" xr:uid="{00000000-0005-0000-0000-000089BF0000}"/>
    <cellStyle name="Total 2 3 20 2 6" xfId="49034" xr:uid="{00000000-0005-0000-0000-00008ABF0000}"/>
    <cellStyle name="Total 2 3 20 3" xfId="49035" xr:uid="{00000000-0005-0000-0000-00008BBF0000}"/>
    <cellStyle name="Total 2 3 20 4" xfId="49036" xr:uid="{00000000-0005-0000-0000-00008CBF0000}"/>
    <cellStyle name="Total 2 3 20 5" xfId="49037" xr:uid="{00000000-0005-0000-0000-00008DBF0000}"/>
    <cellStyle name="Total 2 3 20 6" xfId="49038" xr:uid="{00000000-0005-0000-0000-00008EBF0000}"/>
    <cellStyle name="Total 2 3 20 7" xfId="49039" xr:uid="{00000000-0005-0000-0000-00008FBF0000}"/>
    <cellStyle name="Total 2 3 21" xfId="49040" xr:uid="{00000000-0005-0000-0000-000090BF0000}"/>
    <cellStyle name="Total 2 3 21 2" xfId="49041" xr:uid="{00000000-0005-0000-0000-000091BF0000}"/>
    <cellStyle name="Total 2 3 21 2 2" xfId="49042" xr:uid="{00000000-0005-0000-0000-000092BF0000}"/>
    <cellStyle name="Total 2 3 21 2 3" xfId="49043" xr:uid="{00000000-0005-0000-0000-000093BF0000}"/>
    <cellStyle name="Total 2 3 21 2 4" xfId="49044" xr:uid="{00000000-0005-0000-0000-000094BF0000}"/>
    <cellStyle name="Total 2 3 21 2 5" xfId="49045" xr:uid="{00000000-0005-0000-0000-000095BF0000}"/>
    <cellStyle name="Total 2 3 21 2 6" xfId="49046" xr:uid="{00000000-0005-0000-0000-000096BF0000}"/>
    <cellStyle name="Total 2 3 21 3" xfId="49047" xr:uid="{00000000-0005-0000-0000-000097BF0000}"/>
    <cellStyle name="Total 2 3 21 4" xfId="49048" xr:uid="{00000000-0005-0000-0000-000098BF0000}"/>
    <cellStyle name="Total 2 3 21 5" xfId="49049" xr:uid="{00000000-0005-0000-0000-000099BF0000}"/>
    <cellStyle name="Total 2 3 21 6" xfId="49050" xr:uid="{00000000-0005-0000-0000-00009ABF0000}"/>
    <cellStyle name="Total 2 3 21 7" xfId="49051" xr:uid="{00000000-0005-0000-0000-00009BBF0000}"/>
    <cellStyle name="Total 2 3 22" xfId="49052" xr:uid="{00000000-0005-0000-0000-00009CBF0000}"/>
    <cellStyle name="Total 2 3 22 2" xfId="49053" xr:uid="{00000000-0005-0000-0000-00009DBF0000}"/>
    <cellStyle name="Total 2 3 22 2 2" xfId="49054" xr:uid="{00000000-0005-0000-0000-00009EBF0000}"/>
    <cellStyle name="Total 2 3 22 2 3" xfId="49055" xr:uid="{00000000-0005-0000-0000-00009FBF0000}"/>
    <cellStyle name="Total 2 3 22 2 4" xfId="49056" xr:uid="{00000000-0005-0000-0000-0000A0BF0000}"/>
    <cellStyle name="Total 2 3 22 2 5" xfId="49057" xr:uid="{00000000-0005-0000-0000-0000A1BF0000}"/>
    <cellStyle name="Total 2 3 22 2 6" xfId="49058" xr:uid="{00000000-0005-0000-0000-0000A2BF0000}"/>
    <cellStyle name="Total 2 3 22 3" xfId="49059" xr:uid="{00000000-0005-0000-0000-0000A3BF0000}"/>
    <cellStyle name="Total 2 3 22 4" xfId="49060" xr:uid="{00000000-0005-0000-0000-0000A4BF0000}"/>
    <cellStyle name="Total 2 3 22 5" xfId="49061" xr:uid="{00000000-0005-0000-0000-0000A5BF0000}"/>
    <cellStyle name="Total 2 3 22 6" xfId="49062" xr:uid="{00000000-0005-0000-0000-0000A6BF0000}"/>
    <cellStyle name="Total 2 3 22 7" xfId="49063" xr:uid="{00000000-0005-0000-0000-0000A7BF0000}"/>
    <cellStyle name="Total 2 3 23" xfId="49064" xr:uid="{00000000-0005-0000-0000-0000A8BF0000}"/>
    <cellStyle name="Total 2 3 23 2" xfId="49065" xr:uid="{00000000-0005-0000-0000-0000A9BF0000}"/>
    <cellStyle name="Total 2 3 23 2 2" xfId="49066" xr:uid="{00000000-0005-0000-0000-0000AABF0000}"/>
    <cellStyle name="Total 2 3 23 2 3" xfId="49067" xr:uid="{00000000-0005-0000-0000-0000ABBF0000}"/>
    <cellStyle name="Total 2 3 23 2 4" xfId="49068" xr:uid="{00000000-0005-0000-0000-0000ACBF0000}"/>
    <cellStyle name="Total 2 3 23 2 5" xfId="49069" xr:uid="{00000000-0005-0000-0000-0000ADBF0000}"/>
    <cellStyle name="Total 2 3 23 2 6" xfId="49070" xr:uid="{00000000-0005-0000-0000-0000AEBF0000}"/>
    <cellStyle name="Total 2 3 23 3" xfId="49071" xr:uid="{00000000-0005-0000-0000-0000AFBF0000}"/>
    <cellStyle name="Total 2 3 23 4" xfId="49072" xr:uid="{00000000-0005-0000-0000-0000B0BF0000}"/>
    <cellStyle name="Total 2 3 23 5" xfId="49073" xr:uid="{00000000-0005-0000-0000-0000B1BF0000}"/>
    <cellStyle name="Total 2 3 23 6" xfId="49074" xr:uid="{00000000-0005-0000-0000-0000B2BF0000}"/>
    <cellStyle name="Total 2 3 23 7" xfId="49075" xr:uid="{00000000-0005-0000-0000-0000B3BF0000}"/>
    <cellStyle name="Total 2 3 24" xfId="49076" xr:uid="{00000000-0005-0000-0000-0000B4BF0000}"/>
    <cellStyle name="Total 2 3 24 2" xfId="49077" xr:uid="{00000000-0005-0000-0000-0000B5BF0000}"/>
    <cellStyle name="Total 2 3 24 2 2" xfId="49078" xr:uid="{00000000-0005-0000-0000-0000B6BF0000}"/>
    <cellStyle name="Total 2 3 24 2 3" xfId="49079" xr:uid="{00000000-0005-0000-0000-0000B7BF0000}"/>
    <cellStyle name="Total 2 3 24 2 4" xfId="49080" xr:uid="{00000000-0005-0000-0000-0000B8BF0000}"/>
    <cellStyle name="Total 2 3 24 2 5" xfId="49081" xr:uid="{00000000-0005-0000-0000-0000B9BF0000}"/>
    <cellStyle name="Total 2 3 24 2 6" xfId="49082" xr:uid="{00000000-0005-0000-0000-0000BABF0000}"/>
    <cellStyle name="Total 2 3 24 3" xfId="49083" xr:uid="{00000000-0005-0000-0000-0000BBBF0000}"/>
    <cellStyle name="Total 2 3 24 4" xfId="49084" xr:uid="{00000000-0005-0000-0000-0000BCBF0000}"/>
    <cellStyle name="Total 2 3 24 5" xfId="49085" xr:uid="{00000000-0005-0000-0000-0000BDBF0000}"/>
    <cellStyle name="Total 2 3 24 6" xfId="49086" xr:uid="{00000000-0005-0000-0000-0000BEBF0000}"/>
    <cellStyle name="Total 2 3 24 7" xfId="49087" xr:uid="{00000000-0005-0000-0000-0000BFBF0000}"/>
    <cellStyle name="Total 2 3 25" xfId="49088" xr:uid="{00000000-0005-0000-0000-0000C0BF0000}"/>
    <cellStyle name="Total 2 3 25 2" xfId="49089" xr:uid="{00000000-0005-0000-0000-0000C1BF0000}"/>
    <cellStyle name="Total 2 3 25 2 2" xfId="49090" xr:uid="{00000000-0005-0000-0000-0000C2BF0000}"/>
    <cellStyle name="Total 2 3 25 2 3" xfId="49091" xr:uid="{00000000-0005-0000-0000-0000C3BF0000}"/>
    <cellStyle name="Total 2 3 25 2 4" xfId="49092" xr:uid="{00000000-0005-0000-0000-0000C4BF0000}"/>
    <cellStyle name="Total 2 3 25 2 5" xfId="49093" xr:uid="{00000000-0005-0000-0000-0000C5BF0000}"/>
    <cellStyle name="Total 2 3 25 2 6" xfId="49094" xr:uid="{00000000-0005-0000-0000-0000C6BF0000}"/>
    <cellStyle name="Total 2 3 25 3" xfId="49095" xr:uid="{00000000-0005-0000-0000-0000C7BF0000}"/>
    <cellStyle name="Total 2 3 25 4" xfId="49096" xr:uid="{00000000-0005-0000-0000-0000C8BF0000}"/>
    <cellStyle name="Total 2 3 25 5" xfId="49097" xr:uid="{00000000-0005-0000-0000-0000C9BF0000}"/>
    <cellStyle name="Total 2 3 25 6" xfId="49098" xr:uid="{00000000-0005-0000-0000-0000CABF0000}"/>
    <cellStyle name="Total 2 3 25 7" xfId="49099" xr:uid="{00000000-0005-0000-0000-0000CBBF0000}"/>
    <cellStyle name="Total 2 3 26" xfId="49100" xr:uid="{00000000-0005-0000-0000-0000CCBF0000}"/>
    <cellStyle name="Total 2 3 26 2" xfId="49101" xr:uid="{00000000-0005-0000-0000-0000CDBF0000}"/>
    <cellStyle name="Total 2 3 26 2 2" xfId="49102" xr:uid="{00000000-0005-0000-0000-0000CEBF0000}"/>
    <cellStyle name="Total 2 3 26 2 3" xfId="49103" xr:uid="{00000000-0005-0000-0000-0000CFBF0000}"/>
    <cellStyle name="Total 2 3 26 2 4" xfId="49104" xr:uid="{00000000-0005-0000-0000-0000D0BF0000}"/>
    <cellStyle name="Total 2 3 26 2 5" xfId="49105" xr:uid="{00000000-0005-0000-0000-0000D1BF0000}"/>
    <cellStyle name="Total 2 3 26 2 6" xfId="49106" xr:uid="{00000000-0005-0000-0000-0000D2BF0000}"/>
    <cellStyle name="Total 2 3 26 3" xfId="49107" xr:uid="{00000000-0005-0000-0000-0000D3BF0000}"/>
    <cellStyle name="Total 2 3 26 4" xfId="49108" xr:uid="{00000000-0005-0000-0000-0000D4BF0000}"/>
    <cellStyle name="Total 2 3 26 5" xfId="49109" xr:uid="{00000000-0005-0000-0000-0000D5BF0000}"/>
    <cellStyle name="Total 2 3 26 6" xfId="49110" xr:uid="{00000000-0005-0000-0000-0000D6BF0000}"/>
    <cellStyle name="Total 2 3 26 7" xfId="49111" xr:uid="{00000000-0005-0000-0000-0000D7BF0000}"/>
    <cellStyle name="Total 2 3 27" xfId="49112" xr:uid="{00000000-0005-0000-0000-0000D8BF0000}"/>
    <cellStyle name="Total 2 3 27 2" xfId="49113" xr:uid="{00000000-0005-0000-0000-0000D9BF0000}"/>
    <cellStyle name="Total 2 3 27 2 2" xfId="49114" xr:uid="{00000000-0005-0000-0000-0000DABF0000}"/>
    <cellStyle name="Total 2 3 27 2 3" xfId="49115" xr:uid="{00000000-0005-0000-0000-0000DBBF0000}"/>
    <cellStyle name="Total 2 3 27 2 4" xfId="49116" xr:uid="{00000000-0005-0000-0000-0000DCBF0000}"/>
    <cellStyle name="Total 2 3 27 2 5" xfId="49117" xr:uid="{00000000-0005-0000-0000-0000DDBF0000}"/>
    <cellStyle name="Total 2 3 27 2 6" xfId="49118" xr:uid="{00000000-0005-0000-0000-0000DEBF0000}"/>
    <cellStyle name="Total 2 3 27 3" xfId="49119" xr:uid="{00000000-0005-0000-0000-0000DFBF0000}"/>
    <cellStyle name="Total 2 3 27 4" xfId="49120" xr:uid="{00000000-0005-0000-0000-0000E0BF0000}"/>
    <cellStyle name="Total 2 3 27 5" xfId="49121" xr:uid="{00000000-0005-0000-0000-0000E1BF0000}"/>
    <cellStyle name="Total 2 3 27 6" xfId="49122" xr:uid="{00000000-0005-0000-0000-0000E2BF0000}"/>
    <cellStyle name="Total 2 3 27 7" xfId="49123" xr:uid="{00000000-0005-0000-0000-0000E3BF0000}"/>
    <cellStyle name="Total 2 3 28" xfId="49124" xr:uid="{00000000-0005-0000-0000-0000E4BF0000}"/>
    <cellStyle name="Total 2 3 28 2" xfId="49125" xr:uid="{00000000-0005-0000-0000-0000E5BF0000}"/>
    <cellStyle name="Total 2 3 28 2 2" xfId="49126" xr:uid="{00000000-0005-0000-0000-0000E6BF0000}"/>
    <cellStyle name="Total 2 3 28 2 3" xfId="49127" xr:uid="{00000000-0005-0000-0000-0000E7BF0000}"/>
    <cellStyle name="Total 2 3 28 2 4" xfId="49128" xr:uid="{00000000-0005-0000-0000-0000E8BF0000}"/>
    <cellStyle name="Total 2 3 28 2 5" xfId="49129" xr:uid="{00000000-0005-0000-0000-0000E9BF0000}"/>
    <cellStyle name="Total 2 3 28 2 6" xfId="49130" xr:uid="{00000000-0005-0000-0000-0000EABF0000}"/>
    <cellStyle name="Total 2 3 28 3" xfId="49131" xr:uid="{00000000-0005-0000-0000-0000EBBF0000}"/>
    <cellStyle name="Total 2 3 28 4" xfId="49132" xr:uid="{00000000-0005-0000-0000-0000ECBF0000}"/>
    <cellStyle name="Total 2 3 28 5" xfId="49133" xr:uid="{00000000-0005-0000-0000-0000EDBF0000}"/>
    <cellStyle name="Total 2 3 28 6" xfId="49134" xr:uid="{00000000-0005-0000-0000-0000EEBF0000}"/>
    <cellStyle name="Total 2 3 28 7" xfId="49135" xr:uid="{00000000-0005-0000-0000-0000EFBF0000}"/>
    <cellStyle name="Total 2 3 29" xfId="49136" xr:uid="{00000000-0005-0000-0000-0000F0BF0000}"/>
    <cellStyle name="Total 2 3 29 2" xfId="49137" xr:uid="{00000000-0005-0000-0000-0000F1BF0000}"/>
    <cellStyle name="Total 2 3 29 2 2" xfId="49138" xr:uid="{00000000-0005-0000-0000-0000F2BF0000}"/>
    <cellStyle name="Total 2 3 29 2 3" xfId="49139" xr:uid="{00000000-0005-0000-0000-0000F3BF0000}"/>
    <cellStyle name="Total 2 3 29 2 4" xfId="49140" xr:uid="{00000000-0005-0000-0000-0000F4BF0000}"/>
    <cellStyle name="Total 2 3 29 2 5" xfId="49141" xr:uid="{00000000-0005-0000-0000-0000F5BF0000}"/>
    <cellStyle name="Total 2 3 29 2 6" xfId="49142" xr:uid="{00000000-0005-0000-0000-0000F6BF0000}"/>
    <cellStyle name="Total 2 3 29 3" xfId="49143" xr:uid="{00000000-0005-0000-0000-0000F7BF0000}"/>
    <cellStyle name="Total 2 3 29 4" xfId="49144" xr:uid="{00000000-0005-0000-0000-0000F8BF0000}"/>
    <cellStyle name="Total 2 3 29 5" xfId="49145" xr:uid="{00000000-0005-0000-0000-0000F9BF0000}"/>
    <cellStyle name="Total 2 3 29 6" xfId="49146" xr:uid="{00000000-0005-0000-0000-0000FABF0000}"/>
    <cellStyle name="Total 2 3 29 7" xfId="49147" xr:uid="{00000000-0005-0000-0000-0000FBBF0000}"/>
    <cellStyle name="Total 2 3 3" xfId="49148" xr:uid="{00000000-0005-0000-0000-0000FCBF0000}"/>
    <cellStyle name="Total 2 3 3 10" xfId="49149" xr:uid="{00000000-0005-0000-0000-0000FDBF0000}"/>
    <cellStyle name="Total 2 3 3 11" xfId="49150" xr:uid="{00000000-0005-0000-0000-0000FEBF0000}"/>
    <cellStyle name="Total 2 3 3 2" xfId="49151" xr:uid="{00000000-0005-0000-0000-0000FFBF0000}"/>
    <cellStyle name="Total 2 3 3 2 2" xfId="49152" xr:uid="{00000000-0005-0000-0000-000000C00000}"/>
    <cellStyle name="Total 2 3 3 2 2 2" xfId="49153" xr:uid="{00000000-0005-0000-0000-000001C00000}"/>
    <cellStyle name="Total 2 3 3 2 2 2 2" xfId="49154" xr:uid="{00000000-0005-0000-0000-000002C00000}"/>
    <cellStyle name="Total 2 3 3 2 2 2 3" xfId="49155" xr:uid="{00000000-0005-0000-0000-000003C00000}"/>
    <cellStyle name="Total 2 3 3 2 2 2 4" xfId="49156" xr:uid="{00000000-0005-0000-0000-000004C00000}"/>
    <cellStyle name="Total 2 3 3 2 2 2 5" xfId="49157" xr:uid="{00000000-0005-0000-0000-000005C00000}"/>
    <cellStyle name="Total 2 3 3 2 2 2 6" xfId="49158" xr:uid="{00000000-0005-0000-0000-000006C00000}"/>
    <cellStyle name="Total 2 3 3 2 2 3" xfId="49159" xr:uid="{00000000-0005-0000-0000-000007C00000}"/>
    <cellStyle name="Total 2 3 3 2 2 4" xfId="49160" xr:uid="{00000000-0005-0000-0000-000008C00000}"/>
    <cellStyle name="Total 2 3 3 2 2 5" xfId="49161" xr:uid="{00000000-0005-0000-0000-000009C00000}"/>
    <cellStyle name="Total 2 3 3 2 2 6" xfId="49162" xr:uid="{00000000-0005-0000-0000-00000AC00000}"/>
    <cellStyle name="Total 2 3 3 2 3" xfId="49163" xr:uid="{00000000-0005-0000-0000-00000BC00000}"/>
    <cellStyle name="Total 2 3 3 2 3 2" xfId="49164" xr:uid="{00000000-0005-0000-0000-00000CC00000}"/>
    <cellStyle name="Total 2 3 3 2 3 2 2" xfId="49165" xr:uid="{00000000-0005-0000-0000-00000DC00000}"/>
    <cellStyle name="Total 2 3 3 2 3 2 3" xfId="49166" xr:uid="{00000000-0005-0000-0000-00000EC00000}"/>
    <cellStyle name="Total 2 3 3 2 3 2 4" xfId="49167" xr:uid="{00000000-0005-0000-0000-00000FC00000}"/>
    <cellStyle name="Total 2 3 3 2 3 2 5" xfId="49168" xr:uid="{00000000-0005-0000-0000-000010C00000}"/>
    <cellStyle name="Total 2 3 3 2 3 2 6" xfId="49169" xr:uid="{00000000-0005-0000-0000-000011C00000}"/>
    <cellStyle name="Total 2 3 3 2 3 3" xfId="49170" xr:uid="{00000000-0005-0000-0000-000012C00000}"/>
    <cellStyle name="Total 2 3 3 2 3 4" xfId="49171" xr:uid="{00000000-0005-0000-0000-000013C00000}"/>
    <cellStyle name="Total 2 3 3 2 3 5" xfId="49172" xr:uid="{00000000-0005-0000-0000-000014C00000}"/>
    <cellStyle name="Total 2 3 3 2 3 6" xfId="49173" xr:uid="{00000000-0005-0000-0000-000015C00000}"/>
    <cellStyle name="Total 2 3 3 2 4" xfId="49174" xr:uid="{00000000-0005-0000-0000-000016C00000}"/>
    <cellStyle name="Total 2 3 3 2 4 2" xfId="49175" xr:uid="{00000000-0005-0000-0000-000017C00000}"/>
    <cellStyle name="Total 2 3 3 2 4 3" xfId="49176" xr:uid="{00000000-0005-0000-0000-000018C00000}"/>
    <cellStyle name="Total 2 3 3 2 4 4" xfId="49177" xr:uid="{00000000-0005-0000-0000-000019C00000}"/>
    <cellStyle name="Total 2 3 3 2 4 5" xfId="49178" xr:uid="{00000000-0005-0000-0000-00001AC00000}"/>
    <cellStyle name="Total 2 3 3 2 4 6" xfId="49179" xr:uid="{00000000-0005-0000-0000-00001BC00000}"/>
    <cellStyle name="Total 2 3 3 2 5" xfId="49180" xr:uid="{00000000-0005-0000-0000-00001CC00000}"/>
    <cellStyle name="Total 2 3 3 2 5 2" xfId="49181" xr:uid="{00000000-0005-0000-0000-00001DC00000}"/>
    <cellStyle name="Total 2 3 3 2 5 3" xfId="49182" xr:uid="{00000000-0005-0000-0000-00001EC00000}"/>
    <cellStyle name="Total 2 3 3 2 5 4" xfId="49183" xr:uid="{00000000-0005-0000-0000-00001FC00000}"/>
    <cellStyle name="Total 2 3 3 2 5 5" xfId="49184" xr:uid="{00000000-0005-0000-0000-000020C00000}"/>
    <cellStyle name="Total 2 3 3 2 5 6" xfId="49185" xr:uid="{00000000-0005-0000-0000-000021C00000}"/>
    <cellStyle name="Total 2 3 3 2 6" xfId="49186" xr:uid="{00000000-0005-0000-0000-000022C00000}"/>
    <cellStyle name="Total 2 3 3 2 7" xfId="49187" xr:uid="{00000000-0005-0000-0000-000023C00000}"/>
    <cellStyle name="Total 2 3 3 2 8" xfId="49188" xr:uid="{00000000-0005-0000-0000-000024C00000}"/>
    <cellStyle name="Total 2 3 3 2 9" xfId="49189" xr:uid="{00000000-0005-0000-0000-000025C00000}"/>
    <cellStyle name="Total 2 3 3 3" xfId="49190" xr:uid="{00000000-0005-0000-0000-000026C00000}"/>
    <cellStyle name="Total 2 3 3 3 2" xfId="49191" xr:uid="{00000000-0005-0000-0000-000027C00000}"/>
    <cellStyle name="Total 2 3 3 3 2 2" xfId="49192" xr:uid="{00000000-0005-0000-0000-000028C00000}"/>
    <cellStyle name="Total 2 3 3 3 2 2 2" xfId="49193" xr:uid="{00000000-0005-0000-0000-000029C00000}"/>
    <cellStyle name="Total 2 3 3 3 2 2 3" xfId="49194" xr:uid="{00000000-0005-0000-0000-00002AC00000}"/>
    <cellStyle name="Total 2 3 3 3 2 2 4" xfId="49195" xr:uid="{00000000-0005-0000-0000-00002BC00000}"/>
    <cellStyle name="Total 2 3 3 3 2 2 5" xfId="49196" xr:uid="{00000000-0005-0000-0000-00002CC00000}"/>
    <cellStyle name="Total 2 3 3 3 2 2 6" xfId="49197" xr:uid="{00000000-0005-0000-0000-00002DC00000}"/>
    <cellStyle name="Total 2 3 3 3 2 3" xfId="49198" xr:uid="{00000000-0005-0000-0000-00002EC00000}"/>
    <cellStyle name="Total 2 3 3 3 2 4" xfId="49199" xr:uid="{00000000-0005-0000-0000-00002FC00000}"/>
    <cellStyle name="Total 2 3 3 3 2 5" xfId="49200" xr:uid="{00000000-0005-0000-0000-000030C00000}"/>
    <cellStyle name="Total 2 3 3 3 2 6" xfId="49201" xr:uid="{00000000-0005-0000-0000-000031C00000}"/>
    <cellStyle name="Total 2 3 3 3 3" xfId="49202" xr:uid="{00000000-0005-0000-0000-000032C00000}"/>
    <cellStyle name="Total 2 3 3 3 3 2" xfId="49203" xr:uid="{00000000-0005-0000-0000-000033C00000}"/>
    <cellStyle name="Total 2 3 3 3 3 2 2" xfId="49204" xr:uid="{00000000-0005-0000-0000-000034C00000}"/>
    <cellStyle name="Total 2 3 3 3 3 2 3" xfId="49205" xr:uid="{00000000-0005-0000-0000-000035C00000}"/>
    <cellStyle name="Total 2 3 3 3 3 2 4" xfId="49206" xr:uid="{00000000-0005-0000-0000-000036C00000}"/>
    <cellStyle name="Total 2 3 3 3 3 2 5" xfId="49207" xr:uid="{00000000-0005-0000-0000-000037C00000}"/>
    <cellStyle name="Total 2 3 3 3 3 2 6" xfId="49208" xr:uid="{00000000-0005-0000-0000-000038C00000}"/>
    <cellStyle name="Total 2 3 3 3 3 3" xfId="49209" xr:uid="{00000000-0005-0000-0000-000039C00000}"/>
    <cellStyle name="Total 2 3 3 3 3 4" xfId="49210" xr:uid="{00000000-0005-0000-0000-00003AC00000}"/>
    <cellStyle name="Total 2 3 3 3 3 5" xfId="49211" xr:uid="{00000000-0005-0000-0000-00003BC00000}"/>
    <cellStyle name="Total 2 3 3 3 3 6" xfId="49212" xr:uid="{00000000-0005-0000-0000-00003CC00000}"/>
    <cellStyle name="Total 2 3 3 3 4" xfId="49213" xr:uid="{00000000-0005-0000-0000-00003DC00000}"/>
    <cellStyle name="Total 2 3 3 3 4 2" xfId="49214" xr:uid="{00000000-0005-0000-0000-00003EC00000}"/>
    <cellStyle name="Total 2 3 3 3 4 3" xfId="49215" xr:uid="{00000000-0005-0000-0000-00003FC00000}"/>
    <cellStyle name="Total 2 3 3 3 4 4" xfId="49216" xr:uid="{00000000-0005-0000-0000-000040C00000}"/>
    <cellStyle name="Total 2 3 3 3 4 5" xfId="49217" xr:uid="{00000000-0005-0000-0000-000041C00000}"/>
    <cellStyle name="Total 2 3 3 3 4 6" xfId="49218" xr:uid="{00000000-0005-0000-0000-000042C00000}"/>
    <cellStyle name="Total 2 3 3 3 5" xfId="49219" xr:uid="{00000000-0005-0000-0000-000043C00000}"/>
    <cellStyle name="Total 2 3 3 3 6" xfId="49220" xr:uid="{00000000-0005-0000-0000-000044C00000}"/>
    <cellStyle name="Total 2 3 3 3 7" xfId="49221" xr:uid="{00000000-0005-0000-0000-000045C00000}"/>
    <cellStyle name="Total 2 3 3 3 8" xfId="49222" xr:uid="{00000000-0005-0000-0000-000046C00000}"/>
    <cellStyle name="Total 2 3 3 4" xfId="49223" xr:uid="{00000000-0005-0000-0000-000047C00000}"/>
    <cellStyle name="Total 2 3 3 4 2" xfId="49224" xr:uid="{00000000-0005-0000-0000-000048C00000}"/>
    <cellStyle name="Total 2 3 3 4 2 2" xfId="49225" xr:uid="{00000000-0005-0000-0000-000049C00000}"/>
    <cellStyle name="Total 2 3 3 4 2 3" xfId="49226" xr:uid="{00000000-0005-0000-0000-00004AC00000}"/>
    <cellStyle name="Total 2 3 3 4 2 4" xfId="49227" xr:uid="{00000000-0005-0000-0000-00004BC00000}"/>
    <cellStyle name="Total 2 3 3 4 2 5" xfId="49228" xr:uid="{00000000-0005-0000-0000-00004CC00000}"/>
    <cellStyle name="Total 2 3 3 4 2 6" xfId="49229" xr:uid="{00000000-0005-0000-0000-00004DC00000}"/>
    <cellStyle name="Total 2 3 3 4 3" xfId="49230" xr:uid="{00000000-0005-0000-0000-00004EC00000}"/>
    <cellStyle name="Total 2 3 3 4 4" xfId="49231" xr:uid="{00000000-0005-0000-0000-00004FC00000}"/>
    <cellStyle name="Total 2 3 3 4 5" xfId="49232" xr:uid="{00000000-0005-0000-0000-000050C00000}"/>
    <cellStyle name="Total 2 3 3 4 6" xfId="49233" xr:uid="{00000000-0005-0000-0000-000051C00000}"/>
    <cellStyle name="Total 2 3 3 5" xfId="49234" xr:uid="{00000000-0005-0000-0000-000052C00000}"/>
    <cellStyle name="Total 2 3 3 5 2" xfId="49235" xr:uid="{00000000-0005-0000-0000-000053C00000}"/>
    <cellStyle name="Total 2 3 3 5 2 2" xfId="49236" xr:uid="{00000000-0005-0000-0000-000054C00000}"/>
    <cellStyle name="Total 2 3 3 5 2 3" xfId="49237" xr:uid="{00000000-0005-0000-0000-000055C00000}"/>
    <cellStyle name="Total 2 3 3 5 2 4" xfId="49238" xr:uid="{00000000-0005-0000-0000-000056C00000}"/>
    <cellStyle name="Total 2 3 3 5 2 5" xfId="49239" xr:uid="{00000000-0005-0000-0000-000057C00000}"/>
    <cellStyle name="Total 2 3 3 5 2 6" xfId="49240" xr:uid="{00000000-0005-0000-0000-000058C00000}"/>
    <cellStyle name="Total 2 3 3 5 3" xfId="49241" xr:uid="{00000000-0005-0000-0000-000059C00000}"/>
    <cellStyle name="Total 2 3 3 5 4" xfId="49242" xr:uid="{00000000-0005-0000-0000-00005AC00000}"/>
    <cellStyle name="Total 2 3 3 5 5" xfId="49243" xr:uid="{00000000-0005-0000-0000-00005BC00000}"/>
    <cellStyle name="Total 2 3 3 5 6" xfId="49244" xr:uid="{00000000-0005-0000-0000-00005CC00000}"/>
    <cellStyle name="Total 2 3 3 6" xfId="49245" xr:uid="{00000000-0005-0000-0000-00005DC00000}"/>
    <cellStyle name="Total 2 3 3 6 2" xfId="49246" xr:uid="{00000000-0005-0000-0000-00005EC00000}"/>
    <cellStyle name="Total 2 3 3 6 3" xfId="49247" xr:uid="{00000000-0005-0000-0000-00005FC00000}"/>
    <cellStyle name="Total 2 3 3 6 4" xfId="49248" xr:uid="{00000000-0005-0000-0000-000060C00000}"/>
    <cellStyle name="Total 2 3 3 6 5" xfId="49249" xr:uid="{00000000-0005-0000-0000-000061C00000}"/>
    <cellStyle name="Total 2 3 3 6 6" xfId="49250" xr:uid="{00000000-0005-0000-0000-000062C00000}"/>
    <cellStyle name="Total 2 3 3 7" xfId="49251" xr:uid="{00000000-0005-0000-0000-000063C00000}"/>
    <cellStyle name="Total 2 3 3 7 2" xfId="49252" xr:uid="{00000000-0005-0000-0000-000064C00000}"/>
    <cellStyle name="Total 2 3 3 7 3" xfId="49253" xr:uid="{00000000-0005-0000-0000-000065C00000}"/>
    <cellStyle name="Total 2 3 3 7 4" xfId="49254" xr:uid="{00000000-0005-0000-0000-000066C00000}"/>
    <cellStyle name="Total 2 3 3 7 5" xfId="49255" xr:uid="{00000000-0005-0000-0000-000067C00000}"/>
    <cellStyle name="Total 2 3 3 7 6" xfId="49256" xr:uid="{00000000-0005-0000-0000-000068C00000}"/>
    <cellStyle name="Total 2 3 3 8" xfId="49257" xr:uid="{00000000-0005-0000-0000-000069C00000}"/>
    <cellStyle name="Total 2 3 3 9" xfId="49258" xr:uid="{00000000-0005-0000-0000-00006AC00000}"/>
    <cellStyle name="Total 2 3 30" xfId="49259" xr:uid="{00000000-0005-0000-0000-00006BC00000}"/>
    <cellStyle name="Total 2 3 30 2" xfId="49260" xr:uid="{00000000-0005-0000-0000-00006CC00000}"/>
    <cellStyle name="Total 2 3 30 2 2" xfId="49261" xr:uid="{00000000-0005-0000-0000-00006DC00000}"/>
    <cellStyle name="Total 2 3 30 2 3" xfId="49262" xr:uid="{00000000-0005-0000-0000-00006EC00000}"/>
    <cellStyle name="Total 2 3 30 2 4" xfId="49263" xr:uid="{00000000-0005-0000-0000-00006FC00000}"/>
    <cellStyle name="Total 2 3 30 2 5" xfId="49264" xr:uid="{00000000-0005-0000-0000-000070C00000}"/>
    <cellStyle name="Total 2 3 30 2 6" xfId="49265" xr:uid="{00000000-0005-0000-0000-000071C00000}"/>
    <cellStyle name="Total 2 3 30 3" xfId="49266" xr:uid="{00000000-0005-0000-0000-000072C00000}"/>
    <cellStyle name="Total 2 3 30 4" xfId="49267" xr:uid="{00000000-0005-0000-0000-000073C00000}"/>
    <cellStyle name="Total 2 3 30 5" xfId="49268" xr:uid="{00000000-0005-0000-0000-000074C00000}"/>
    <cellStyle name="Total 2 3 30 6" xfId="49269" xr:uid="{00000000-0005-0000-0000-000075C00000}"/>
    <cellStyle name="Total 2 3 30 7" xfId="49270" xr:uid="{00000000-0005-0000-0000-000076C00000}"/>
    <cellStyle name="Total 2 3 31" xfId="49271" xr:uid="{00000000-0005-0000-0000-000077C00000}"/>
    <cellStyle name="Total 2 3 31 2" xfId="49272" xr:uid="{00000000-0005-0000-0000-000078C00000}"/>
    <cellStyle name="Total 2 3 31 2 2" xfId="49273" xr:uid="{00000000-0005-0000-0000-000079C00000}"/>
    <cellStyle name="Total 2 3 31 2 3" xfId="49274" xr:uid="{00000000-0005-0000-0000-00007AC00000}"/>
    <cellStyle name="Total 2 3 31 2 4" xfId="49275" xr:uid="{00000000-0005-0000-0000-00007BC00000}"/>
    <cellStyle name="Total 2 3 31 2 5" xfId="49276" xr:uid="{00000000-0005-0000-0000-00007CC00000}"/>
    <cellStyle name="Total 2 3 31 2 6" xfId="49277" xr:uid="{00000000-0005-0000-0000-00007DC00000}"/>
    <cellStyle name="Total 2 3 31 3" xfId="49278" xr:uid="{00000000-0005-0000-0000-00007EC00000}"/>
    <cellStyle name="Total 2 3 31 4" xfId="49279" xr:uid="{00000000-0005-0000-0000-00007FC00000}"/>
    <cellStyle name="Total 2 3 31 5" xfId="49280" xr:uid="{00000000-0005-0000-0000-000080C00000}"/>
    <cellStyle name="Total 2 3 31 6" xfId="49281" xr:uid="{00000000-0005-0000-0000-000081C00000}"/>
    <cellStyle name="Total 2 3 31 7" xfId="49282" xr:uid="{00000000-0005-0000-0000-000082C00000}"/>
    <cellStyle name="Total 2 3 32" xfId="49283" xr:uid="{00000000-0005-0000-0000-000083C00000}"/>
    <cellStyle name="Total 2 3 32 2" xfId="49284" xr:uid="{00000000-0005-0000-0000-000084C00000}"/>
    <cellStyle name="Total 2 3 32 2 2" xfId="49285" xr:uid="{00000000-0005-0000-0000-000085C00000}"/>
    <cellStyle name="Total 2 3 32 2 3" xfId="49286" xr:uid="{00000000-0005-0000-0000-000086C00000}"/>
    <cellStyle name="Total 2 3 32 2 4" xfId="49287" xr:uid="{00000000-0005-0000-0000-000087C00000}"/>
    <cellStyle name="Total 2 3 32 2 5" xfId="49288" xr:uid="{00000000-0005-0000-0000-000088C00000}"/>
    <cellStyle name="Total 2 3 32 2 6" xfId="49289" xr:uid="{00000000-0005-0000-0000-000089C00000}"/>
    <cellStyle name="Total 2 3 32 3" xfId="49290" xr:uid="{00000000-0005-0000-0000-00008AC00000}"/>
    <cellStyle name="Total 2 3 32 4" xfId="49291" xr:uid="{00000000-0005-0000-0000-00008BC00000}"/>
    <cellStyle name="Total 2 3 32 5" xfId="49292" xr:uid="{00000000-0005-0000-0000-00008CC00000}"/>
    <cellStyle name="Total 2 3 32 6" xfId="49293" xr:uid="{00000000-0005-0000-0000-00008DC00000}"/>
    <cellStyle name="Total 2 3 32 7" xfId="49294" xr:uid="{00000000-0005-0000-0000-00008EC00000}"/>
    <cellStyle name="Total 2 3 33" xfId="49295" xr:uid="{00000000-0005-0000-0000-00008FC00000}"/>
    <cellStyle name="Total 2 3 33 2" xfId="49296" xr:uid="{00000000-0005-0000-0000-000090C00000}"/>
    <cellStyle name="Total 2 3 33 2 2" xfId="49297" xr:uid="{00000000-0005-0000-0000-000091C00000}"/>
    <cellStyle name="Total 2 3 33 2 3" xfId="49298" xr:uid="{00000000-0005-0000-0000-000092C00000}"/>
    <cellStyle name="Total 2 3 33 2 4" xfId="49299" xr:uid="{00000000-0005-0000-0000-000093C00000}"/>
    <cellStyle name="Total 2 3 33 2 5" xfId="49300" xr:uid="{00000000-0005-0000-0000-000094C00000}"/>
    <cellStyle name="Total 2 3 33 2 6" xfId="49301" xr:uid="{00000000-0005-0000-0000-000095C00000}"/>
    <cellStyle name="Total 2 3 33 3" xfId="49302" xr:uid="{00000000-0005-0000-0000-000096C00000}"/>
    <cellStyle name="Total 2 3 33 4" xfId="49303" xr:uid="{00000000-0005-0000-0000-000097C00000}"/>
    <cellStyle name="Total 2 3 33 5" xfId="49304" xr:uid="{00000000-0005-0000-0000-000098C00000}"/>
    <cellStyle name="Total 2 3 33 6" xfId="49305" xr:uid="{00000000-0005-0000-0000-000099C00000}"/>
    <cellStyle name="Total 2 3 33 7" xfId="49306" xr:uid="{00000000-0005-0000-0000-00009AC00000}"/>
    <cellStyle name="Total 2 3 34" xfId="49307" xr:uid="{00000000-0005-0000-0000-00009BC00000}"/>
    <cellStyle name="Total 2 3 34 2" xfId="49308" xr:uid="{00000000-0005-0000-0000-00009CC00000}"/>
    <cellStyle name="Total 2 3 34 2 2" xfId="49309" xr:uid="{00000000-0005-0000-0000-00009DC00000}"/>
    <cellStyle name="Total 2 3 34 2 3" xfId="49310" xr:uid="{00000000-0005-0000-0000-00009EC00000}"/>
    <cellStyle name="Total 2 3 34 2 4" xfId="49311" xr:uid="{00000000-0005-0000-0000-00009FC00000}"/>
    <cellStyle name="Total 2 3 34 2 5" xfId="49312" xr:uid="{00000000-0005-0000-0000-0000A0C00000}"/>
    <cellStyle name="Total 2 3 34 2 6" xfId="49313" xr:uid="{00000000-0005-0000-0000-0000A1C00000}"/>
    <cellStyle name="Total 2 3 34 3" xfId="49314" xr:uid="{00000000-0005-0000-0000-0000A2C00000}"/>
    <cellStyle name="Total 2 3 34 4" xfId="49315" xr:uid="{00000000-0005-0000-0000-0000A3C00000}"/>
    <cellStyle name="Total 2 3 34 5" xfId="49316" xr:uid="{00000000-0005-0000-0000-0000A4C00000}"/>
    <cellStyle name="Total 2 3 34 6" xfId="49317" xr:uid="{00000000-0005-0000-0000-0000A5C00000}"/>
    <cellStyle name="Total 2 3 34 7" xfId="49318" xr:uid="{00000000-0005-0000-0000-0000A6C00000}"/>
    <cellStyle name="Total 2 3 35" xfId="49319" xr:uid="{00000000-0005-0000-0000-0000A7C00000}"/>
    <cellStyle name="Total 2 3 35 2" xfId="49320" xr:uid="{00000000-0005-0000-0000-0000A8C00000}"/>
    <cellStyle name="Total 2 3 35 2 2" xfId="49321" xr:uid="{00000000-0005-0000-0000-0000A9C00000}"/>
    <cellStyle name="Total 2 3 35 2 3" xfId="49322" xr:uid="{00000000-0005-0000-0000-0000AAC00000}"/>
    <cellStyle name="Total 2 3 35 2 4" xfId="49323" xr:uid="{00000000-0005-0000-0000-0000ABC00000}"/>
    <cellStyle name="Total 2 3 35 2 5" xfId="49324" xr:uid="{00000000-0005-0000-0000-0000ACC00000}"/>
    <cellStyle name="Total 2 3 35 2 6" xfId="49325" xr:uid="{00000000-0005-0000-0000-0000ADC00000}"/>
    <cellStyle name="Total 2 3 35 3" xfId="49326" xr:uid="{00000000-0005-0000-0000-0000AEC00000}"/>
    <cellStyle name="Total 2 3 35 4" xfId="49327" xr:uid="{00000000-0005-0000-0000-0000AFC00000}"/>
    <cellStyle name="Total 2 3 35 5" xfId="49328" xr:uid="{00000000-0005-0000-0000-0000B0C00000}"/>
    <cellStyle name="Total 2 3 35 6" xfId="49329" xr:uid="{00000000-0005-0000-0000-0000B1C00000}"/>
    <cellStyle name="Total 2 3 35 7" xfId="49330" xr:uid="{00000000-0005-0000-0000-0000B2C00000}"/>
    <cellStyle name="Total 2 3 36" xfId="49331" xr:uid="{00000000-0005-0000-0000-0000B3C00000}"/>
    <cellStyle name="Total 2 3 36 2" xfId="49332" xr:uid="{00000000-0005-0000-0000-0000B4C00000}"/>
    <cellStyle name="Total 2 3 36 2 2" xfId="49333" xr:uid="{00000000-0005-0000-0000-0000B5C00000}"/>
    <cellStyle name="Total 2 3 36 2 3" xfId="49334" xr:uid="{00000000-0005-0000-0000-0000B6C00000}"/>
    <cellStyle name="Total 2 3 36 2 4" xfId="49335" xr:uid="{00000000-0005-0000-0000-0000B7C00000}"/>
    <cellStyle name="Total 2 3 36 2 5" xfId="49336" xr:uid="{00000000-0005-0000-0000-0000B8C00000}"/>
    <cellStyle name="Total 2 3 36 2 6" xfId="49337" xr:uid="{00000000-0005-0000-0000-0000B9C00000}"/>
    <cellStyle name="Total 2 3 36 3" xfId="49338" xr:uid="{00000000-0005-0000-0000-0000BAC00000}"/>
    <cellStyle name="Total 2 3 36 4" xfId="49339" xr:uid="{00000000-0005-0000-0000-0000BBC00000}"/>
    <cellStyle name="Total 2 3 36 5" xfId="49340" xr:uid="{00000000-0005-0000-0000-0000BCC00000}"/>
    <cellStyle name="Total 2 3 36 6" xfId="49341" xr:uid="{00000000-0005-0000-0000-0000BDC00000}"/>
    <cellStyle name="Total 2 3 36 7" xfId="49342" xr:uid="{00000000-0005-0000-0000-0000BEC00000}"/>
    <cellStyle name="Total 2 3 37" xfId="49343" xr:uid="{00000000-0005-0000-0000-0000BFC00000}"/>
    <cellStyle name="Total 2 3 37 2" xfId="49344" xr:uid="{00000000-0005-0000-0000-0000C0C00000}"/>
    <cellStyle name="Total 2 3 37 2 2" xfId="49345" xr:uid="{00000000-0005-0000-0000-0000C1C00000}"/>
    <cellStyle name="Total 2 3 37 2 3" xfId="49346" xr:uid="{00000000-0005-0000-0000-0000C2C00000}"/>
    <cellStyle name="Total 2 3 37 2 4" xfId="49347" xr:uid="{00000000-0005-0000-0000-0000C3C00000}"/>
    <cellStyle name="Total 2 3 37 2 5" xfId="49348" xr:uid="{00000000-0005-0000-0000-0000C4C00000}"/>
    <cellStyle name="Total 2 3 37 2 6" xfId="49349" xr:uid="{00000000-0005-0000-0000-0000C5C00000}"/>
    <cellStyle name="Total 2 3 37 3" xfId="49350" xr:uid="{00000000-0005-0000-0000-0000C6C00000}"/>
    <cellStyle name="Total 2 3 37 4" xfId="49351" xr:uid="{00000000-0005-0000-0000-0000C7C00000}"/>
    <cellStyle name="Total 2 3 37 5" xfId="49352" xr:uid="{00000000-0005-0000-0000-0000C8C00000}"/>
    <cellStyle name="Total 2 3 37 6" xfId="49353" xr:uid="{00000000-0005-0000-0000-0000C9C00000}"/>
    <cellStyle name="Total 2 3 37 7" xfId="49354" xr:uid="{00000000-0005-0000-0000-0000CAC00000}"/>
    <cellStyle name="Total 2 3 38" xfId="49355" xr:uid="{00000000-0005-0000-0000-0000CBC00000}"/>
    <cellStyle name="Total 2 3 38 2" xfId="49356" xr:uid="{00000000-0005-0000-0000-0000CCC00000}"/>
    <cellStyle name="Total 2 3 38 2 2" xfId="49357" xr:uid="{00000000-0005-0000-0000-0000CDC00000}"/>
    <cellStyle name="Total 2 3 38 2 3" xfId="49358" xr:uid="{00000000-0005-0000-0000-0000CEC00000}"/>
    <cellStyle name="Total 2 3 38 2 4" xfId="49359" xr:uid="{00000000-0005-0000-0000-0000CFC00000}"/>
    <cellStyle name="Total 2 3 38 2 5" xfId="49360" xr:uid="{00000000-0005-0000-0000-0000D0C00000}"/>
    <cellStyle name="Total 2 3 38 2 6" xfId="49361" xr:uid="{00000000-0005-0000-0000-0000D1C00000}"/>
    <cellStyle name="Total 2 3 38 3" xfId="49362" xr:uid="{00000000-0005-0000-0000-0000D2C00000}"/>
    <cellStyle name="Total 2 3 38 4" xfId="49363" xr:uid="{00000000-0005-0000-0000-0000D3C00000}"/>
    <cellStyle name="Total 2 3 38 5" xfId="49364" xr:uid="{00000000-0005-0000-0000-0000D4C00000}"/>
    <cellStyle name="Total 2 3 38 6" xfId="49365" xr:uid="{00000000-0005-0000-0000-0000D5C00000}"/>
    <cellStyle name="Total 2 3 38 7" xfId="49366" xr:uid="{00000000-0005-0000-0000-0000D6C00000}"/>
    <cellStyle name="Total 2 3 39" xfId="49367" xr:uid="{00000000-0005-0000-0000-0000D7C00000}"/>
    <cellStyle name="Total 2 3 39 2" xfId="49368" xr:uid="{00000000-0005-0000-0000-0000D8C00000}"/>
    <cellStyle name="Total 2 3 39 2 2" xfId="49369" xr:uid="{00000000-0005-0000-0000-0000D9C00000}"/>
    <cellStyle name="Total 2 3 39 2 3" xfId="49370" xr:uid="{00000000-0005-0000-0000-0000DAC00000}"/>
    <cellStyle name="Total 2 3 39 2 4" xfId="49371" xr:uid="{00000000-0005-0000-0000-0000DBC00000}"/>
    <cellStyle name="Total 2 3 39 2 5" xfId="49372" xr:uid="{00000000-0005-0000-0000-0000DCC00000}"/>
    <cellStyle name="Total 2 3 39 2 6" xfId="49373" xr:uid="{00000000-0005-0000-0000-0000DDC00000}"/>
    <cellStyle name="Total 2 3 39 3" xfId="49374" xr:uid="{00000000-0005-0000-0000-0000DEC00000}"/>
    <cellStyle name="Total 2 3 39 4" xfId="49375" xr:uid="{00000000-0005-0000-0000-0000DFC00000}"/>
    <cellStyle name="Total 2 3 39 5" xfId="49376" xr:uid="{00000000-0005-0000-0000-0000E0C00000}"/>
    <cellStyle name="Total 2 3 39 6" xfId="49377" xr:uid="{00000000-0005-0000-0000-0000E1C00000}"/>
    <cellStyle name="Total 2 3 39 7" xfId="49378" xr:uid="{00000000-0005-0000-0000-0000E2C00000}"/>
    <cellStyle name="Total 2 3 4" xfId="49379" xr:uid="{00000000-0005-0000-0000-0000E3C00000}"/>
    <cellStyle name="Total 2 3 4 2" xfId="49380" xr:uid="{00000000-0005-0000-0000-0000E4C00000}"/>
    <cellStyle name="Total 2 3 4 2 2" xfId="49381" xr:uid="{00000000-0005-0000-0000-0000E5C00000}"/>
    <cellStyle name="Total 2 3 4 2 3" xfId="49382" xr:uid="{00000000-0005-0000-0000-0000E6C00000}"/>
    <cellStyle name="Total 2 3 4 2 4" xfId="49383" xr:uid="{00000000-0005-0000-0000-0000E7C00000}"/>
    <cellStyle name="Total 2 3 4 2 5" xfId="49384" xr:uid="{00000000-0005-0000-0000-0000E8C00000}"/>
    <cellStyle name="Total 2 3 4 2 6" xfId="49385" xr:uid="{00000000-0005-0000-0000-0000E9C00000}"/>
    <cellStyle name="Total 2 3 4 3" xfId="49386" xr:uid="{00000000-0005-0000-0000-0000EAC00000}"/>
    <cellStyle name="Total 2 3 4 3 2" xfId="49387" xr:uid="{00000000-0005-0000-0000-0000EBC00000}"/>
    <cellStyle name="Total 2 3 4 3 3" xfId="49388" xr:uid="{00000000-0005-0000-0000-0000ECC00000}"/>
    <cellStyle name="Total 2 3 4 3 4" xfId="49389" xr:uid="{00000000-0005-0000-0000-0000EDC00000}"/>
    <cellStyle name="Total 2 3 4 3 5" xfId="49390" xr:uid="{00000000-0005-0000-0000-0000EEC00000}"/>
    <cellStyle name="Total 2 3 4 3 6" xfId="49391" xr:uid="{00000000-0005-0000-0000-0000EFC00000}"/>
    <cellStyle name="Total 2 3 4 4" xfId="49392" xr:uid="{00000000-0005-0000-0000-0000F0C00000}"/>
    <cellStyle name="Total 2 3 4 5" xfId="49393" xr:uid="{00000000-0005-0000-0000-0000F1C00000}"/>
    <cellStyle name="Total 2 3 4 6" xfId="49394" xr:uid="{00000000-0005-0000-0000-0000F2C00000}"/>
    <cellStyle name="Total 2 3 4 7" xfId="49395" xr:uid="{00000000-0005-0000-0000-0000F3C00000}"/>
    <cellStyle name="Total 2 3 4 8" xfId="49396" xr:uid="{00000000-0005-0000-0000-0000F4C00000}"/>
    <cellStyle name="Total 2 3 40" xfId="49397" xr:uid="{00000000-0005-0000-0000-0000F5C00000}"/>
    <cellStyle name="Total 2 3 40 2" xfId="49398" xr:uid="{00000000-0005-0000-0000-0000F6C00000}"/>
    <cellStyle name="Total 2 3 40 2 2" xfId="49399" xr:uid="{00000000-0005-0000-0000-0000F7C00000}"/>
    <cellStyle name="Total 2 3 40 2 3" xfId="49400" xr:uid="{00000000-0005-0000-0000-0000F8C00000}"/>
    <cellStyle name="Total 2 3 40 2 4" xfId="49401" xr:uid="{00000000-0005-0000-0000-0000F9C00000}"/>
    <cellStyle name="Total 2 3 40 2 5" xfId="49402" xr:uid="{00000000-0005-0000-0000-0000FAC00000}"/>
    <cellStyle name="Total 2 3 40 2 6" xfId="49403" xr:uid="{00000000-0005-0000-0000-0000FBC00000}"/>
    <cellStyle name="Total 2 3 40 3" xfId="49404" xr:uid="{00000000-0005-0000-0000-0000FCC00000}"/>
    <cellStyle name="Total 2 3 40 4" xfId="49405" xr:uid="{00000000-0005-0000-0000-0000FDC00000}"/>
    <cellStyle name="Total 2 3 40 5" xfId="49406" xr:uid="{00000000-0005-0000-0000-0000FEC00000}"/>
    <cellStyle name="Total 2 3 40 6" xfId="49407" xr:uid="{00000000-0005-0000-0000-0000FFC00000}"/>
    <cellStyle name="Total 2 3 40 7" xfId="49408" xr:uid="{00000000-0005-0000-0000-000000C10000}"/>
    <cellStyle name="Total 2 3 41" xfId="49409" xr:uid="{00000000-0005-0000-0000-000001C10000}"/>
    <cellStyle name="Total 2 3 41 2" xfId="49410" xr:uid="{00000000-0005-0000-0000-000002C10000}"/>
    <cellStyle name="Total 2 3 41 2 2" xfId="49411" xr:uid="{00000000-0005-0000-0000-000003C10000}"/>
    <cellStyle name="Total 2 3 41 2 3" xfId="49412" xr:uid="{00000000-0005-0000-0000-000004C10000}"/>
    <cellStyle name="Total 2 3 41 2 4" xfId="49413" xr:uid="{00000000-0005-0000-0000-000005C10000}"/>
    <cellStyle name="Total 2 3 41 2 5" xfId="49414" xr:uid="{00000000-0005-0000-0000-000006C10000}"/>
    <cellStyle name="Total 2 3 41 2 6" xfId="49415" xr:uid="{00000000-0005-0000-0000-000007C10000}"/>
    <cellStyle name="Total 2 3 41 3" xfId="49416" xr:uid="{00000000-0005-0000-0000-000008C10000}"/>
    <cellStyle name="Total 2 3 41 4" xfId="49417" xr:uid="{00000000-0005-0000-0000-000009C10000}"/>
    <cellStyle name="Total 2 3 41 5" xfId="49418" xr:uid="{00000000-0005-0000-0000-00000AC10000}"/>
    <cellStyle name="Total 2 3 41 6" xfId="49419" xr:uid="{00000000-0005-0000-0000-00000BC10000}"/>
    <cellStyle name="Total 2 3 41 7" xfId="49420" xr:uid="{00000000-0005-0000-0000-00000CC10000}"/>
    <cellStyle name="Total 2 3 42" xfId="49421" xr:uid="{00000000-0005-0000-0000-00000DC10000}"/>
    <cellStyle name="Total 2 3 42 2" xfId="49422" xr:uid="{00000000-0005-0000-0000-00000EC10000}"/>
    <cellStyle name="Total 2 3 42 3" xfId="49423" xr:uid="{00000000-0005-0000-0000-00000FC10000}"/>
    <cellStyle name="Total 2 3 42 4" xfId="49424" xr:uid="{00000000-0005-0000-0000-000010C10000}"/>
    <cellStyle name="Total 2 3 42 5" xfId="49425" xr:uid="{00000000-0005-0000-0000-000011C10000}"/>
    <cellStyle name="Total 2 3 42 6" xfId="49426" xr:uid="{00000000-0005-0000-0000-000012C10000}"/>
    <cellStyle name="Total 2 3 43" xfId="49427" xr:uid="{00000000-0005-0000-0000-000013C10000}"/>
    <cellStyle name="Total 2 3 43 2" xfId="49428" xr:uid="{00000000-0005-0000-0000-000014C10000}"/>
    <cellStyle name="Total 2 3 43 3" xfId="49429" xr:uid="{00000000-0005-0000-0000-000015C10000}"/>
    <cellStyle name="Total 2 3 43 4" xfId="49430" xr:uid="{00000000-0005-0000-0000-000016C10000}"/>
    <cellStyle name="Total 2 3 43 5" xfId="49431" xr:uid="{00000000-0005-0000-0000-000017C10000}"/>
    <cellStyle name="Total 2 3 43 6" xfId="49432" xr:uid="{00000000-0005-0000-0000-000018C10000}"/>
    <cellStyle name="Total 2 3 44" xfId="49433" xr:uid="{00000000-0005-0000-0000-000019C10000}"/>
    <cellStyle name="Total 2 3 45" xfId="49434" xr:uid="{00000000-0005-0000-0000-00001AC10000}"/>
    <cellStyle name="Total 2 3 46" xfId="49435" xr:uid="{00000000-0005-0000-0000-00001BC10000}"/>
    <cellStyle name="Total 2 3 47" xfId="49436" xr:uid="{00000000-0005-0000-0000-00001CC10000}"/>
    <cellStyle name="Total 2 3 5" xfId="49437" xr:uid="{00000000-0005-0000-0000-00001DC10000}"/>
    <cellStyle name="Total 2 3 5 2" xfId="49438" xr:uid="{00000000-0005-0000-0000-00001EC10000}"/>
    <cellStyle name="Total 2 3 5 2 2" xfId="49439" xr:uid="{00000000-0005-0000-0000-00001FC10000}"/>
    <cellStyle name="Total 2 3 5 2 3" xfId="49440" xr:uid="{00000000-0005-0000-0000-000020C10000}"/>
    <cellStyle name="Total 2 3 5 2 4" xfId="49441" xr:uid="{00000000-0005-0000-0000-000021C10000}"/>
    <cellStyle name="Total 2 3 5 2 5" xfId="49442" xr:uid="{00000000-0005-0000-0000-000022C10000}"/>
    <cellStyle name="Total 2 3 5 2 6" xfId="49443" xr:uid="{00000000-0005-0000-0000-000023C10000}"/>
    <cellStyle name="Total 2 3 5 3" xfId="49444" xr:uid="{00000000-0005-0000-0000-000024C10000}"/>
    <cellStyle name="Total 2 3 5 4" xfId="49445" xr:uid="{00000000-0005-0000-0000-000025C10000}"/>
    <cellStyle name="Total 2 3 5 5" xfId="49446" xr:uid="{00000000-0005-0000-0000-000026C10000}"/>
    <cellStyle name="Total 2 3 5 6" xfId="49447" xr:uid="{00000000-0005-0000-0000-000027C10000}"/>
    <cellStyle name="Total 2 3 5 7" xfId="49448" xr:uid="{00000000-0005-0000-0000-000028C10000}"/>
    <cellStyle name="Total 2 3 6" xfId="49449" xr:uid="{00000000-0005-0000-0000-000029C10000}"/>
    <cellStyle name="Total 2 3 6 2" xfId="49450" xr:uid="{00000000-0005-0000-0000-00002AC10000}"/>
    <cellStyle name="Total 2 3 6 2 2" xfId="49451" xr:uid="{00000000-0005-0000-0000-00002BC10000}"/>
    <cellStyle name="Total 2 3 6 2 3" xfId="49452" xr:uid="{00000000-0005-0000-0000-00002CC10000}"/>
    <cellStyle name="Total 2 3 6 2 4" xfId="49453" xr:uid="{00000000-0005-0000-0000-00002DC10000}"/>
    <cellStyle name="Total 2 3 6 2 5" xfId="49454" xr:uid="{00000000-0005-0000-0000-00002EC10000}"/>
    <cellStyle name="Total 2 3 6 2 6" xfId="49455" xr:uid="{00000000-0005-0000-0000-00002FC10000}"/>
    <cellStyle name="Total 2 3 6 3" xfId="49456" xr:uid="{00000000-0005-0000-0000-000030C10000}"/>
    <cellStyle name="Total 2 3 6 4" xfId="49457" xr:uid="{00000000-0005-0000-0000-000031C10000}"/>
    <cellStyle name="Total 2 3 6 5" xfId="49458" xr:uid="{00000000-0005-0000-0000-000032C10000}"/>
    <cellStyle name="Total 2 3 6 6" xfId="49459" xr:uid="{00000000-0005-0000-0000-000033C10000}"/>
    <cellStyle name="Total 2 3 6 7" xfId="49460" xr:uid="{00000000-0005-0000-0000-000034C10000}"/>
    <cellStyle name="Total 2 3 7" xfId="49461" xr:uid="{00000000-0005-0000-0000-000035C10000}"/>
    <cellStyle name="Total 2 3 7 2" xfId="49462" xr:uid="{00000000-0005-0000-0000-000036C10000}"/>
    <cellStyle name="Total 2 3 7 2 2" xfId="49463" xr:uid="{00000000-0005-0000-0000-000037C10000}"/>
    <cellStyle name="Total 2 3 7 2 3" xfId="49464" xr:uid="{00000000-0005-0000-0000-000038C10000}"/>
    <cellStyle name="Total 2 3 7 2 4" xfId="49465" xr:uid="{00000000-0005-0000-0000-000039C10000}"/>
    <cellStyle name="Total 2 3 7 2 5" xfId="49466" xr:uid="{00000000-0005-0000-0000-00003AC10000}"/>
    <cellStyle name="Total 2 3 7 2 6" xfId="49467" xr:uid="{00000000-0005-0000-0000-00003BC10000}"/>
    <cellStyle name="Total 2 3 7 3" xfId="49468" xr:uid="{00000000-0005-0000-0000-00003CC10000}"/>
    <cellStyle name="Total 2 3 7 4" xfId="49469" xr:uid="{00000000-0005-0000-0000-00003DC10000}"/>
    <cellStyle name="Total 2 3 7 5" xfId="49470" xr:uid="{00000000-0005-0000-0000-00003EC10000}"/>
    <cellStyle name="Total 2 3 7 6" xfId="49471" xr:uid="{00000000-0005-0000-0000-00003FC10000}"/>
    <cellStyle name="Total 2 3 7 7" xfId="49472" xr:uid="{00000000-0005-0000-0000-000040C10000}"/>
    <cellStyle name="Total 2 3 8" xfId="49473" xr:uid="{00000000-0005-0000-0000-000041C10000}"/>
    <cellStyle name="Total 2 3 8 2" xfId="49474" xr:uid="{00000000-0005-0000-0000-000042C10000}"/>
    <cellStyle name="Total 2 3 8 2 2" xfId="49475" xr:uid="{00000000-0005-0000-0000-000043C10000}"/>
    <cellStyle name="Total 2 3 8 2 3" xfId="49476" xr:uid="{00000000-0005-0000-0000-000044C10000}"/>
    <cellStyle name="Total 2 3 8 2 4" xfId="49477" xr:uid="{00000000-0005-0000-0000-000045C10000}"/>
    <cellStyle name="Total 2 3 8 2 5" xfId="49478" xr:uid="{00000000-0005-0000-0000-000046C10000}"/>
    <cellStyle name="Total 2 3 8 2 6" xfId="49479" xr:uid="{00000000-0005-0000-0000-000047C10000}"/>
    <cellStyle name="Total 2 3 8 3" xfId="49480" xr:uid="{00000000-0005-0000-0000-000048C10000}"/>
    <cellStyle name="Total 2 3 8 4" xfId="49481" xr:uid="{00000000-0005-0000-0000-000049C10000}"/>
    <cellStyle name="Total 2 3 8 5" xfId="49482" xr:uid="{00000000-0005-0000-0000-00004AC10000}"/>
    <cellStyle name="Total 2 3 8 6" xfId="49483" xr:uid="{00000000-0005-0000-0000-00004BC10000}"/>
    <cellStyle name="Total 2 3 8 7" xfId="49484" xr:uid="{00000000-0005-0000-0000-00004CC10000}"/>
    <cellStyle name="Total 2 3 9" xfId="49485" xr:uid="{00000000-0005-0000-0000-00004DC10000}"/>
    <cellStyle name="Total 2 3 9 2" xfId="49486" xr:uid="{00000000-0005-0000-0000-00004EC10000}"/>
    <cellStyle name="Total 2 3 9 2 2" xfId="49487" xr:uid="{00000000-0005-0000-0000-00004FC10000}"/>
    <cellStyle name="Total 2 3 9 2 3" xfId="49488" xr:uid="{00000000-0005-0000-0000-000050C10000}"/>
    <cellStyle name="Total 2 3 9 2 4" xfId="49489" xr:uid="{00000000-0005-0000-0000-000051C10000}"/>
    <cellStyle name="Total 2 3 9 2 5" xfId="49490" xr:uid="{00000000-0005-0000-0000-000052C10000}"/>
    <cellStyle name="Total 2 3 9 2 6" xfId="49491" xr:uid="{00000000-0005-0000-0000-000053C10000}"/>
    <cellStyle name="Total 2 3 9 3" xfId="49492" xr:uid="{00000000-0005-0000-0000-000054C10000}"/>
    <cellStyle name="Total 2 3 9 4" xfId="49493" xr:uid="{00000000-0005-0000-0000-000055C10000}"/>
    <cellStyle name="Total 2 3 9 5" xfId="49494" xr:uid="{00000000-0005-0000-0000-000056C10000}"/>
    <cellStyle name="Total 2 3 9 6" xfId="49495" xr:uid="{00000000-0005-0000-0000-000057C10000}"/>
    <cellStyle name="Total 2 3 9 7" xfId="49496" xr:uid="{00000000-0005-0000-0000-000058C10000}"/>
    <cellStyle name="Total 2 30" xfId="49497" xr:uid="{00000000-0005-0000-0000-000059C10000}"/>
    <cellStyle name="Total 2 30 2" xfId="49498" xr:uid="{00000000-0005-0000-0000-00005AC10000}"/>
    <cellStyle name="Total 2 30 2 2" xfId="49499" xr:uid="{00000000-0005-0000-0000-00005BC10000}"/>
    <cellStyle name="Total 2 30 2 3" xfId="49500" xr:uid="{00000000-0005-0000-0000-00005CC10000}"/>
    <cellStyle name="Total 2 30 2 4" xfId="49501" xr:uid="{00000000-0005-0000-0000-00005DC10000}"/>
    <cellStyle name="Total 2 30 2 5" xfId="49502" xr:uid="{00000000-0005-0000-0000-00005EC10000}"/>
    <cellStyle name="Total 2 30 3" xfId="49503" xr:uid="{00000000-0005-0000-0000-00005FC10000}"/>
    <cellStyle name="Total 2 30 4" xfId="49504" xr:uid="{00000000-0005-0000-0000-000060C10000}"/>
    <cellStyle name="Total 2 30 5" xfId="49505" xr:uid="{00000000-0005-0000-0000-000061C10000}"/>
    <cellStyle name="Total 2 30 6" xfId="49506" xr:uid="{00000000-0005-0000-0000-000062C10000}"/>
    <cellStyle name="Total 2 31" xfId="49507" xr:uid="{00000000-0005-0000-0000-000063C10000}"/>
    <cellStyle name="Total 2 31 2" xfId="49508" xr:uid="{00000000-0005-0000-0000-000064C10000}"/>
    <cellStyle name="Total 2 31 2 2" xfId="49509" xr:uid="{00000000-0005-0000-0000-000065C10000}"/>
    <cellStyle name="Total 2 31 2 3" xfId="49510" xr:uid="{00000000-0005-0000-0000-000066C10000}"/>
    <cellStyle name="Total 2 31 2 4" xfId="49511" xr:uid="{00000000-0005-0000-0000-000067C10000}"/>
    <cellStyle name="Total 2 31 2 5" xfId="49512" xr:uid="{00000000-0005-0000-0000-000068C10000}"/>
    <cellStyle name="Total 2 31 3" xfId="49513" xr:uid="{00000000-0005-0000-0000-000069C10000}"/>
    <cellStyle name="Total 2 31 4" xfId="49514" xr:uid="{00000000-0005-0000-0000-00006AC10000}"/>
    <cellStyle name="Total 2 31 5" xfId="49515" xr:uid="{00000000-0005-0000-0000-00006BC10000}"/>
    <cellStyle name="Total 2 31 6" xfId="49516" xr:uid="{00000000-0005-0000-0000-00006CC10000}"/>
    <cellStyle name="Total 2 32" xfId="49517" xr:uid="{00000000-0005-0000-0000-00006DC10000}"/>
    <cellStyle name="Total 2 32 2" xfId="49518" xr:uid="{00000000-0005-0000-0000-00006EC10000}"/>
    <cellStyle name="Total 2 32 2 2" xfId="49519" xr:uid="{00000000-0005-0000-0000-00006FC10000}"/>
    <cellStyle name="Total 2 32 2 3" xfId="49520" xr:uid="{00000000-0005-0000-0000-000070C10000}"/>
    <cellStyle name="Total 2 32 2 4" xfId="49521" xr:uid="{00000000-0005-0000-0000-000071C10000}"/>
    <cellStyle name="Total 2 32 2 5" xfId="49522" xr:uid="{00000000-0005-0000-0000-000072C10000}"/>
    <cellStyle name="Total 2 32 3" xfId="49523" xr:uid="{00000000-0005-0000-0000-000073C10000}"/>
    <cellStyle name="Total 2 32 4" xfId="49524" xr:uid="{00000000-0005-0000-0000-000074C10000}"/>
    <cellStyle name="Total 2 32 5" xfId="49525" xr:uid="{00000000-0005-0000-0000-000075C10000}"/>
    <cellStyle name="Total 2 32 6" xfId="49526" xr:uid="{00000000-0005-0000-0000-000076C10000}"/>
    <cellStyle name="Total 2 33" xfId="49527" xr:uid="{00000000-0005-0000-0000-000077C10000}"/>
    <cellStyle name="Total 2 33 2" xfId="49528" xr:uid="{00000000-0005-0000-0000-000078C10000}"/>
    <cellStyle name="Total 2 33 2 2" xfId="49529" xr:uid="{00000000-0005-0000-0000-000079C10000}"/>
    <cellStyle name="Total 2 33 2 3" xfId="49530" xr:uid="{00000000-0005-0000-0000-00007AC10000}"/>
    <cellStyle name="Total 2 33 2 4" xfId="49531" xr:uid="{00000000-0005-0000-0000-00007BC10000}"/>
    <cellStyle name="Total 2 33 2 5" xfId="49532" xr:uid="{00000000-0005-0000-0000-00007CC10000}"/>
    <cellStyle name="Total 2 33 3" xfId="49533" xr:uid="{00000000-0005-0000-0000-00007DC10000}"/>
    <cellStyle name="Total 2 33 4" xfId="49534" xr:uid="{00000000-0005-0000-0000-00007EC10000}"/>
    <cellStyle name="Total 2 33 5" xfId="49535" xr:uid="{00000000-0005-0000-0000-00007FC10000}"/>
    <cellStyle name="Total 2 33 6" xfId="49536" xr:uid="{00000000-0005-0000-0000-000080C10000}"/>
    <cellStyle name="Total 2 34" xfId="49537" xr:uid="{00000000-0005-0000-0000-000081C10000}"/>
    <cellStyle name="Total 2 34 2" xfId="49538" xr:uid="{00000000-0005-0000-0000-000082C10000}"/>
    <cellStyle name="Total 2 34 2 2" xfId="49539" xr:uid="{00000000-0005-0000-0000-000083C10000}"/>
    <cellStyle name="Total 2 34 2 3" xfId="49540" xr:uid="{00000000-0005-0000-0000-000084C10000}"/>
    <cellStyle name="Total 2 34 2 4" xfId="49541" xr:uid="{00000000-0005-0000-0000-000085C10000}"/>
    <cellStyle name="Total 2 34 2 5" xfId="49542" xr:uid="{00000000-0005-0000-0000-000086C10000}"/>
    <cellStyle name="Total 2 34 3" xfId="49543" xr:uid="{00000000-0005-0000-0000-000087C10000}"/>
    <cellStyle name="Total 2 34 4" xfId="49544" xr:uid="{00000000-0005-0000-0000-000088C10000}"/>
    <cellStyle name="Total 2 34 5" xfId="49545" xr:uid="{00000000-0005-0000-0000-000089C10000}"/>
    <cellStyle name="Total 2 34 6" xfId="49546" xr:uid="{00000000-0005-0000-0000-00008AC10000}"/>
    <cellStyle name="Total 2 35" xfId="49547" xr:uid="{00000000-0005-0000-0000-00008BC10000}"/>
    <cellStyle name="Total 2 35 2" xfId="49548" xr:uid="{00000000-0005-0000-0000-00008CC10000}"/>
    <cellStyle name="Total 2 35 2 2" xfId="49549" xr:uid="{00000000-0005-0000-0000-00008DC10000}"/>
    <cellStyle name="Total 2 35 2 3" xfId="49550" xr:uid="{00000000-0005-0000-0000-00008EC10000}"/>
    <cellStyle name="Total 2 35 2 4" xfId="49551" xr:uid="{00000000-0005-0000-0000-00008FC10000}"/>
    <cellStyle name="Total 2 35 2 5" xfId="49552" xr:uid="{00000000-0005-0000-0000-000090C10000}"/>
    <cellStyle name="Total 2 35 3" xfId="49553" xr:uid="{00000000-0005-0000-0000-000091C10000}"/>
    <cellStyle name="Total 2 35 4" xfId="49554" xr:uid="{00000000-0005-0000-0000-000092C10000}"/>
    <cellStyle name="Total 2 35 5" xfId="49555" xr:uid="{00000000-0005-0000-0000-000093C10000}"/>
    <cellStyle name="Total 2 35 6" xfId="49556" xr:uid="{00000000-0005-0000-0000-000094C10000}"/>
    <cellStyle name="Total 2 36" xfId="49557" xr:uid="{00000000-0005-0000-0000-000095C10000}"/>
    <cellStyle name="Total 2 36 2" xfId="49558" xr:uid="{00000000-0005-0000-0000-000096C10000}"/>
    <cellStyle name="Total 2 36 2 2" xfId="49559" xr:uid="{00000000-0005-0000-0000-000097C10000}"/>
    <cellStyle name="Total 2 36 2 3" xfId="49560" xr:uid="{00000000-0005-0000-0000-000098C10000}"/>
    <cellStyle name="Total 2 36 2 4" xfId="49561" xr:uid="{00000000-0005-0000-0000-000099C10000}"/>
    <cellStyle name="Total 2 36 2 5" xfId="49562" xr:uid="{00000000-0005-0000-0000-00009AC10000}"/>
    <cellStyle name="Total 2 36 3" xfId="49563" xr:uid="{00000000-0005-0000-0000-00009BC10000}"/>
    <cellStyle name="Total 2 36 4" xfId="49564" xr:uid="{00000000-0005-0000-0000-00009CC10000}"/>
    <cellStyle name="Total 2 36 5" xfId="49565" xr:uid="{00000000-0005-0000-0000-00009DC10000}"/>
    <cellStyle name="Total 2 36 6" xfId="49566" xr:uid="{00000000-0005-0000-0000-00009EC10000}"/>
    <cellStyle name="Total 2 37" xfId="49567" xr:uid="{00000000-0005-0000-0000-00009FC10000}"/>
    <cellStyle name="Total 2 37 2" xfId="49568" xr:uid="{00000000-0005-0000-0000-0000A0C10000}"/>
    <cellStyle name="Total 2 37 2 2" xfId="49569" xr:uid="{00000000-0005-0000-0000-0000A1C10000}"/>
    <cellStyle name="Total 2 37 2 3" xfId="49570" xr:uid="{00000000-0005-0000-0000-0000A2C10000}"/>
    <cellStyle name="Total 2 37 2 4" xfId="49571" xr:uid="{00000000-0005-0000-0000-0000A3C10000}"/>
    <cellStyle name="Total 2 37 2 5" xfId="49572" xr:uid="{00000000-0005-0000-0000-0000A4C10000}"/>
    <cellStyle name="Total 2 37 3" xfId="49573" xr:uid="{00000000-0005-0000-0000-0000A5C10000}"/>
    <cellStyle name="Total 2 37 4" xfId="49574" xr:uid="{00000000-0005-0000-0000-0000A6C10000}"/>
    <cellStyle name="Total 2 37 5" xfId="49575" xr:uid="{00000000-0005-0000-0000-0000A7C10000}"/>
    <cellStyle name="Total 2 37 6" xfId="49576" xr:uid="{00000000-0005-0000-0000-0000A8C10000}"/>
    <cellStyle name="Total 2 38" xfId="49577" xr:uid="{00000000-0005-0000-0000-0000A9C10000}"/>
    <cellStyle name="Total 2 38 2" xfId="49578" xr:uid="{00000000-0005-0000-0000-0000AAC10000}"/>
    <cellStyle name="Total 2 38 2 2" xfId="49579" xr:uid="{00000000-0005-0000-0000-0000ABC10000}"/>
    <cellStyle name="Total 2 38 2 3" xfId="49580" xr:uid="{00000000-0005-0000-0000-0000ACC10000}"/>
    <cellStyle name="Total 2 38 2 4" xfId="49581" xr:uid="{00000000-0005-0000-0000-0000ADC10000}"/>
    <cellStyle name="Total 2 38 2 5" xfId="49582" xr:uid="{00000000-0005-0000-0000-0000AEC10000}"/>
    <cellStyle name="Total 2 38 3" xfId="49583" xr:uid="{00000000-0005-0000-0000-0000AFC10000}"/>
    <cellStyle name="Total 2 38 4" xfId="49584" xr:uid="{00000000-0005-0000-0000-0000B0C10000}"/>
    <cellStyle name="Total 2 38 5" xfId="49585" xr:uid="{00000000-0005-0000-0000-0000B1C10000}"/>
    <cellStyle name="Total 2 38 6" xfId="49586" xr:uid="{00000000-0005-0000-0000-0000B2C10000}"/>
    <cellStyle name="Total 2 39" xfId="49587" xr:uid="{00000000-0005-0000-0000-0000B3C10000}"/>
    <cellStyle name="Total 2 39 2" xfId="49588" xr:uid="{00000000-0005-0000-0000-0000B4C10000}"/>
    <cellStyle name="Total 2 39 2 2" xfId="49589" xr:uid="{00000000-0005-0000-0000-0000B5C10000}"/>
    <cellStyle name="Total 2 39 2 3" xfId="49590" xr:uid="{00000000-0005-0000-0000-0000B6C10000}"/>
    <cellStyle name="Total 2 39 2 4" xfId="49591" xr:uid="{00000000-0005-0000-0000-0000B7C10000}"/>
    <cellStyle name="Total 2 39 2 5" xfId="49592" xr:uid="{00000000-0005-0000-0000-0000B8C10000}"/>
    <cellStyle name="Total 2 39 3" xfId="49593" xr:uid="{00000000-0005-0000-0000-0000B9C10000}"/>
    <cellStyle name="Total 2 39 4" xfId="49594" xr:uid="{00000000-0005-0000-0000-0000BAC10000}"/>
    <cellStyle name="Total 2 39 5" xfId="49595" xr:uid="{00000000-0005-0000-0000-0000BBC10000}"/>
    <cellStyle name="Total 2 39 6" xfId="49596" xr:uid="{00000000-0005-0000-0000-0000BCC10000}"/>
    <cellStyle name="Total 2 4" xfId="49597" xr:uid="{00000000-0005-0000-0000-0000BDC10000}"/>
    <cellStyle name="Total 2 4 2" xfId="49598" xr:uid="{00000000-0005-0000-0000-0000BEC10000}"/>
    <cellStyle name="Total 2 4 2 10" xfId="49599" xr:uid="{00000000-0005-0000-0000-0000BFC10000}"/>
    <cellStyle name="Total 2 4 2 10 2" xfId="49600" xr:uid="{00000000-0005-0000-0000-0000C0C10000}"/>
    <cellStyle name="Total 2 4 2 10 3" xfId="49601" xr:uid="{00000000-0005-0000-0000-0000C1C10000}"/>
    <cellStyle name="Total 2 4 2 10 4" xfId="49602" xr:uid="{00000000-0005-0000-0000-0000C2C10000}"/>
    <cellStyle name="Total 2 4 2 10 5" xfId="49603" xr:uid="{00000000-0005-0000-0000-0000C3C10000}"/>
    <cellStyle name="Total 2 4 2 11" xfId="49604" xr:uid="{00000000-0005-0000-0000-0000C4C10000}"/>
    <cellStyle name="Total 2 4 2 12" xfId="49605" xr:uid="{00000000-0005-0000-0000-0000C5C10000}"/>
    <cellStyle name="Total 2 4 2 13" xfId="49606" xr:uid="{00000000-0005-0000-0000-0000C6C10000}"/>
    <cellStyle name="Total 2 4 2 14" xfId="49607" xr:uid="{00000000-0005-0000-0000-0000C7C10000}"/>
    <cellStyle name="Total 2 4 2 2" xfId="49608" xr:uid="{00000000-0005-0000-0000-0000C8C10000}"/>
    <cellStyle name="Total 2 4 2 2 2" xfId="49609" xr:uid="{00000000-0005-0000-0000-0000C9C10000}"/>
    <cellStyle name="Total 2 4 2 2 2 2" xfId="49610" xr:uid="{00000000-0005-0000-0000-0000CAC10000}"/>
    <cellStyle name="Total 2 4 2 2 2 2 2" xfId="49611" xr:uid="{00000000-0005-0000-0000-0000CBC10000}"/>
    <cellStyle name="Total 2 4 2 2 2 2 3" xfId="49612" xr:uid="{00000000-0005-0000-0000-0000CCC10000}"/>
    <cellStyle name="Total 2 4 2 2 2 2 4" xfId="49613" xr:uid="{00000000-0005-0000-0000-0000CDC10000}"/>
    <cellStyle name="Total 2 4 2 2 2 2 5" xfId="49614" xr:uid="{00000000-0005-0000-0000-0000CEC10000}"/>
    <cellStyle name="Total 2 4 2 2 2 2 6" xfId="49615" xr:uid="{00000000-0005-0000-0000-0000CFC10000}"/>
    <cellStyle name="Total 2 4 2 2 2 3" xfId="49616" xr:uid="{00000000-0005-0000-0000-0000D0C10000}"/>
    <cellStyle name="Total 2 4 2 2 2 4" xfId="49617" xr:uid="{00000000-0005-0000-0000-0000D1C10000}"/>
    <cellStyle name="Total 2 4 2 2 2 5" xfId="49618" xr:uid="{00000000-0005-0000-0000-0000D2C10000}"/>
    <cellStyle name="Total 2 4 2 2 2 6" xfId="49619" xr:uid="{00000000-0005-0000-0000-0000D3C10000}"/>
    <cellStyle name="Total 2 4 2 2 3" xfId="49620" xr:uid="{00000000-0005-0000-0000-0000D4C10000}"/>
    <cellStyle name="Total 2 4 2 2 3 2" xfId="49621" xr:uid="{00000000-0005-0000-0000-0000D5C10000}"/>
    <cellStyle name="Total 2 4 2 2 3 2 2" xfId="49622" xr:uid="{00000000-0005-0000-0000-0000D6C10000}"/>
    <cellStyle name="Total 2 4 2 2 3 2 3" xfId="49623" xr:uid="{00000000-0005-0000-0000-0000D7C10000}"/>
    <cellStyle name="Total 2 4 2 2 3 2 4" xfId="49624" xr:uid="{00000000-0005-0000-0000-0000D8C10000}"/>
    <cellStyle name="Total 2 4 2 2 3 2 5" xfId="49625" xr:uid="{00000000-0005-0000-0000-0000D9C10000}"/>
    <cellStyle name="Total 2 4 2 2 3 2 6" xfId="49626" xr:uid="{00000000-0005-0000-0000-0000DAC10000}"/>
    <cellStyle name="Total 2 4 2 2 3 3" xfId="49627" xr:uid="{00000000-0005-0000-0000-0000DBC10000}"/>
    <cellStyle name="Total 2 4 2 2 3 4" xfId="49628" xr:uid="{00000000-0005-0000-0000-0000DCC10000}"/>
    <cellStyle name="Total 2 4 2 2 3 5" xfId="49629" xr:uid="{00000000-0005-0000-0000-0000DDC10000}"/>
    <cellStyle name="Total 2 4 2 2 3 6" xfId="49630" xr:uid="{00000000-0005-0000-0000-0000DEC10000}"/>
    <cellStyle name="Total 2 4 2 2 4" xfId="49631" xr:uid="{00000000-0005-0000-0000-0000DFC10000}"/>
    <cellStyle name="Total 2 4 2 2 4 2" xfId="49632" xr:uid="{00000000-0005-0000-0000-0000E0C10000}"/>
    <cellStyle name="Total 2 4 2 2 4 3" xfId="49633" xr:uid="{00000000-0005-0000-0000-0000E1C10000}"/>
    <cellStyle name="Total 2 4 2 2 4 4" xfId="49634" xr:uid="{00000000-0005-0000-0000-0000E2C10000}"/>
    <cellStyle name="Total 2 4 2 2 4 5" xfId="49635" xr:uid="{00000000-0005-0000-0000-0000E3C10000}"/>
    <cellStyle name="Total 2 4 2 2 4 6" xfId="49636" xr:uid="{00000000-0005-0000-0000-0000E4C10000}"/>
    <cellStyle name="Total 2 4 2 2 5" xfId="49637" xr:uid="{00000000-0005-0000-0000-0000E5C10000}"/>
    <cellStyle name="Total 2 4 2 2 6" xfId="49638" xr:uid="{00000000-0005-0000-0000-0000E6C10000}"/>
    <cellStyle name="Total 2 4 2 2 7" xfId="49639" xr:uid="{00000000-0005-0000-0000-0000E7C10000}"/>
    <cellStyle name="Total 2 4 2 2 8" xfId="49640" xr:uid="{00000000-0005-0000-0000-0000E8C10000}"/>
    <cellStyle name="Total 2 4 2 3" xfId="49641" xr:uid="{00000000-0005-0000-0000-0000E9C10000}"/>
    <cellStyle name="Total 2 4 2 3 2" xfId="49642" xr:uid="{00000000-0005-0000-0000-0000EAC10000}"/>
    <cellStyle name="Total 2 4 2 3 2 2" xfId="49643" xr:uid="{00000000-0005-0000-0000-0000EBC10000}"/>
    <cellStyle name="Total 2 4 2 3 2 2 2" xfId="49644" xr:uid="{00000000-0005-0000-0000-0000ECC10000}"/>
    <cellStyle name="Total 2 4 2 3 2 2 3" xfId="49645" xr:uid="{00000000-0005-0000-0000-0000EDC10000}"/>
    <cellStyle name="Total 2 4 2 3 2 2 4" xfId="49646" xr:uid="{00000000-0005-0000-0000-0000EEC10000}"/>
    <cellStyle name="Total 2 4 2 3 2 2 5" xfId="49647" xr:uid="{00000000-0005-0000-0000-0000EFC10000}"/>
    <cellStyle name="Total 2 4 2 3 2 2 6" xfId="49648" xr:uid="{00000000-0005-0000-0000-0000F0C10000}"/>
    <cellStyle name="Total 2 4 2 3 2 3" xfId="49649" xr:uid="{00000000-0005-0000-0000-0000F1C10000}"/>
    <cellStyle name="Total 2 4 2 3 2 4" xfId="49650" xr:uid="{00000000-0005-0000-0000-0000F2C10000}"/>
    <cellStyle name="Total 2 4 2 3 2 5" xfId="49651" xr:uid="{00000000-0005-0000-0000-0000F3C10000}"/>
    <cellStyle name="Total 2 4 2 3 2 6" xfId="49652" xr:uid="{00000000-0005-0000-0000-0000F4C10000}"/>
    <cellStyle name="Total 2 4 2 3 3" xfId="49653" xr:uid="{00000000-0005-0000-0000-0000F5C10000}"/>
    <cellStyle name="Total 2 4 2 3 3 2" xfId="49654" xr:uid="{00000000-0005-0000-0000-0000F6C10000}"/>
    <cellStyle name="Total 2 4 2 3 3 2 2" xfId="49655" xr:uid="{00000000-0005-0000-0000-0000F7C10000}"/>
    <cellStyle name="Total 2 4 2 3 3 2 3" xfId="49656" xr:uid="{00000000-0005-0000-0000-0000F8C10000}"/>
    <cellStyle name="Total 2 4 2 3 3 2 4" xfId="49657" xr:uid="{00000000-0005-0000-0000-0000F9C10000}"/>
    <cellStyle name="Total 2 4 2 3 3 2 5" xfId="49658" xr:uid="{00000000-0005-0000-0000-0000FAC10000}"/>
    <cellStyle name="Total 2 4 2 3 3 2 6" xfId="49659" xr:uid="{00000000-0005-0000-0000-0000FBC10000}"/>
    <cellStyle name="Total 2 4 2 3 3 3" xfId="49660" xr:uid="{00000000-0005-0000-0000-0000FCC10000}"/>
    <cellStyle name="Total 2 4 2 3 3 4" xfId="49661" xr:uid="{00000000-0005-0000-0000-0000FDC10000}"/>
    <cellStyle name="Total 2 4 2 3 3 5" xfId="49662" xr:uid="{00000000-0005-0000-0000-0000FEC10000}"/>
    <cellStyle name="Total 2 4 2 3 3 6" xfId="49663" xr:uid="{00000000-0005-0000-0000-0000FFC10000}"/>
    <cellStyle name="Total 2 4 2 3 4" xfId="49664" xr:uid="{00000000-0005-0000-0000-000000C20000}"/>
    <cellStyle name="Total 2 4 2 3 4 2" xfId="49665" xr:uid="{00000000-0005-0000-0000-000001C20000}"/>
    <cellStyle name="Total 2 4 2 3 4 3" xfId="49666" xr:uid="{00000000-0005-0000-0000-000002C20000}"/>
    <cellStyle name="Total 2 4 2 3 4 4" xfId="49667" xr:uid="{00000000-0005-0000-0000-000003C20000}"/>
    <cellStyle name="Total 2 4 2 3 4 5" xfId="49668" xr:uid="{00000000-0005-0000-0000-000004C20000}"/>
    <cellStyle name="Total 2 4 2 3 4 6" xfId="49669" xr:uid="{00000000-0005-0000-0000-000005C20000}"/>
    <cellStyle name="Total 2 4 2 3 5" xfId="49670" xr:uid="{00000000-0005-0000-0000-000006C20000}"/>
    <cellStyle name="Total 2 4 2 3 6" xfId="49671" xr:uid="{00000000-0005-0000-0000-000007C20000}"/>
    <cellStyle name="Total 2 4 2 3 7" xfId="49672" xr:uid="{00000000-0005-0000-0000-000008C20000}"/>
    <cellStyle name="Total 2 4 2 3 8" xfId="49673" xr:uid="{00000000-0005-0000-0000-000009C20000}"/>
    <cellStyle name="Total 2 4 2 4" xfId="49674" xr:uid="{00000000-0005-0000-0000-00000AC20000}"/>
    <cellStyle name="Total 2 4 2 4 2" xfId="49675" xr:uid="{00000000-0005-0000-0000-00000BC20000}"/>
    <cellStyle name="Total 2 4 2 4 2 2" xfId="49676" xr:uid="{00000000-0005-0000-0000-00000CC20000}"/>
    <cellStyle name="Total 2 4 2 4 2 2 2" xfId="49677" xr:uid="{00000000-0005-0000-0000-00000DC20000}"/>
    <cellStyle name="Total 2 4 2 4 2 2 3" xfId="49678" xr:uid="{00000000-0005-0000-0000-00000EC20000}"/>
    <cellStyle name="Total 2 4 2 4 2 2 4" xfId="49679" xr:uid="{00000000-0005-0000-0000-00000FC20000}"/>
    <cellStyle name="Total 2 4 2 4 2 2 5" xfId="49680" xr:uid="{00000000-0005-0000-0000-000010C20000}"/>
    <cellStyle name="Total 2 4 2 4 2 2 6" xfId="49681" xr:uid="{00000000-0005-0000-0000-000011C20000}"/>
    <cellStyle name="Total 2 4 2 4 2 3" xfId="49682" xr:uid="{00000000-0005-0000-0000-000012C20000}"/>
    <cellStyle name="Total 2 4 2 4 2 4" xfId="49683" xr:uid="{00000000-0005-0000-0000-000013C20000}"/>
    <cellStyle name="Total 2 4 2 4 2 5" xfId="49684" xr:uid="{00000000-0005-0000-0000-000014C20000}"/>
    <cellStyle name="Total 2 4 2 4 2 6" xfId="49685" xr:uid="{00000000-0005-0000-0000-000015C20000}"/>
    <cellStyle name="Total 2 4 2 4 3" xfId="49686" xr:uid="{00000000-0005-0000-0000-000016C20000}"/>
    <cellStyle name="Total 2 4 2 4 3 2" xfId="49687" xr:uid="{00000000-0005-0000-0000-000017C20000}"/>
    <cellStyle name="Total 2 4 2 4 3 2 2" xfId="49688" xr:uid="{00000000-0005-0000-0000-000018C20000}"/>
    <cellStyle name="Total 2 4 2 4 3 2 3" xfId="49689" xr:uid="{00000000-0005-0000-0000-000019C20000}"/>
    <cellStyle name="Total 2 4 2 4 3 2 4" xfId="49690" xr:uid="{00000000-0005-0000-0000-00001AC20000}"/>
    <cellStyle name="Total 2 4 2 4 3 2 5" xfId="49691" xr:uid="{00000000-0005-0000-0000-00001BC20000}"/>
    <cellStyle name="Total 2 4 2 4 3 2 6" xfId="49692" xr:uid="{00000000-0005-0000-0000-00001CC20000}"/>
    <cellStyle name="Total 2 4 2 4 3 3" xfId="49693" xr:uid="{00000000-0005-0000-0000-00001DC20000}"/>
    <cellStyle name="Total 2 4 2 4 3 4" xfId="49694" xr:uid="{00000000-0005-0000-0000-00001EC20000}"/>
    <cellStyle name="Total 2 4 2 4 3 5" xfId="49695" xr:uid="{00000000-0005-0000-0000-00001FC20000}"/>
    <cellStyle name="Total 2 4 2 4 3 6" xfId="49696" xr:uid="{00000000-0005-0000-0000-000020C20000}"/>
    <cellStyle name="Total 2 4 2 4 4" xfId="49697" xr:uid="{00000000-0005-0000-0000-000021C20000}"/>
    <cellStyle name="Total 2 4 2 4 4 2" xfId="49698" xr:uid="{00000000-0005-0000-0000-000022C20000}"/>
    <cellStyle name="Total 2 4 2 4 4 3" xfId="49699" xr:uid="{00000000-0005-0000-0000-000023C20000}"/>
    <cellStyle name="Total 2 4 2 4 4 4" xfId="49700" xr:uid="{00000000-0005-0000-0000-000024C20000}"/>
    <cellStyle name="Total 2 4 2 4 4 5" xfId="49701" xr:uid="{00000000-0005-0000-0000-000025C20000}"/>
    <cellStyle name="Total 2 4 2 4 4 6" xfId="49702" xr:uid="{00000000-0005-0000-0000-000026C20000}"/>
    <cellStyle name="Total 2 4 2 4 5" xfId="49703" xr:uid="{00000000-0005-0000-0000-000027C20000}"/>
    <cellStyle name="Total 2 4 2 4 6" xfId="49704" xr:uid="{00000000-0005-0000-0000-000028C20000}"/>
    <cellStyle name="Total 2 4 2 4 7" xfId="49705" xr:uid="{00000000-0005-0000-0000-000029C20000}"/>
    <cellStyle name="Total 2 4 2 4 8" xfId="49706" xr:uid="{00000000-0005-0000-0000-00002AC20000}"/>
    <cellStyle name="Total 2 4 2 5" xfId="49707" xr:uid="{00000000-0005-0000-0000-00002BC20000}"/>
    <cellStyle name="Total 2 4 2 5 2" xfId="49708" xr:uid="{00000000-0005-0000-0000-00002CC20000}"/>
    <cellStyle name="Total 2 4 2 5 2 2" xfId="49709" xr:uid="{00000000-0005-0000-0000-00002DC20000}"/>
    <cellStyle name="Total 2 4 2 5 2 2 2" xfId="49710" xr:uid="{00000000-0005-0000-0000-00002EC20000}"/>
    <cellStyle name="Total 2 4 2 5 2 2 3" xfId="49711" xr:uid="{00000000-0005-0000-0000-00002FC20000}"/>
    <cellStyle name="Total 2 4 2 5 2 2 4" xfId="49712" xr:uid="{00000000-0005-0000-0000-000030C20000}"/>
    <cellStyle name="Total 2 4 2 5 2 2 5" xfId="49713" xr:uid="{00000000-0005-0000-0000-000031C20000}"/>
    <cellStyle name="Total 2 4 2 5 2 2 6" xfId="49714" xr:uid="{00000000-0005-0000-0000-000032C20000}"/>
    <cellStyle name="Total 2 4 2 5 2 3" xfId="49715" xr:uid="{00000000-0005-0000-0000-000033C20000}"/>
    <cellStyle name="Total 2 4 2 5 2 4" xfId="49716" xr:uid="{00000000-0005-0000-0000-000034C20000}"/>
    <cellStyle name="Total 2 4 2 5 2 5" xfId="49717" xr:uid="{00000000-0005-0000-0000-000035C20000}"/>
    <cellStyle name="Total 2 4 2 5 2 6" xfId="49718" xr:uid="{00000000-0005-0000-0000-000036C20000}"/>
    <cellStyle name="Total 2 4 2 5 3" xfId="49719" xr:uid="{00000000-0005-0000-0000-000037C20000}"/>
    <cellStyle name="Total 2 4 2 5 3 2" xfId="49720" xr:uid="{00000000-0005-0000-0000-000038C20000}"/>
    <cellStyle name="Total 2 4 2 5 3 2 2" xfId="49721" xr:uid="{00000000-0005-0000-0000-000039C20000}"/>
    <cellStyle name="Total 2 4 2 5 3 2 3" xfId="49722" xr:uid="{00000000-0005-0000-0000-00003AC20000}"/>
    <cellStyle name="Total 2 4 2 5 3 2 4" xfId="49723" xr:uid="{00000000-0005-0000-0000-00003BC20000}"/>
    <cellStyle name="Total 2 4 2 5 3 2 5" xfId="49724" xr:uid="{00000000-0005-0000-0000-00003CC20000}"/>
    <cellStyle name="Total 2 4 2 5 3 2 6" xfId="49725" xr:uid="{00000000-0005-0000-0000-00003DC20000}"/>
    <cellStyle name="Total 2 4 2 5 3 3" xfId="49726" xr:uid="{00000000-0005-0000-0000-00003EC20000}"/>
    <cellStyle name="Total 2 4 2 5 3 4" xfId="49727" xr:uid="{00000000-0005-0000-0000-00003FC20000}"/>
    <cellStyle name="Total 2 4 2 5 3 5" xfId="49728" xr:uid="{00000000-0005-0000-0000-000040C20000}"/>
    <cellStyle name="Total 2 4 2 5 3 6" xfId="49729" xr:uid="{00000000-0005-0000-0000-000041C20000}"/>
    <cellStyle name="Total 2 4 2 5 4" xfId="49730" xr:uid="{00000000-0005-0000-0000-000042C20000}"/>
    <cellStyle name="Total 2 4 2 5 4 2" xfId="49731" xr:uid="{00000000-0005-0000-0000-000043C20000}"/>
    <cellStyle name="Total 2 4 2 5 4 3" xfId="49732" xr:uid="{00000000-0005-0000-0000-000044C20000}"/>
    <cellStyle name="Total 2 4 2 5 4 4" xfId="49733" xr:uid="{00000000-0005-0000-0000-000045C20000}"/>
    <cellStyle name="Total 2 4 2 5 4 5" xfId="49734" xr:uid="{00000000-0005-0000-0000-000046C20000}"/>
    <cellStyle name="Total 2 4 2 5 4 6" xfId="49735" xr:uid="{00000000-0005-0000-0000-000047C20000}"/>
    <cellStyle name="Total 2 4 2 5 5" xfId="49736" xr:uid="{00000000-0005-0000-0000-000048C20000}"/>
    <cellStyle name="Total 2 4 2 5 6" xfId="49737" xr:uid="{00000000-0005-0000-0000-000049C20000}"/>
    <cellStyle name="Total 2 4 2 5 7" xfId="49738" xr:uid="{00000000-0005-0000-0000-00004AC20000}"/>
    <cellStyle name="Total 2 4 2 5 8" xfId="49739" xr:uid="{00000000-0005-0000-0000-00004BC20000}"/>
    <cellStyle name="Total 2 4 2 6" xfId="49740" xr:uid="{00000000-0005-0000-0000-00004CC20000}"/>
    <cellStyle name="Total 2 4 2 6 2" xfId="49741" xr:uid="{00000000-0005-0000-0000-00004DC20000}"/>
    <cellStyle name="Total 2 4 2 6 2 2" xfId="49742" xr:uid="{00000000-0005-0000-0000-00004EC20000}"/>
    <cellStyle name="Total 2 4 2 6 2 2 2" xfId="49743" xr:uid="{00000000-0005-0000-0000-00004FC20000}"/>
    <cellStyle name="Total 2 4 2 6 2 2 3" xfId="49744" xr:uid="{00000000-0005-0000-0000-000050C20000}"/>
    <cellStyle name="Total 2 4 2 6 2 2 4" xfId="49745" xr:uid="{00000000-0005-0000-0000-000051C20000}"/>
    <cellStyle name="Total 2 4 2 6 2 2 5" xfId="49746" xr:uid="{00000000-0005-0000-0000-000052C20000}"/>
    <cellStyle name="Total 2 4 2 6 2 2 6" xfId="49747" xr:uid="{00000000-0005-0000-0000-000053C20000}"/>
    <cellStyle name="Total 2 4 2 6 2 3" xfId="49748" xr:uid="{00000000-0005-0000-0000-000054C20000}"/>
    <cellStyle name="Total 2 4 2 6 2 4" xfId="49749" xr:uid="{00000000-0005-0000-0000-000055C20000}"/>
    <cellStyle name="Total 2 4 2 6 2 5" xfId="49750" xr:uid="{00000000-0005-0000-0000-000056C20000}"/>
    <cellStyle name="Total 2 4 2 6 2 6" xfId="49751" xr:uid="{00000000-0005-0000-0000-000057C20000}"/>
    <cellStyle name="Total 2 4 2 6 3" xfId="49752" xr:uid="{00000000-0005-0000-0000-000058C20000}"/>
    <cellStyle name="Total 2 4 2 6 3 2" xfId="49753" xr:uid="{00000000-0005-0000-0000-000059C20000}"/>
    <cellStyle name="Total 2 4 2 6 3 2 2" xfId="49754" xr:uid="{00000000-0005-0000-0000-00005AC20000}"/>
    <cellStyle name="Total 2 4 2 6 3 2 3" xfId="49755" xr:uid="{00000000-0005-0000-0000-00005BC20000}"/>
    <cellStyle name="Total 2 4 2 6 3 2 4" xfId="49756" xr:uid="{00000000-0005-0000-0000-00005CC20000}"/>
    <cellStyle name="Total 2 4 2 6 3 2 5" xfId="49757" xr:uid="{00000000-0005-0000-0000-00005DC20000}"/>
    <cellStyle name="Total 2 4 2 6 3 2 6" xfId="49758" xr:uid="{00000000-0005-0000-0000-00005EC20000}"/>
    <cellStyle name="Total 2 4 2 6 3 3" xfId="49759" xr:uid="{00000000-0005-0000-0000-00005FC20000}"/>
    <cellStyle name="Total 2 4 2 6 3 4" xfId="49760" xr:uid="{00000000-0005-0000-0000-000060C20000}"/>
    <cellStyle name="Total 2 4 2 6 3 5" xfId="49761" xr:uid="{00000000-0005-0000-0000-000061C20000}"/>
    <cellStyle name="Total 2 4 2 6 3 6" xfId="49762" xr:uid="{00000000-0005-0000-0000-000062C20000}"/>
    <cellStyle name="Total 2 4 2 6 4" xfId="49763" xr:uid="{00000000-0005-0000-0000-000063C20000}"/>
    <cellStyle name="Total 2 4 2 6 4 2" xfId="49764" xr:uid="{00000000-0005-0000-0000-000064C20000}"/>
    <cellStyle name="Total 2 4 2 6 4 3" xfId="49765" xr:uid="{00000000-0005-0000-0000-000065C20000}"/>
    <cellStyle name="Total 2 4 2 6 4 4" xfId="49766" xr:uid="{00000000-0005-0000-0000-000066C20000}"/>
    <cellStyle name="Total 2 4 2 6 4 5" xfId="49767" xr:uid="{00000000-0005-0000-0000-000067C20000}"/>
    <cellStyle name="Total 2 4 2 6 4 6" xfId="49768" xr:uid="{00000000-0005-0000-0000-000068C20000}"/>
    <cellStyle name="Total 2 4 2 6 5" xfId="49769" xr:uid="{00000000-0005-0000-0000-000069C20000}"/>
    <cellStyle name="Total 2 4 2 6 6" xfId="49770" xr:uid="{00000000-0005-0000-0000-00006AC20000}"/>
    <cellStyle name="Total 2 4 2 6 7" xfId="49771" xr:uid="{00000000-0005-0000-0000-00006BC20000}"/>
    <cellStyle name="Total 2 4 2 6 8" xfId="49772" xr:uid="{00000000-0005-0000-0000-00006CC20000}"/>
    <cellStyle name="Total 2 4 2 7" xfId="49773" xr:uid="{00000000-0005-0000-0000-00006DC20000}"/>
    <cellStyle name="Total 2 4 2 7 2" xfId="49774" xr:uid="{00000000-0005-0000-0000-00006EC20000}"/>
    <cellStyle name="Total 2 4 2 7 2 2" xfId="49775" xr:uid="{00000000-0005-0000-0000-00006FC20000}"/>
    <cellStyle name="Total 2 4 2 7 2 3" xfId="49776" xr:uid="{00000000-0005-0000-0000-000070C20000}"/>
    <cellStyle name="Total 2 4 2 7 2 4" xfId="49777" xr:uid="{00000000-0005-0000-0000-000071C20000}"/>
    <cellStyle name="Total 2 4 2 7 2 5" xfId="49778" xr:uid="{00000000-0005-0000-0000-000072C20000}"/>
    <cellStyle name="Total 2 4 2 7 2 6" xfId="49779" xr:uid="{00000000-0005-0000-0000-000073C20000}"/>
    <cellStyle name="Total 2 4 2 7 3" xfId="49780" xr:uid="{00000000-0005-0000-0000-000074C20000}"/>
    <cellStyle name="Total 2 4 2 7 4" xfId="49781" xr:uid="{00000000-0005-0000-0000-000075C20000}"/>
    <cellStyle name="Total 2 4 2 7 5" xfId="49782" xr:uid="{00000000-0005-0000-0000-000076C20000}"/>
    <cellStyle name="Total 2 4 2 7 6" xfId="49783" xr:uid="{00000000-0005-0000-0000-000077C20000}"/>
    <cellStyle name="Total 2 4 2 8" xfId="49784" xr:uid="{00000000-0005-0000-0000-000078C20000}"/>
    <cellStyle name="Total 2 4 2 8 2" xfId="49785" xr:uid="{00000000-0005-0000-0000-000079C20000}"/>
    <cellStyle name="Total 2 4 2 8 2 2" xfId="49786" xr:uid="{00000000-0005-0000-0000-00007AC20000}"/>
    <cellStyle name="Total 2 4 2 8 2 3" xfId="49787" xr:uid="{00000000-0005-0000-0000-00007BC20000}"/>
    <cellStyle name="Total 2 4 2 8 2 4" xfId="49788" xr:uid="{00000000-0005-0000-0000-00007CC20000}"/>
    <cellStyle name="Total 2 4 2 8 2 5" xfId="49789" xr:uid="{00000000-0005-0000-0000-00007DC20000}"/>
    <cellStyle name="Total 2 4 2 8 2 6" xfId="49790" xr:uid="{00000000-0005-0000-0000-00007EC20000}"/>
    <cellStyle name="Total 2 4 2 8 3" xfId="49791" xr:uid="{00000000-0005-0000-0000-00007FC20000}"/>
    <cellStyle name="Total 2 4 2 8 4" xfId="49792" xr:uid="{00000000-0005-0000-0000-000080C20000}"/>
    <cellStyle name="Total 2 4 2 8 5" xfId="49793" xr:uid="{00000000-0005-0000-0000-000081C20000}"/>
    <cellStyle name="Total 2 4 2 8 6" xfId="49794" xr:uid="{00000000-0005-0000-0000-000082C20000}"/>
    <cellStyle name="Total 2 4 2 9" xfId="49795" xr:uid="{00000000-0005-0000-0000-000083C20000}"/>
    <cellStyle name="Total 2 4 2 9 2" xfId="49796" xr:uid="{00000000-0005-0000-0000-000084C20000}"/>
    <cellStyle name="Total 2 4 2 9 3" xfId="49797" xr:uid="{00000000-0005-0000-0000-000085C20000}"/>
    <cellStyle name="Total 2 4 2 9 4" xfId="49798" xr:uid="{00000000-0005-0000-0000-000086C20000}"/>
    <cellStyle name="Total 2 4 2 9 5" xfId="49799" xr:uid="{00000000-0005-0000-0000-000087C20000}"/>
    <cellStyle name="Total 2 4 2 9 6" xfId="49800" xr:uid="{00000000-0005-0000-0000-000088C20000}"/>
    <cellStyle name="Total 2 4 3" xfId="49801" xr:uid="{00000000-0005-0000-0000-000089C20000}"/>
    <cellStyle name="Total 2 4 3 2" xfId="49802" xr:uid="{00000000-0005-0000-0000-00008AC20000}"/>
    <cellStyle name="Total 2 4 3 3" xfId="49803" xr:uid="{00000000-0005-0000-0000-00008BC20000}"/>
    <cellStyle name="Total 2 4 3 4" xfId="49804" xr:uid="{00000000-0005-0000-0000-00008CC20000}"/>
    <cellStyle name="Total 2 4 3 5" xfId="49805" xr:uid="{00000000-0005-0000-0000-00008DC20000}"/>
    <cellStyle name="Total 2 4 3 6" xfId="49806" xr:uid="{00000000-0005-0000-0000-00008EC20000}"/>
    <cellStyle name="Total 2 4 4" xfId="49807" xr:uid="{00000000-0005-0000-0000-00008FC20000}"/>
    <cellStyle name="Total 2 4 4 2" xfId="49808" xr:uid="{00000000-0005-0000-0000-000090C20000}"/>
    <cellStyle name="Total 2 4 4 3" xfId="49809" xr:uid="{00000000-0005-0000-0000-000091C20000}"/>
    <cellStyle name="Total 2 4 4 4" xfId="49810" xr:uid="{00000000-0005-0000-0000-000092C20000}"/>
    <cellStyle name="Total 2 4 4 5" xfId="49811" xr:uid="{00000000-0005-0000-0000-000093C20000}"/>
    <cellStyle name="Total 2 4 5" xfId="49812" xr:uid="{00000000-0005-0000-0000-000094C20000}"/>
    <cellStyle name="Total 2 4 6" xfId="49813" xr:uid="{00000000-0005-0000-0000-000095C20000}"/>
    <cellStyle name="Total 2 4 7" xfId="49814" xr:uid="{00000000-0005-0000-0000-000096C20000}"/>
    <cellStyle name="Total 2 4 8" xfId="49815" xr:uid="{00000000-0005-0000-0000-000097C20000}"/>
    <cellStyle name="Total 2 40" xfId="49816" xr:uid="{00000000-0005-0000-0000-000098C20000}"/>
    <cellStyle name="Total 2 40 2" xfId="49817" xr:uid="{00000000-0005-0000-0000-000099C20000}"/>
    <cellStyle name="Total 2 40 2 2" xfId="49818" xr:uid="{00000000-0005-0000-0000-00009AC20000}"/>
    <cellStyle name="Total 2 40 2 3" xfId="49819" xr:uid="{00000000-0005-0000-0000-00009BC20000}"/>
    <cellStyle name="Total 2 40 2 4" xfId="49820" xr:uid="{00000000-0005-0000-0000-00009CC20000}"/>
    <cellStyle name="Total 2 40 2 5" xfId="49821" xr:uid="{00000000-0005-0000-0000-00009DC20000}"/>
    <cellStyle name="Total 2 40 3" xfId="49822" xr:uid="{00000000-0005-0000-0000-00009EC20000}"/>
    <cellStyle name="Total 2 40 4" xfId="49823" xr:uid="{00000000-0005-0000-0000-00009FC20000}"/>
    <cellStyle name="Total 2 40 5" xfId="49824" xr:uid="{00000000-0005-0000-0000-0000A0C20000}"/>
    <cellStyle name="Total 2 40 6" xfId="49825" xr:uid="{00000000-0005-0000-0000-0000A1C20000}"/>
    <cellStyle name="Total 2 41" xfId="49826" xr:uid="{00000000-0005-0000-0000-0000A2C20000}"/>
    <cellStyle name="Total 2 41 2" xfId="49827" xr:uid="{00000000-0005-0000-0000-0000A3C20000}"/>
    <cellStyle name="Total 2 41 2 2" xfId="49828" xr:uid="{00000000-0005-0000-0000-0000A4C20000}"/>
    <cellStyle name="Total 2 41 2 3" xfId="49829" xr:uid="{00000000-0005-0000-0000-0000A5C20000}"/>
    <cellStyle name="Total 2 41 2 4" xfId="49830" xr:uid="{00000000-0005-0000-0000-0000A6C20000}"/>
    <cellStyle name="Total 2 41 2 5" xfId="49831" xr:uid="{00000000-0005-0000-0000-0000A7C20000}"/>
    <cellStyle name="Total 2 41 3" xfId="49832" xr:uid="{00000000-0005-0000-0000-0000A8C20000}"/>
    <cellStyle name="Total 2 41 4" xfId="49833" xr:uid="{00000000-0005-0000-0000-0000A9C20000}"/>
    <cellStyle name="Total 2 41 5" xfId="49834" xr:uid="{00000000-0005-0000-0000-0000AAC20000}"/>
    <cellStyle name="Total 2 41 6" xfId="49835" xr:uid="{00000000-0005-0000-0000-0000ABC20000}"/>
    <cellStyle name="Total 2 42" xfId="49836" xr:uid="{00000000-0005-0000-0000-0000ACC20000}"/>
    <cellStyle name="Total 2 42 2" xfId="49837" xr:uid="{00000000-0005-0000-0000-0000ADC20000}"/>
    <cellStyle name="Total 2 42 2 2" xfId="49838" xr:uid="{00000000-0005-0000-0000-0000AEC20000}"/>
    <cellStyle name="Total 2 42 2 3" xfId="49839" xr:uid="{00000000-0005-0000-0000-0000AFC20000}"/>
    <cellStyle name="Total 2 42 2 4" xfId="49840" xr:uid="{00000000-0005-0000-0000-0000B0C20000}"/>
    <cellStyle name="Total 2 42 2 5" xfId="49841" xr:uid="{00000000-0005-0000-0000-0000B1C20000}"/>
    <cellStyle name="Total 2 42 3" xfId="49842" xr:uid="{00000000-0005-0000-0000-0000B2C20000}"/>
    <cellStyle name="Total 2 42 4" xfId="49843" xr:uid="{00000000-0005-0000-0000-0000B3C20000}"/>
    <cellStyle name="Total 2 42 5" xfId="49844" xr:uid="{00000000-0005-0000-0000-0000B4C20000}"/>
    <cellStyle name="Total 2 42 6" xfId="49845" xr:uid="{00000000-0005-0000-0000-0000B5C20000}"/>
    <cellStyle name="Total 2 43" xfId="49846" xr:uid="{00000000-0005-0000-0000-0000B6C20000}"/>
    <cellStyle name="Total 2 43 2" xfId="49847" xr:uid="{00000000-0005-0000-0000-0000B7C20000}"/>
    <cellStyle name="Total 2 43 2 2" xfId="49848" xr:uid="{00000000-0005-0000-0000-0000B8C20000}"/>
    <cellStyle name="Total 2 43 2 3" xfId="49849" xr:uid="{00000000-0005-0000-0000-0000B9C20000}"/>
    <cellStyle name="Total 2 43 2 4" xfId="49850" xr:uid="{00000000-0005-0000-0000-0000BAC20000}"/>
    <cellStyle name="Total 2 43 2 5" xfId="49851" xr:uid="{00000000-0005-0000-0000-0000BBC20000}"/>
    <cellStyle name="Total 2 43 3" xfId="49852" xr:uid="{00000000-0005-0000-0000-0000BCC20000}"/>
    <cellStyle name="Total 2 43 4" xfId="49853" xr:uid="{00000000-0005-0000-0000-0000BDC20000}"/>
    <cellStyle name="Total 2 43 5" xfId="49854" xr:uid="{00000000-0005-0000-0000-0000BEC20000}"/>
    <cellStyle name="Total 2 43 6" xfId="49855" xr:uid="{00000000-0005-0000-0000-0000BFC20000}"/>
    <cellStyle name="Total 2 44" xfId="49856" xr:uid="{00000000-0005-0000-0000-0000C0C20000}"/>
    <cellStyle name="Total 2 44 2" xfId="49857" xr:uid="{00000000-0005-0000-0000-0000C1C20000}"/>
    <cellStyle name="Total 2 44 3" xfId="49858" xr:uid="{00000000-0005-0000-0000-0000C2C20000}"/>
    <cellStyle name="Total 2 44 4" xfId="49859" xr:uid="{00000000-0005-0000-0000-0000C3C20000}"/>
    <cellStyle name="Total 2 44 5" xfId="49860" xr:uid="{00000000-0005-0000-0000-0000C4C20000}"/>
    <cellStyle name="Total 2 45" xfId="49861" xr:uid="{00000000-0005-0000-0000-0000C5C20000}"/>
    <cellStyle name="Total 2 46" xfId="49862" xr:uid="{00000000-0005-0000-0000-0000C6C20000}"/>
    <cellStyle name="Total 2 47" xfId="49863" xr:uid="{00000000-0005-0000-0000-0000C7C20000}"/>
    <cellStyle name="Total 2 48" xfId="49864" xr:uid="{00000000-0005-0000-0000-0000C8C20000}"/>
    <cellStyle name="Total 2 5" xfId="49865" xr:uid="{00000000-0005-0000-0000-0000C9C20000}"/>
    <cellStyle name="Total 2 5 10" xfId="49866" xr:uid="{00000000-0005-0000-0000-0000CAC20000}"/>
    <cellStyle name="Total 2 5 11" xfId="49867" xr:uid="{00000000-0005-0000-0000-0000CBC20000}"/>
    <cellStyle name="Total 2 5 2" xfId="49868" xr:uid="{00000000-0005-0000-0000-0000CCC20000}"/>
    <cellStyle name="Total 2 5 2 2" xfId="49869" xr:uid="{00000000-0005-0000-0000-0000CDC20000}"/>
    <cellStyle name="Total 2 5 2 2 2" xfId="49870" xr:uid="{00000000-0005-0000-0000-0000CEC20000}"/>
    <cellStyle name="Total 2 5 2 2 2 2" xfId="49871" xr:uid="{00000000-0005-0000-0000-0000CFC20000}"/>
    <cellStyle name="Total 2 5 2 2 2 3" xfId="49872" xr:uid="{00000000-0005-0000-0000-0000D0C20000}"/>
    <cellStyle name="Total 2 5 2 2 2 4" xfId="49873" xr:uid="{00000000-0005-0000-0000-0000D1C20000}"/>
    <cellStyle name="Total 2 5 2 2 2 5" xfId="49874" xr:uid="{00000000-0005-0000-0000-0000D2C20000}"/>
    <cellStyle name="Total 2 5 2 2 2 6" xfId="49875" xr:uid="{00000000-0005-0000-0000-0000D3C20000}"/>
    <cellStyle name="Total 2 5 2 2 3" xfId="49876" xr:uid="{00000000-0005-0000-0000-0000D4C20000}"/>
    <cellStyle name="Total 2 5 2 2 4" xfId="49877" xr:uid="{00000000-0005-0000-0000-0000D5C20000}"/>
    <cellStyle name="Total 2 5 2 2 5" xfId="49878" xr:uid="{00000000-0005-0000-0000-0000D6C20000}"/>
    <cellStyle name="Total 2 5 2 2 6" xfId="49879" xr:uid="{00000000-0005-0000-0000-0000D7C20000}"/>
    <cellStyle name="Total 2 5 2 3" xfId="49880" xr:uid="{00000000-0005-0000-0000-0000D8C20000}"/>
    <cellStyle name="Total 2 5 2 3 2" xfId="49881" xr:uid="{00000000-0005-0000-0000-0000D9C20000}"/>
    <cellStyle name="Total 2 5 2 3 2 2" xfId="49882" xr:uid="{00000000-0005-0000-0000-0000DAC20000}"/>
    <cellStyle name="Total 2 5 2 3 2 3" xfId="49883" xr:uid="{00000000-0005-0000-0000-0000DBC20000}"/>
    <cellStyle name="Total 2 5 2 3 2 4" xfId="49884" xr:uid="{00000000-0005-0000-0000-0000DCC20000}"/>
    <cellStyle name="Total 2 5 2 3 2 5" xfId="49885" xr:uid="{00000000-0005-0000-0000-0000DDC20000}"/>
    <cellStyle name="Total 2 5 2 3 2 6" xfId="49886" xr:uid="{00000000-0005-0000-0000-0000DEC20000}"/>
    <cellStyle name="Total 2 5 2 3 3" xfId="49887" xr:uid="{00000000-0005-0000-0000-0000DFC20000}"/>
    <cellStyle name="Total 2 5 2 3 4" xfId="49888" xr:uid="{00000000-0005-0000-0000-0000E0C20000}"/>
    <cellStyle name="Total 2 5 2 3 5" xfId="49889" xr:uid="{00000000-0005-0000-0000-0000E1C20000}"/>
    <cellStyle name="Total 2 5 2 3 6" xfId="49890" xr:uid="{00000000-0005-0000-0000-0000E2C20000}"/>
    <cellStyle name="Total 2 5 2 4" xfId="49891" xr:uid="{00000000-0005-0000-0000-0000E3C20000}"/>
    <cellStyle name="Total 2 5 2 4 2" xfId="49892" xr:uid="{00000000-0005-0000-0000-0000E4C20000}"/>
    <cellStyle name="Total 2 5 2 4 3" xfId="49893" xr:uid="{00000000-0005-0000-0000-0000E5C20000}"/>
    <cellStyle name="Total 2 5 2 4 4" xfId="49894" xr:uid="{00000000-0005-0000-0000-0000E6C20000}"/>
    <cellStyle name="Total 2 5 2 4 5" xfId="49895" xr:uid="{00000000-0005-0000-0000-0000E7C20000}"/>
    <cellStyle name="Total 2 5 2 4 6" xfId="49896" xr:uid="{00000000-0005-0000-0000-0000E8C20000}"/>
    <cellStyle name="Total 2 5 2 5" xfId="49897" xr:uid="{00000000-0005-0000-0000-0000E9C20000}"/>
    <cellStyle name="Total 2 5 2 5 2" xfId="49898" xr:uid="{00000000-0005-0000-0000-0000EAC20000}"/>
    <cellStyle name="Total 2 5 2 5 3" xfId="49899" xr:uid="{00000000-0005-0000-0000-0000EBC20000}"/>
    <cellStyle name="Total 2 5 2 5 4" xfId="49900" xr:uid="{00000000-0005-0000-0000-0000ECC20000}"/>
    <cellStyle name="Total 2 5 2 5 5" xfId="49901" xr:uid="{00000000-0005-0000-0000-0000EDC20000}"/>
    <cellStyle name="Total 2 5 2 6" xfId="49902" xr:uid="{00000000-0005-0000-0000-0000EEC20000}"/>
    <cellStyle name="Total 2 5 2 7" xfId="49903" xr:uid="{00000000-0005-0000-0000-0000EFC20000}"/>
    <cellStyle name="Total 2 5 2 8" xfId="49904" xr:uid="{00000000-0005-0000-0000-0000F0C20000}"/>
    <cellStyle name="Total 2 5 2 9" xfId="49905" xr:uid="{00000000-0005-0000-0000-0000F1C20000}"/>
    <cellStyle name="Total 2 5 3" xfId="49906" xr:uid="{00000000-0005-0000-0000-0000F2C20000}"/>
    <cellStyle name="Total 2 5 3 2" xfId="49907" xr:uid="{00000000-0005-0000-0000-0000F3C20000}"/>
    <cellStyle name="Total 2 5 3 2 2" xfId="49908" xr:uid="{00000000-0005-0000-0000-0000F4C20000}"/>
    <cellStyle name="Total 2 5 3 2 2 2" xfId="49909" xr:uid="{00000000-0005-0000-0000-0000F5C20000}"/>
    <cellStyle name="Total 2 5 3 2 2 3" xfId="49910" xr:uid="{00000000-0005-0000-0000-0000F6C20000}"/>
    <cellStyle name="Total 2 5 3 2 2 4" xfId="49911" xr:uid="{00000000-0005-0000-0000-0000F7C20000}"/>
    <cellStyle name="Total 2 5 3 2 2 5" xfId="49912" xr:uid="{00000000-0005-0000-0000-0000F8C20000}"/>
    <cellStyle name="Total 2 5 3 2 2 6" xfId="49913" xr:uid="{00000000-0005-0000-0000-0000F9C20000}"/>
    <cellStyle name="Total 2 5 3 2 3" xfId="49914" xr:uid="{00000000-0005-0000-0000-0000FAC20000}"/>
    <cellStyle name="Total 2 5 3 2 4" xfId="49915" xr:uid="{00000000-0005-0000-0000-0000FBC20000}"/>
    <cellStyle name="Total 2 5 3 2 5" xfId="49916" xr:uid="{00000000-0005-0000-0000-0000FCC20000}"/>
    <cellStyle name="Total 2 5 3 2 6" xfId="49917" xr:uid="{00000000-0005-0000-0000-0000FDC20000}"/>
    <cellStyle name="Total 2 5 3 3" xfId="49918" xr:uid="{00000000-0005-0000-0000-0000FEC20000}"/>
    <cellStyle name="Total 2 5 3 3 2" xfId="49919" xr:uid="{00000000-0005-0000-0000-0000FFC20000}"/>
    <cellStyle name="Total 2 5 3 3 2 2" xfId="49920" xr:uid="{00000000-0005-0000-0000-000000C30000}"/>
    <cellStyle name="Total 2 5 3 3 2 3" xfId="49921" xr:uid="{00000000-0005-0000-0000-000001C30000}"/>
    <cellStyle name="Total 2 5 3 3 2 4" xfId="49922" xr:uid="{00000000-0005-0000-0000-000002C30000}"/>
    <cellStyle name="Total 2 5 3 3 2 5" xfId="49923" xr:uid="{00000000-0005-0000-0000-000003C30000}"/>
    <cellStyle name="Total 2 5 3 3 2 6" xfId="49924" xr:uid="{00000000-0005-0000-0000-000004C30000}"/>
    <cellStyle name="Total 2 5 3 3 3" xfId="49925" xr:uid="{00000000-0005-0000-0000-000005C30000}"/>
    <cellStyle name="Total 2 5 3 3 4" xfId="49926" xr:uid="{00000000-0005-0000-0000-000006C30000}"/>
    <cellStyle name="Total 2 5 3 3 5" xfId="49927" xr:uid="{00000000-0005-0000-0000-000007C30000}"/>
    <cellStyle name="Total 2 5 3 3 6" xfId="49928" xr:uid="{00000000-0005-0000-0000-000008C30000}"/>
    <cellStyle name="Total 2 5 3 4" xfId="49929" xr:uid="{00000000-0005-0000-0000-000009C30000}"/>
    <cellStyle name="Total 2 5 3 4 2" xfId="49930" xr:uid="{00000000-0005-0000-0000-00000AC30000}"/>
    <cellStyle name="Total 2 5 3 4 3" xfId="49931" xr:uid="{00000000-0005-0000-0000-00000BC30000}"/>
    <cellStyle name="Total 2 5 3 4 4" xfId="49932" xr:uid="{00000000-0005-0000-0000-00000CC30000}"/>
    <cellStyle name="Total 2 5 3 4 5" xfId="49933" xr:uid="{00000000-0005-0000-0000-00000DC30000}"/>
    <cellStyle name="Total 2 5 3 4 6" xfId="49934" xr:uid="{00000000-0005-0000-0000-00000EC30000}"/>
    <cellStyle name="Total 2 5 3 5" xfId="49935" xr:uid="{00000000-0005-0000-0000-00000FC30000}"/>
    <cellStyle name="Total 2 5 3 6" xfId="49936" xr:uid="{00000000-0005-0000-0000-000010C30000}"/>
    <cellStyle name="Total 2 5 3 7" xfId="49937" xr:uid="{00000000-0005-0000-0000-000011C30000}"/>
    <cellStyle name="Total 2 5 3 8" xfId="49938" xr:uid="{00000000-0005-0000-0000-000012C30000}"/>
    <cellStyle name="Total 2 5 4" xfId="49939" xr:uid="{00000000-0005-0000-0000-000013C30000}"/>
    <cellStyle name="Total 2 5 4 2" xfId="49940" xr:uid="{00000000-0005-0000-0000-000014C30000}"/>
    <cellStyle name="Total 2 5 4 2 2" xfId="49941" xr:uid="{00000000-0005-0000-0000-000015C30000}"/>
    <cellStyle name="Total 2 5 4 2 3" xfId="49942" xr:uid="{00000000-0005-0000-0000-000016C30000}"/>
    <cellStyle name="Total 2 5 4 2 4" xfId="49943" xr:uid="{00000000-0005-0000-0000-000017C30000}"/>
    <cellStyle name="Total 2 5 4 2 5" xfId="49944" xr:uid="{00000000-0005-0000-0000-000018C30000}"/>
    <cellStyle name="Total 2 5 4 2 6" xfId="49945" xr:uid="{00000000-0005-0000-0000-000019C30000}"/>
    <cellStyle name="Total 2 5 4 3" xfId="49946" xr:uid="{00000000-0005-0000-0000-00001AC30000}"/>
    <cellStyle name="Total 2 5 4 4" xfId="49947" xr:uid="{00000000-0005-0000-0000-00001BC30000}"/>
    <cellStyle name="Total 2 5 4 5" xfId="49948" xr:uid="{00000000-0005-0000-0000-00001CC30000}"/>
    <cellStyle name="Total 2 5 4 6" xfId="49949" xr:uid="{00000000-0005-0000-0000-00001DC30000}"/>
    <cellStyle name="Total 2 5 5" xfId="49950" xr:uid="{00000000-0005-0000-0000-00001EC30000}"/>
    <cellStyle name="Total 2 5 5 2" xfId="49951" xr:uid="{00000000-0005-0000-0000-00001FC30000}"/>
    <cellStyle name="Total 2 5 5 2 2" xfId="49952" xr:uid="{00000000-0005-0000-0000-000020C30000}"/>
    <cellStyle name="Total 2 5 5 2 3" xfId="49953" xr:uid="{00000000-0005-0000-0000-000021C30000}"/>
    <cellStyle name="Total 2 5 5 2 4" xfId="49954" xr:uid="{00000000-0005-0000-0000-000022C30000}"/>
    <cellStyle name="Total 2 5 5 2 5" xfId="49955" xr:uid="{00000000-0005-0000-0000-000023C30000}"/>
    <cellStyle name="Total 2 5 5 2 6" xfId="49956" xr:uid="{00000000-0005-0000-0000-000024C30000}"/>
    <cellStyle name="Total 2 5 5 3" xfId="49957" xr:uid="{00000000-0005-0000-0000-000025C30000}"/>
    <cellStyle name="Total 2 5 5 4" xfId="49958" xr:uid="{00000000-0005-0000-0000-000026C30000}"/>
    <cellStyle name="Total 2 5 5 5" xfId="49959" xr:uid="{00000000-0005-0000-0000-000027C30000}"/>
    <cellStyle name="Total 2 5 5 6" xfId="49960" xr:uid="{00000000-0005-0000-0000-000028C30000}"/>
    <cellStyle name="Total 2 5 6" xfId="49961" xr:uid="{00000000-0005-0000-0000-000029C30000}"/>
    <cellStyle name="Total 2 5 6 2" xfId="49962" xr:uid="{00000000-0005-0000-0000-00002AC30000}"/>
    <cellStyle name="Total 2 5 6 3" xfId="49963" xr:uid="{00000000-0005-0000-0000-00002BC30000}"/>
    <cellStyle name="Total 2 5 6 4" xfId="49964" xr:uid="{00000000-0005-0000-0000-00002CC30000}"/>
    <cellStyle name="Total 2 5 6 5" xfId="49965" xr:uid="{00000000-0005-0000-0000-00002DC30000}"/>
    <cellStyle name="Total 2 5 6 6" xfId="49966" xr:uid="{00000000-0005-0000-0000-00002EC30000}"/>
    <cellStyle name="Total 2 5 7" xfId="49967" xr:uid="{00000000-0005-0000-0000-00002FC30000}"/>
    <cellStyle name="Total 2 5 7 2" xfId="49968" xr:uid="{00000000-0005-0000-0000-000030C30000}"/>
    <cellStyle name="Total 2 5 7 3" xfId="49969" xr:uid="{00000000-0005-0000-0000-000031C30000}"/>
    <cellStyle name="Total 2 5 7 4" xfId="49970" xr:uid="{00000000-0005-0000-0000-000032C30000}"/>
    <cellStyle name="Total 2 5 7 5" xfId="49971" xr:uid="{00000000-0005-0000-0000-000033C30000}"/>
    <cellStyle name="Total 2 5 8" xfId="49972" xr:uid="{00000000-0005-0000-0000-000034C30000}"/>
    <cellStyle name="Total 2 5 9" xfId="49973" xr:uid="{00000000-0005-0000-0000-000035C30000}"/>
    <cellStyle name="Total 2 6" xfId="49974" xr:uid="{00000000-0005-0000-0000-000036C30000}"/>
    <cellStyle name="Total 2 6 2" xfId="49975" xr:uid="{00000000-0005-0000-0000-000037C30000}"/>
    <cellStyle name="Total 2 6 2 2" xfId="49976" xr:uid="{00000000-0005-0000-0000-000038C30000}"/>
    <cellStyle name="Total 2 6 2 3" xfId="49977" xr:uid="{00000000-0005-0000-0000-000039C30000}"/>
    <cellStyle name="Total 2 6 2 4" xfId="49978" xr:uid="{00000000-0005-0000-0000-00003AC30000}"/>
    <cellStyle name="Total 2 6 2 5" xfId="49979" xr:uid="{00000000-0005-0000-0000-00003BC30000}"/>
    <cellStyle name="Total 2 6 3" xfId="49980" xr:uid="{00000000-0005-0000-0000-00003CC30000}"/>
    <cellStyle name="Total 2 6 3 2" xfId="49981" xr:uid="{00000000-0005-0000-0000-00003DC30000}"/>
    <cellStyle name="Total 2 6 3 3" xfId="49982" xr:uid="{00000000-0005-0000-0000-00003EC30000}"/>
    <cellStyle name="Total 2 6 3 4" xfId="49983" xr:uid="{00000000-0005-0000-0000-00003FC30000}"/>
    <cellStyle name="Total 2 6 3 5" xfId="49984" xr:uid="{00000000-0005-0000-0000-000040C30000}"/>
    <cellStyle name="Total 2 6 4" xfId="49985" xr:uid="{00000000-0005-0000-0000-000041C30000}"/>
    <cellStyle name="Total 2 6 5" xfId="49986" xr:uid="{00000000-0005-0000-0000-000042C30000}"/>
    <cellStyle name="Total 2 6 6" xfId="49987" xr:uid="{00000000-0005-0000-0000-000043C30000}"/>
    <cellStyle name="Total 2 6 7" xfId="49988" xr:uid="{00000000-0005-0000-0000-000044C30000}"/>
    <cellStyle name="Total 2 6 8" xfId="49989" xr:uid="{00000000-0005-0000-0000-000045C30000}"/>
    <cellStyle name="Total 2 7" xfId="49990" xr:uid="{00000000-0005-0000-0000-000046C30000}"/>
    <cellStyle name="Total 2 7 2" xfId="49991" xr:uid="{00000000-0005-0000-0000-000047C30000}"/>
    <cellStyle name="Total 2 7 2 2" xfId="49992" xr:uid="{00000000-0005-0000-0000-000048C30000}"/>
    <cellStyle name="Total 2 7 2 3" xfId="49993" xr:uid="{00000000-0005-0000-0000-000049C30000}"/>
    <cellStyle name="Total 2 7 2 4" xfId="49994" xr:uid="{00000000-0005-0000-0000-00004AC30000}"/>
    <cellStyle name="Total 2 7 2 5" xfId="49995" xr:uid="{00000000-0005-0000-0000-00004BC30000}"/>
    <cellStyle name="Total 2 7 3" xfId="49996" xr:uid="{00000000-0005-0000-0000-00004CC30000}"/>
    <cellStyle name="Total 2 7 4" xfId="49997" xr:uid="{00000000-0005-0000-0000-00004DC30000}"/>
    <cellStyle name="Total 2 7 5" xfId="49998" xr:uid="{00000000-0005-0000-0000-00004EC30000}"/>
    <cellStyle name="Total 2 7 6" xfId="49999" xr:uid="{00000000-0005-0000-0000-00004FC30000}"/>
    <cellStyle name="Total 2 8" xfId="50000" xr:uid="{00000000-0005-0000-0000-000050C30000}"/>
    <cellStyle name="Total 2 8 2" xfId="50001" xr:uid="{00000000-0005-0000-0000-000051C30000}"/>
    <cellStyle name="Total 2 8 2 2" xfId="50002" xr:uid="{00000000-0005-0000-0000-000052C30000}"/>
    <cellStyle name="Total 2 8 2 3" xfId="50003" xr:uid="{00000000-0005-0000-0000-000053C30000}"/>
    <cellStyle name="Total 2 8 2 4" xfId="50004" xr:uid="{00000000-0005-0000-0000-000054C30000}"/>
    <cellStyle name="Total 2 8 2 5" xfId="50005" xr:uid="{00000000-0005-0000-0000-000055C30000}"/>
    <cellStyle name="Total 2 8 3" xfId="50006" xr:uid="{00000000-0005-0000-0000-000056C30000}"/>
    <cellStyle name="Total 2 8 4" xfId="50007" xr:uid="{00000000-0005-0000-0000-000057C30000}"/>
    <cellStyle name="Total 2 8 5" xfId="50008" xr:uid="{00000000-0005-0000-0000-000058C30000}"/>
    <cellStyle name="Total 2 8 6" xfId="50009" xr:uid="{00000000-0005-0000-0000-000059C30000}"/>
    <cellStyle name="Total 2 9" xfId="50010" xr:uid="{00000000-0005-0000-0000-00005AC30000}"/>
    <cellStyle name="Total 2 9 2" xfId="50011" xr:uid="{00000000-0005-0000-0000-00005BC30000}"/>
    <cellStyle name="Total 2 9 2 2" xfId="50012" xr:uid="{00000000-0005-0000-0000-00005CC30000}"/>
    <cellStyle name="Total 2 9 2 3" xfId="50013" xr:uid="{00000000-0005-0000-0000-00005DC30000}"/>
    <cellStyle name="Total 2 9 2 4" xfId="50014" xr:uid="{00000000-0005-0000-0000-00005EC30000}"/>
    <cellStyle name="Total 2 9 2 5" xfId="50015" xr:uid="{00000000-0005-0000-0000-00005FC30000}"/>
    <cellStyle name="Total 2 9 3" xfId="50016" xr:uid="{00000000-0005-0000-0000-000060C30000}"/>
    <cellStyle name="Total 2 9 4" xfId="50017" xr:uid="{00000000-0005-0000-0000-000061C30000}"/>
    <cellStyle name="Total 2 9 5" xfId="50018" xr:uid="{00000000-0005-0000-0000-000062C30000}"/>
    <cellStyle name="Total 2 9 6" xfId="50019" xr:uid="{00000000-0005-0000-0000-000063C30000}"/>
    <cellStyle name="Total 3" xfId="50020" xr:uid="{00000000-0005-0000-0000-000064C30000}"/>
    <cellStyle name="Total 3 10" xfId="50021" xr:uid="{00000000-0005-0000-0000-000065C30000}"/>
    <cellStyle name="Total 3 10 2" xfId="50022" xr:uid="{00000000-0005-0000-0000-000066C30000}"/>
    <cellStyle name="Total 3 10 2 2" xfId="50023" xr:uid="{00000000-0005-0000-0000-000067C30000}"/>
    <cellStyle name="Total 3 10 2 3" xfId="50024" xr:uid="{00000000-0005-0000-0000-000068C30000}"/>
    <cellStyle name="Total 3 10 2 4" xfId="50025" xr:uid="{00000000-0005-0000-0000-000069C30000}"/>
    <cellStyle name="Total 3 10 2 5" xfId="50026" xr:uid="{00000000-0005-0000-0000-00006AC30000}"/>
    <cellStyle name="Total 3 10 2 6" xfId="50027" xr:uid="{00000000-0005-0000-0000-00006BC30000}"/>
    <cellStyle name="Total 3 10 3" xfId="50028" xr:uid="{00000000-0005-0000-0000-00006CC30000}"/>
    <cellStyle name="Total 3 10 4" xfId="50029" xr:uid="{00000000-0005-0000-0000-00006DC30000}"/>
    <cellStyle name="Total 3 10 5" xfId="50030" xr:uid="{00000000-0005-0000-0000-00006EC30000}"/>
    <cellStyle name="Total 3 10 6" xfId="50031" xr:uid="{00000000-0005-0000-0000-00006FC30000}"/>
    <cellStyle name="Total 3 10 7" xfId="50032" xr:uid="{00000000-0005-0000-0000-000070C30000}"/>
    <cellStyle name="Total 3 11" xfId="50033" xr:uid="{00000000-0005-0000-0000-000071C30000}"/>
    <cellStyle name="Total 3 11 2" xfId="50034" xr:uid="{00000000-0005-0000-0000-000072C30000}"/>
    <cellStyle name="Total 3 11 2 2" xfId="50035" xr:uid="{00000000-0005-0000-0000-000073C30000}"/>
    <cellStyle name="Total 3 11 2 3" xfId="50036" xr:uid="{00000000-0005-0000-0000-000074C30000}"/>
    <cellStyle name="Total 3 11 2 4" xfId="50037" xr:uid="{00000000-0005-0000-0000-000075C30000}"/>
    <cellStyle name="Total 3 11 2 5" xfId="50038" xr:uid="{00000000-0005-0000-0000-000076C30000}"/>
    <cellStyle name="Total 3 11 2 6" xfId="50039" xr:uid="{00000000-0005-0000-0000-000077C30000}"/>
    <cellStyle name="Total 3 11 3" xfId="50040" xr:uid="{00000000-0005-0000-0000-000078C30000}"/>
    <cellStyle name="Total 3 11 4" xfId="50041" xr:uid="{00000000-0005-0000-0000-000079C30000}"/>
    <cellStyle name="Total 3 11 5" xfId="50042" xr:uid="{00000000-0005-0000-0000-00007AC30000}"/>
    <cellStyle name="Total 3 11 6" xfId="50043" xr:uid="{00000000-0005-0000-0000-00007BC30000}"/>
    <cellStyle name="Total 3 11 7" xfId="50044" xr:uid="{00000000-0005-0000-0000-00007CC30000}"/>
    <cellStyle name="Total 3 12" xfId="50045" xr:uid="{00000000-0005-0000-0000-00007DC30000}"/>
    <cellStyle name="Total 3 12 2" xfId="50046" xr:uid="{00000000-0005-0000-0000-00007EC30000}"/>
    <cellStyle name="Total 3 12 2 2" xfId="50047" xr:uid="{00000000-0005-0000-0000-00007FC30000}"/>
    <cellStyle name="Total 3 12 2 3" xfId="50048" xr:uid="{00000000-0005-0000-0000-000080C30000}"/>
    <cellStyle name="Total 3 12 2 4" xfId="50049" xr:uid="{00000000-0005-0000-0000-000081C30000}"/>
    <cellStyle name="Total 3 12 2 5" xfId="50050" xr:uid="{00000000-0005-0000-0000-000082C30000}"/>
    <cellStyle name="Total 3 12 2 6" xfId="50051" xr:uid="{00000000-0005-0000-0000-000083C30000}"/>
    <cellStyle name="Total 3 12 3" xfId="50052" xr:uid="{00000000-0005-0000-0000-000084C30000}"/>
    <cellStyle name="Total 3 12 4" xfId="50053" xr:uid="{00000000-0005-0000-0000-000085C30000}"/>
    <cellStyle name="Total 3 12 5" xfId="50054" xr:uid="{00000000-0005-0000-0000-000086C30000}"/>
    <cellStyle name="Total 3 12 6" xfId="50055" xr:uid="{00000000-0005-0000-0000-000087C30000}"/>
    <cellStyle name="Total 3 12 7" xfId="50056" xr:uid="{00000000-0005-0000-0000-000088C30000}"/>
    <cellStyle name="Total 3 13" xfId="50057" xr:uid="{00000000-0005-0000-0000-000089C30000}"/>
    <cellStyle name="Total 3 13 2" xfId="50058" xr:uid="{00000000-0005-0000-0000-00008AC30000}"/>
    <cellStyle name="Total 3 13 2 2" xfId="50059" xr:uid="{00000000-0005-0000-0000-00008BC30000}"/>
    <cellStyle name="Total 3 13 2 3" xfId="50060" xr:uid="{00000000-0005-0000-0000-00008CC30000}"/>
    <cellStyle name="Total 3 13 2 4" xfId="50061" xr:uid="{00000000-0005-0000-0000-00008DC30000}"/>
    <cellStyle name="Total 3 13 2 5" xfId="50062" xr:uid="{00000000-0005-0000-0000-00008EC30000}"/>
    <cellStyle name="Total 3 13 2 6" xfId="50063" xr:uid="{00000000-0005-0000-0000-00008FC30000}"/>
    <cellStyle name="Total 3 13 3" xfId="50064" xr:uid="{00000000-0005-0000-0000-000090C30000}"/>
    <cellStyle name="Total 3 13 4" xfId="50065" xr:uid="{00000000-0005-0000-0000-000091C30000}"/>
    <cellStyle name="Total 3 13 5" xfId="50066" xr:uid="{00000000-0005-0000-0000-000092C30000}"/>
    <cellStyle name="Total 3 13 6" xfId="50067" xr:uid="{00000000-0005-0000-0000-000093C30000}"/>
    <cellStyle name="Total 3 13 7" xfId="50068" xr:uid="{00000000-0005-0000-0000-000094C30000}"/>
    <cellStyle name="Total 3 14" xfId="50069" xr:uid="{00000000-0005-0000-0000-000095C30000}"/>
    <cellStyle name="Total 3 14 2" xfId="50070" xr:uid="{00000000-0005-0000-0000-000096C30000}"/>
    <cellStyle name="Total 3 14 2 2" xfId="50071" xr:uid="{00000000-0005-0000-0000-000097C30000}"/>
    <cellStyle name="Total 3 14 2 3" xfId="50072" xr:uid="{00000000-0005-0000-0000-000098C30000}"/>
    <cellStyle name="Total 3 14 2 4" xfId="50073" xr:uid="{00000000-0005-0000-0000-000099C30000}"/>
    <cellStyle name="Total 3 14 2 5" xfId="50074" xr:uid="{00000000-0005-0000-0000-00009AC30000}"/>
    <cellStyle name="Total 3 14 2 6" xfId="50075" xr:uid="{00000000-0005-0000-0000-00009BC30000}"/>
    <cellStyle name="Total 3 14 3" xfId="50076" xr:uid="{00000000-0005-0000-0000-00009CC30000}"/>
    <cellStyle name="Total 3 14 4" xfId="50077" xr:uid="{00000000-0005-0000-0000-00009DC30000}"/>
    <cellStyle name="Total 3 14 5" xfId="50078" xr:uid="{00000000-0005-0000-0000-00009EC30000}"/>
    <cellStyle name="Total 3 14 6" xfId="50079" xr:uid="{00000000-0005-0000-0000-00009FC30000}"/>
    <cellStyle name="Total 3 14 7" xfId="50080" xr:uid="{00000000-0005-0000-0000-0000A0C30000}"/>
    <cellStyle name="Total 3 15" xfId="50081" xr:uid="{00000000-0005-0000-0000-0000A1C30000}"/>
    <cellStyle name="Total 3 15 2" xfId="50082" xr:uid="{00000000-0005-0000-0000-0000A2C30000}"/>
    <cellStyle name="Total 3 15 2 2" xfId="50083" xr:uid="{00000000-0005-0000-0000-0000A3C30000}"/>
    <cellStyle name="Total 3 15 2 3" xfId="50084" xr:uid="{00000000-0005-0000-0000-0000A4C30000}"/>
    <cellStyle name="Total 3 15 2 4" xfId="50085" xr:uid="{00000000-0005-0000-0000-0000A5C30000}"/>
    <cellStyle name="Total 3 15 2 5" xfId="50086" xr:uid="{00000000-0005-0000-0000-0000A6C30000}"/>
    <cellStyle name="Total 3 15 2 6" xfId="50087" xr:uid="{00000000-0005-0000-0000-0000A7C30000}"/>
    <cellStyle name="Total 3 15 3" xfId="50088" xr:uid="{00000000-0005-0000-0000-0000A8C30000}"/>
    <cellStyle name="Total 3 15 4" xfId="50089" xr:uid="{00000000-0005-0000-0000-0000A9C30000}"/>
    <cellStyle name="Total 3 15 5" xfId="50090" xr:uid="{00000000-0005-0000-0000-0000AAC30000}"/>
    <cellStyle name="Total 3 15 6" xfId="50091" xr:uid="{00000000-0005-0000-0000-0000ABC30000}"/>
    <cellStyle name="Total 3 15 7" xfId="50092" xr:uid="{00000000-0005-0000-0000-0000ACC30000}"/>
    <cellStyle name="Total 3 16" xfId="50093" xr:uid="{00000000-0005-0000-0000-0000ADC30000}"/>
    <cellStyle name="Total 3 16 2" xfId="50094" xr:uid="{00000000-0005-0000-0000-0000AEC30000}"/>
    <cellStyle name="Total 3 16 2 2" xfId="50095" xr:uid="{00000000-0005-0000-0000-0000AFC30000}"/>
    <cellStyle name="Total 3 16 2 3" xfId="50096" xr:uid="{00000000-0005-0000-0000-0000B0C30000}"/>
    <cellStyle name="Total 3 16 2 4" xfId="50097" xr:uid="{00000000-0005-0000-0000-0000B1C30000}"/>
    <cellStyle name="Total 3 16 2 5" xfId="50098" xr:uid="{00000000-0005-0000-0000-0000B2C30000}"/>
    <cellStyle name="Total 3 16 2 6" xfId="50099" xr:uid="{00000000-0005-0000-0000-0000B3C30000}"/>
    <cellStyle name="Total 3 16 3" xfId="50100" xr:uid="{00000000-0005-0000-0000-0000B4C30000}"/>
    <cellStyle name="Total 3 16 4" xfId="50101" xr:uid="{00000000-0005-0000-0000-0000B5C30000}"/>
    <cellStyle name="Total 3 16 5" xfId="50102" xr:uid="{00000000-0005-0000-0000-0000B6C30000}"/>
    <cellStyle name="Total 3 16 6" xfId="50103" xr:uid="{00000000-0005-0000-0000-0000B7C30000}"/>
    <cellStyle name="Total 3 16 7" xfId="50104" xr:uid="{00000000-0005-0000-0000-0000B8C30000}"/>
    <cellStyle name="Total 3 17" xfId="50105" xr:uid="{00000000-0005-0000-0000-0000B9C30000}"/>
    <cellStyle name="Total 3 17 2" xfId="50106" xr:uid="{00000000-0005-0000-0000-0000BAC30000}"/>
    <cellStyle name="Total 3 17 2 2" xfId="50107" xr:uid="{00000000-0005-0000-0000-0000BBC30000}"/>
    <cellStyle name="Total 3 17 2 3" xfId="50108" xr:uid="{00000000-0005-0000-0000-0000BCC30000}"/>
    <cellStyle name="Total 3 17 2 4" xfId="50109" xr:uid="{00000000-0005-0000-0000-0000BDC30000}"/>
    <cellStyle name="Total 3 17 2 5" xfId="50110" xr:uid="{00000000-0005-0000-0000-0000BEC30000}"/>
    <cellStyle name="Total 3 17 2 6" xfId="50111" xr:uid="{00000000-0005-0000-0000-0000BFC30000}"/>
    <cellStyle name="Total 3 17 3" xfId="50112" xr:uid="{00000000-0005-0000-0000-0000C0C30000}"/>
    <cellStyle name="Total 3 17 4" xfId="50113" xr:uid="{00000000-0005-0000-0000-0000C1C30000}"/>
    <cellStyle name="Total 3 17 5" xfId="50114" xr:uid="{00000000-0005-0000-0000-0000C2C30000}"/>
    <cellStyle name="Total 3 17 6" xfId="50115" xr:uid="{00000000-0005-0000-0000-0000C3C30000}"/>
    <cellStyle name="Total 3 17 7" xfId="50116" xr:uid="{00000000-0005-0000-0000-0000C4C30000}"/>
    <cellStyle name="Total 3 18" xfId="50117" xr:uid="{00000000-0005-0000-0000-0000C5C30000}"/>
    <cellStyle name="Total 3 18 2" xfId="50118" xr:uid="{00000000-0005-0000-0000-0000C6C30000}"/>
    <cellStyle name="Total 3 18 2 2" xfId="50119" xr:uid="{00000000-0005-0000-0000-0000C7C30000}"/>
    <cellStyle name="Total 3 18 2 3" xfId="50120" xr:uid="{00000000-0005-0000-0000-0000C8C30000}"/>
    <cellStyle name="Total 3 18 2 4" xfId="50121" xr:uid="{00000000-0005-0000-0000-0000C9C30000}"/>
    <cellStyle name="Total 3 18 2 5" xfId="50122" xr:uid="{00000000-0005-0000-0000-0000CAC30000}"/>
    <cellStyle name="Total 3 18 2 6" xfId="50123" xr:uid="{00000000-0005-0000-0000-0000CBC30000}"/>
    <cellStyle name="Total 3 18 3" xfId="50124" xr:uid="{00000000-0005-0000-0000-0000CCC30000}"/>
    <cellStyle name="Total 3 18 4" xfId="50125" xr:uid="{00000000-0005-0000-0000-0000CDC30000}"/>
    <cellStyle name="Total 3 18 5" xfId="50126" xr:uid="{00000000-0005-0000-0000-0000CEC30000}"/>
    <cellStyle name="Total 3 18 6" xfId="50127" xr:uid="{00000000-0005-0000-0000-0000CFC30000}"/>
    <cellStyle name="Total 3 18 7" xfId="50128" xr:uid="{00000000-0005-0000-0000-0000D0C30000}"/>
    <cellStyle name="Total 3 19" xfId="50129" xr:uid="{00000000-0005-0000-0000-0000D1C30000}"/>
    <cellStyle name="Total 3 19 2" xfId="50130" xr:uid="{00000000-0005-0000-0000-0000D2C30000}"/>
    <cellStyle name="Total 3 19 2 2" xfId="50131" xr:uid="{00000000-0005-0000-0000-0000D3C30000}"/>
    <cellStyle name="Total 3 19 2 3" xfId="50132" xr:uid="{00000000-0005-0000-0000-0000D4C30000}"/>
    <cellStyle name="Total 3 19 2 4" xfId="50133" xr:uid="{00000000-0005-0000-0000-0000D5C30000}"/>
    <cellStyle name="Total 3 19 2 5" xfId="50134" xr:uid="{00000000-0005-0000-0000-0000D6C30000}"/>
    <cellStyle name="Total 3 19 2 6" xfId="50135" xr:uid="{00000000-0005-0000-0000-0000D7C30000}"/>
    <cellStyle name="Total 3 19 3" xfId="50136" xr:uid="{00000000-0005-0000-0000-0000D8C30000}"/>
    <cellStyle name="Total 3 19 4" xfId="50137" xr:uid="{00000000-0005-0000-0000-0000D9C30000}"/>
    <cellStyle name="Total 3 19 5" xfId="50138" xr:uid="{00000000-0005-0000-0000-0000DAC30000}"/>
    <cellStyle name="Total 3 19 6" xfId="50139" xr:uid="{00000000-0005-0000-0000-0000DBC30000}"/>
    <cellStyle name="Total 3 19 7" xfId="50140" xr:uid="{00000000-0005-0000-0000-0000DCC30000}"/>
    <cellStyle name="Total 3 2" xfId="50141" xr:uid="{00000000-0005-0000-0000-0000DDC30000}"/>
    <cellStyle name="Total 3 2 10" xfId="50142" xr:uid="{00000000-0005-0000-0000-0000DEC30000}"/>
    <cellStyle name="Total 3 2 10 2" xfId="50143" xr:uid="{00000000-0005-0000-0000-0000DFC30000}"/>
    <cellStyle name="Total 3 2 10 2 2" xfId="50144" xr:uid="{00000000-0005-0000-0000-0000E0C30000}"/>
    <cellStyle name="Total 3 2 10 2 3" xfId="50145" xr:uid="{00000000-0005-0000-0000-0000E1C30000}"/>
    <cellStyle name="Total 3 2 10 2 4" xfId="50146" xr:uid="{00000000-0005-0000-0000-0000E2C30000}"/>
    <cellStyle name="Total 3 2 10 2 5" xfId="50147" xr:uid="{00000000-0005-0000-0000-0000E3C30000}"/>
    <cellStyle name="Total 3 2 10 2 6" xfId="50148" xr:uid="{00000000-0005-0000-0000-0000E4C30000}"/>
    <cellStyle name="Total 3 2 10 3" xfId="50149" xr:uid="{00000000-0005-0000-0000-0000E5C30000}"/>
    <cellStyle name="Total 3 2 10 4" xfId="50150" xr:uid="{00000000-0005-0000-0000-0000E6C30000}"/>
    <cellStyle name="Total 3 2 10 5" xfId="50151" xr:uid="{00000000-0005-0000-0000-0000E7C30000}"/>
    <cellStyle name="Total 3 2 10 6" xfId="50152" xr:uid="{00000000-0005-0000-0000-0000E8C30000}"/>
    <cellStyle name="Total 3 2 10 7" xfId="50153" xr:uid="{00000000-0005-0000-0000-0000E9C30000}"/>
    <cellStyle name="Total 3 2 11" xfId="50154" xr:uid="{00000000-0005-0000-0000-0000EAC30000}"/>
    <cellStyle name="Total 3 2 11 2" xfId="50155" xr:uid="{00000000-0005-0000-0000-0000EBC30000}"/>
    <cellStyle name="Total 3 2 11 2 2" xfId="50156" xr:uid="{00000000-0005-0000-0000-0000ECC30000}"/>
    <cellStyle name="Total 3 2 11 2 3" xfId="50157" xr:uid="{00000000-0005-0000-0000-0000EDC30000}"/>
    <cellStyle name="Total 3 2 11 2 4" xfId="50158" xr:uid="{00000000-0005-0000-0000-0000EEC30000}"/>
    <cellStyle name="Total 3 2 11 2 5" xfId="50159" xr:uid="{00000000-0005-0000-0000-0000EFC30000}"/>
    <cellStyle name="Total 3 2 11 2 6" xfId="50160" xr:uid="{00000000-0005-0000-0000-0000F0C30000}"/>
    <cellStyle name="Total 3 2 11 3" xfId="50161" xr:uid="{00000000-0005-0000-0000-0000F1C30000}"/>
    <cellStyle name="Total 3 2 11 4" xfId="50162" xr:uid="{00000000-0005-0000-0000-0000F2C30000}"/>
    <cellStyle name="Total 3 2 11 5" xfId="50163" xr:uid="{00000000-0005-0000-0000-0000F3C30000}"/>
    <cellStyle name="Total 3 2 11 6" xfId="50164" xr:uid="{00000000-0005-0000-0000-0000F4C30000}"/>
    <cellStyle name="Total 3 2 11 7" xfId="50165" xr:uid="{00000000-0005-0000-0000-0000F5C30000}"/>
    <cellStyle name="Total 3 2 12" xfId="50166" xr:uid="{00000000-0005-0000-0000-0000F6C30000}"/>
    <cellStyle name="Total 3 2 12 2" xfId="50167" xr:uid="{00000000-0005-0000-0000-0000F7C30000}"/>
    <cellStyle name="Total 3 2 12 2 2" xfId="50168" xr:uid="{00000000-0005-0000-0000-0000F8C30000}"/>
    <cellStyle name="Total 3 2 12 2 3" xfId="50169" xr:uid="{00000000-0005-0000-0000-0000F9C30000}"/>
    <cellStyle name="Total 3 2 12 2 4" xfId="50170" xr:uid="{00000000-0005-0000-0000-0000FAC30000}"/>
    <cellStyle name="Total 3 2 12 2 5" xfId="50171" xr:uid="{00000000-0005-0000-0000-0000FBC30000}"/>
    <cellStyle name="Total 3 2 12 2 6" xfId="50172" xr:uid="{00000000-0005-0000-0000-0000FCC30000}"/>
    <cellStyle name="Total 3 2 12 3" xfId="50173" xr:uid="{00000000-0005-0000-0000-0000FDC30000}"/>
    <cellStyle name="Total 3 2 12 4" xfId="50174" xr:uid="{00000000-0005-0000-0000-0000FEC30000}"/>
    <cellStyle name="Total 3 2 12 5" xfId="50175" xr:uid="{00000000-0005-0000-0000-0000FFC30000}"/>
    <cellStyle name="Total 3 2 12 6" xfId="50176" xr:uid="{00000000-0005-0000-0000-000000C40000}"/>
    <cellStyle name="Total 3 2 12 7" xfId="50177" xr:uid="{00000000-0005-0000-0000-000001C40000}"/>
    <cellStyle name="Total 3 2 13" xfId="50178" xr:uid="{00000000-0005-0000-0000-000002C40000}"/>
    <cellStyle name="Total 3 2 13 2" xfId="50179" xr:uid="{00000000-0005-0000-0000-000003C40000}"/>
    <cellStyle name="Total 3 2 13 2 2" xfId="50180" xr:uid="{00000000-0005-0000-0000-000004C40000}"/>
    <cellStyle name="Total 3 2 13 2 3" xfId="50181" xr:uid="{00000000-0005-0000-0000-000005C40000}"/>
    <cellStyle name="Total 3 2 13 2 4" xfId="50182" xr:uid="{00000000-0005-0000-0000-000006C40000}"/>
    <cellStyle name="Total 3 2 13 2 5" xfId="50183" xr:uid="{00000000-0005-0000-0000-000007C40000}"/>
    <cellStyle name="Total 3 2 13 2 6" xfId="50184" xr:uid="{00000000-0005-0000-0000-000008C40000}"/>
    <cellStyle name="Total 3 2 13 3" xfId="50185" xr:uid="{00000000-0005-0000-0000-000009C40000}"/>
    <cellStyle name="Total 3 2 13 4" xfId="50186" xr:uid="{00000000-0005-0000-0000-00000AC40000}"/>
    <cellStyle name="Total 3 2 13 5" xfId="50187" xr:uid="{00000000-0005-0000-0000-00000BC40000}"/>
    <cellStyle name="Total 3 2 13 6" xfId="50188" xr:uid="{00000000-0005-0000-0000-00000CC40000}"/>
    <cellStyle name="Total 3 2 13 7" xfId="50189" xr:uid="{00000000-0005-0000-0000-00000DC40000}"/>
    <cellStyle name="Total 3 2 14" xfId="50190" xr:uid="{00000000-0005-0000-0000-00000EC40000}"/>
    <cellStyle name="Total 3 2 14 2" xfId="50191" xr:uid="{00000000-0005-0000-0000-00000FC40000}"/>
    <cellStyle name="Total 3 2 14 2 2" xfId="50192" xr:uid="{00000000-0005-0000-0000-000010C40000}"/>
    <cellStyle name="Total 3 2 14 2 3" xfId="50193" xr:uid="{00000000-0005-0000-0000-000011C40000}"/>
    <cellStyle name="Total 3 2 14 2 4" xfId="50194" xr:uid="{00000000-0005-0000-0000-000012C40000}"/>
    <cellStyle name="Total 3 2 14 2 5" xfId="50195" xr:uid="{00000000-0005-0000-0000-000013C40000}"/>
    <cellStyle name="Total 3 2 14 2 6" xfId="50196" xr:uid="{00000000-0005-0000-0000-000014C40000}"/>
    <cellStyle name="Total 3 2 14 3" xfId="50197" xr:uid="{00000000-0005-0000-0000-000015C40000}"/>
    <cellStyle name="Total 3 2 14 4" xfId="50198" xr:uid="{00000000-0005-0000-0000-000016C40000}"/>
    <cellStyle name="Total 3 2 14 5" xfId="50199" xr:uid="{00000000-0005-0000-0000-000017C40000}"/>
    <cellStyle name="Total 3 2 14 6" xfId="50200" xr:uid="{00000000-0005-0000-0000-000018C40000}"/>
    <cellStyle name="Total 3 2 14 7" xfId="50201" xr:uid="{00000000-0005-0000-0000-000019C40000}"/>
    <cellStyle name="Total 3 2 15" xfId="50202" xr:uid="{00000000-0005-0000-0000-00001AC40000}"/>
    <cellStyle name="Total 3 2 15 2" xfId="50203" xr:uid="{00000000-0005-0000-0000-00001BC40000}"/>
    <cellStyle name="Total 3 2 15 2 2" xfId="50204" xr:uid="{00000000-0005-0000-0000-00001CC40000}"/>
    <cellStyle name="Total 3 2 15 2 3" xfId="50205" xr:uid="{00000000-0005-0000-0000-00001DC40000}"/>
    <cellStyle name="Total 3 2 15 2 4" xfId="50206" xr:uid="{00000000-0005-0000-0000-00001EC40000}"/>
    <cellStyle name="Total 3 2 15 2 5" xfId="50207" xr:uid="{00000000-0005-0000-0000-00001FC40000}"/>
    <cellStyle name="Total 3 2 15 2 6" xfId="50208" xr:uid="{00000000-0005-0000-0000-000020C40000}"/>
    <cellStyle name="Total 3 2 15 3" xfId="50209" xr:uid="{00000000-0005-0000-0000-000021C40000}"/>
    <cellStyle name="Total 3 2 15 4" xfId="50210" xr:uid="{00000000-0005-0000-0000-000022C40000}"/>
    <cellStyle name="Total 3 2 15 5" xfId="50211" xr:uid="{00000000-0005-0000-0000-000023C40000}"/>
    <cellStyle name="Total 3 2 15 6" xfId="50212" xr:uid="{00000000-0005-0000-0000-000024C40000}"/>
    <cellStyle name="Total 3 2 15 7" xfId="50213" xr:uid="{00000000-0005-0000-0000-000025C40000}"/>
    <cellStyle name="Total 3 2 16" xfId="50214" xr:uid="{00000000-0005-0000-0000-000026C40000}"/>
    <cellStyle name="Total 3 2 16 2" xfId="50215" xr:uid="{00000000-0005-0000-0000-000027C40000}"/>
    <cellStyle name="Total 3 2 16 2 2" xfId="50216" xr:uid="{00000000-0005-0000-0000-000028C40000}"/>
    <cellStyle name="Total 3 2 16 2 3" xfId="50217" xr:uid="{00000000-0005-0000-0000-000029C40000}"/>
    <cellStyle name="Total 3 2 16 2 4" xfId="50218" xr:uid="{00000000-0005-0000-0000-00002AC40000}"/>
    <cellStyle name="Total 3 2 16 2 5" xfId="50219" xr:uid="{00000000-0005-0000-0000-00002BC40000}"/>
    <cellStyle name="Total 3 2 16 2 6" xfId="50220" xr:uid="{00000000-0005-0000-0000-00002CC40000}"/>
    <cellStyle name="Total 3 2 16 3" xfId="50221" xr:uid="{00000000-0005-0000-0000-00002DC40000}"/>
    <cellStyle name="Total 3 2 16 4" xfId="50222" xr:uid="{00000000-0005-0000-0000-00002EC40000}"/>
    <cellStyle name="Total 3 2 16 5" xfId="50223" xr:uid="{00000000-0005-0000-0000-00002FC40000}"/>
    <cellStyle name="Total 3 2 16 6" xfId="50224" xr:uid="{00000000-0005-0000-0000-000030C40000}"/>
    <cellStyle name="Total 3 2 16 7" xfId="50225" xr:uid="{00000000-0005-0000-0000-000031C40000}"/>
    <cellStyle name="Total 3 2 17" xfId="50226" xr:uid="{00000000-0005-0000-0000-000032C40000}"/>
    <cellStyle name="Total 3 2 17 2" xfId="50227" xr:uid="{00000000-0005-0000-0000-000033C40000}"/>
    <cellStyle name="Total 3 2 17 2 2" xfId="50228" xr:uid="{00000000-0005-0000-0000-000034C40000}"/>
    <cellStyle name="Total 3 2 17 2 3" xfId="50229" xr:uid="{00000000-0005-0000-0000-000035C40000}"/>
    <cellStyle name="Total 3 2 17 2 4" xfId="50230" xr:uid="{00000000-0005-0000-0000-000036C40000}"/>
    <cellStyle name="Total 3 2 17 2 5" xfId="50231" xr:uid="{00000000-0005-0000-0000-000037C40000}"/>
    <cellStyle name="Total 3 2 17 2 6" xfId="50232" xr:uid="{00000000-0005-0000-0000-000038C40000}"/>
    <cellStyle name="Total 3 2 17 3" xfId="50233" xr:uid="{00000000-0005-0000-0000-000039C40000}"/>
    <cellStyle name="Total 3 2 17 4" xfId="50234" xr:uid="{00000000-0005-0000-0000-00003AC40000}"/>
    <cellStyle name="Total 3 2 17 5" xfId="50235" xr:uid="{00000000-0005-0000-0000-00003BC40000}"/>
    <cellStyle name="Total 3 2 17 6" xfId="50236" xr:uid="{00000000-0005-0000-0000-00003CC40000}"/>
    <cellStyle name="Total 3 2 17 7" xfId="50237" xr:uid="{00000000-0005-0000-0000-00003DC40000}"/>
    <cellStyle name="Total 3 2 18" xfId="50238" xr:uid="{00000000-0005-0000-0000-00003EC40000}"/>
    <cellStyle name="Total 3 2 18 2" xfId="50239" xr:uid="{00000000-0005-0000-0000-00003FC40000}"/>
    <cellStyle name="Total 3 2 18 2 2" xfId="50240" xr:uid="{00000000-0005-0000-0000-000040C40000}"/>
    <cellStyle name="Total 3 2 18 2 3" xfId="50241" xr:uid="{00000000-0005-0000-0000-000041C40000}"/>
    <cellStyle name="Total 3 2 18 2 4" xfId="50242" xr:uid="{00000000-0005-0000-0000-000042C40000}"/>
    <cellStyle name="Total 3 2 18 2 5" xfId="50243" xr:uid="{00000000-0005-0000-0000-000043C40000}"/>
    <cellStyle name="Total 3 2 18 2 6" xfId="50244" xr:uid="{00000000-0005-0000-0000-000044C40000}"/>
    <cellStyle name="Total 3 2 18 3" xfId="50245" xr:uid="{00000000-0005-0000-0000-000045C40000}"/>
    <cellStyle name="Total 3 2 18 4" xfId="50246" xr:uid="{00000000-0005-0000-0000-000046C40000}"/>
    <cellStyle name="Total 3 2 18 5" xfId="50247" xr:uid="{00000000-0005-0000-0000-000047C40000}"/>
    <cellStyle name="Total 3 2 18 6" xfId="50248" xr:uid="{00000000-0005-0000-0000-000048C40000}"/>
    <cellStyle name="Total 3 2 18 7" xfId="50249" xr:uid="{00000000-0005-0000-0000-000049C40000}"/>
    <cellStyle name="Total 3 2 19" xfId="50250" xr:uid="{00000000-0005-0000-0000-00004AC40000}"/>
    <cellStyle name="Total 3 2 19 2" xfId="50251" xr:uid="{00000000-0005-0000-0000-00004BC40000}"/>
    <cellStyle name="Total 3 2 19 2 2" xfId="50252" xr:uid="{00000000-0005-0000-0000-00004CC40000}"/>
    <cellStyle name="Total 3 2 19 2 3" xfId="50253" xr:uid="{00000000-0005-0000-0000-00004DC40000}"/>
    <cellStyle name="Total 3 2 19 2 4" xfId="50254" xr:uid="{00000000-0005-0000-0000-00004EC40000}"/>
    <cellStyle name="Total 3 2 19 2 5" xfId="50255" xr:uid="{00000000-0005-0000-0000-00004FC40000}"/>
    <cellStyle name="Total 3 2 19 2 6" xfId="50256" xr:uid="{00000000-0005-0000-0000-000050C40000}"/>
    <cellStyle name="Total 3 2 19 3" xfId="50257" xr:uid="{00000000-0005-0000-0000-000051C40000}"/>
    <cellStyle name="Total 3 2 19 4" xfId="50258" xr:uid="{00000000-0005-0000-0000-000052C40000}"/>
    <cellStyle name="Total 3 2 19 5" xfId="50259" xr:uid="{00000000-0005-0000-0000-000053C40000}"/>
    <cellStyle name="Total 3 2 19 6" xfId="50260" xr:uid="{00000000-0005-0000-0000-000054C40000}"/>
    <cellStyle name="Total 3 2 19 7" xfId="50261" xr:uid="{00000000-0005-0000-0000-000055C40000}"/>
    <cellStyle name="Total 3 2 2" xfId="50262" xr:uid="{00000000-0005-0000-0000-000056C40000}"/>
    <cellStyle name="Total 3 2 2 2" xfId="50263" xr:uid="{00000000-0005-0000-0000-000057C40000}"/>
    <cellStyle name="Total 3 2 2 2 2" xfId="50264" xr:uid="{00000000-0005-0000-0000-000058C40000}"/>
    <cellStyle name="Total 3 2 2 2 3" xfId="50265" xr:uid="{00000000-0005-0000-0000-000059C40000}"/>
    <cellStyle name="Total 3 2 2 2 4" xfId="50266" xr:uid="{00000000-0005-0000-0000-00005AC40000}"/>
    <cellStyle name="Total 3 2 2 2 5" xfId="50267" xr:uid="{00000000-0005-0000-0000-00005BC40000}"/>
    <cellStyle name="Total 3 2 2 2 6" xfId="50268" xr:uid="{00000000-0005-0000-0000-00005CC40000}"/>
    <cellStyle name="Total 3 2 2 3" xfId="50269" xr:uid="{00000000-0005-0000-0000-00005DC40000}"/>
    <cellStyle name="Total 3 2 2 4" xfId="50270" xr:uid="{00000000-0005-0000-0000-00005EC40000}"/>
    <cellStyle name="Total 3 2 2 5" xfId="50271" xr:uid="{00000000-0005-0000-0000-00005FC40000}"/>
    <cellStyle name="Total 3 2 2 6" xfId="50272" xr:uid="{00000000-0005-0000-0000-000060C40000}"/>
    <cellStyle name="Total 3 2 2 7" xfId="50273" xr:uid="{00000000-0005-0000-0000-000061C40000}"/>
    <cellStyle name="Total 3 2 20" xfId="50274" xr:uid="{00000000-0005-0000-0000-000062C40000}"/>
    <cellStyle name="Total 3 2 20 2" xfId="50275" xr:uid="{00000000-0005-0000-0000-000063C40000}"/>
    <cellStyle name="Total 3 2 20 2 2" xfId="50276" xr:uid="{00000000-0005-0000-0000-000064C40000}"/>
    <cellStyle name="Total 3 2 20 2 3" xfId="50277" xr:uid="{00000000-0005-0000-0000-000065C40000}"/>
    <cellStyle name="Total 3 2 20 2 4" xfId="50278" xr:uid="{00000000-0005-0000-0000-000066C40000}"/>
    <cellStyle name="Total 3 2 20 2 5" xfId="50279" xr:uid="{00000000-0005-0000-0000-000067C40000}"/>
    <cellStyle name="Total 3 2 20 2 6" xfId="50280" xr:uid="{00000000-0005-0000-0000-000068C40000}"/>
    <cellStyle name="Total 3 2 20 3" xfId="50281" xr:uid="{00000000-0005-0000-0000-000069C40000}"/>
    <cellStyle name="Total 3 2 20 4" xfId="50282" xr:uid="{00000000-0005-0000-0000-00006AC40000}"/>
    <cellStyle name="Total 3 2 20 5" xfId="50283" xr:uid="{00000000-0005-0000-0000-00006BC40000}"/>
    <cellStyle name="Total 3 2 20 6" xfId="50284" xr:uid="{00000000-0005-0000-0000-00006CC40000}"/>
    <cellStyle name="Total 3 2 20 7" xfId="50285" xr:uid="{00000000-0005-0000-0000-00006DC40000}"/>
    <cellStyle name="Total 3 2 21" xfId="50286" xr:uid="{00000000-0005-0000-0000-00006EC40000}"/>
    <cellStyle name="Total 3 2 21 2" xfId="50287" xr:uid="{00000000-0005-0000-0000-00006FC40000}"/>
    <cellStyle name="Total 3 2 21 2 2" xfId="50288" xr:uid="{00000000-0005-0000-0000-000070C40000}"/>
    <cellStyle name="Total 3 2 21 2 3" xfId="50289" xr:uid="{00000000-0005-0000-0000-000071C40000}"/>
    <cellStyle name="Total 3 2 21 2 4" xfId="50290" xr:uid="{00000000-0005-0000-0000-000072C40000}"/>
    <cellStyle name="Total 3 2 21 2 5" xfId="50291" xr:uid="{00000000-0005-0000-0000-000073C40000}"/>
    <cellStyle name="Total 3 2 21 2 6" xfId="50292" xr:uid="{00000000-0005-0000-0000-000074C40000}"/>
    <cellStyle name="Total 3 2 21 3" xfId="50293" xr:uid="{00000000-0005-0000-0000-000075C40000}"/>
    <cellStyle name="Total 3 2 21 4" xfId="50294" xr:uid="{00000000-0005-0000-0000-000076C40000}"/>
    <cellStyle name="Total 3 2 21 5" xfId="50295" xr:uid="{00000000-0005-0000-0000-000077C40000}"/>
    <cellStyle name="Total 3 2 21 6" xfId="50296" xr:uid="{00000000-0005-0000-0000-000078C40000}"/>
    <cellStyle name="Total 3 2 21 7" xfId="50297" xr:uid="{00000000-0005-0000-0000-000079C40000}"/>
    <cellStyle name="Total 3 2 22" xfId="50298" xr:uid="{00000000-0005-0000-0000-00007AC40000}"/>
    <cellStyle name="Total 3 2 22 2" xfId="50299" xr:uid="{00000000-0005-0000-0000-00007BC40000}"/>
    <cellStyle name="Total 3 2 22 2 2" xfId="50300" xr:uid="{00000000-0005-0000-0000-00007CC40000}"/>
    <cellStyle name="Total 3 2 22 2 3" xfId="50301" xr:uid="{00000000-0005-0000-0000-00007DC40000}"/>
    <cellStyle name="Total 3 2 22 2 4" xfId="50302" xr:uid="{00000000-0005-0000-0000-00007EC40000}"/>
    <cellStyle name="Total 3 2 22 2 5" xfId="50303" xr:uid="{00000000-0005-0000-0000-00007FC40000}"/>
    <cellStyle name="Total 3 2 22 2 6" xfId="50304" xr:uid="{00000000-0005-0000-0000-000080C40000}"/>
    <cellStyle name="Total 3 2 22 3" xfId="50305" xr:uid="{00000000-0005-0000-0000-000081C40000}"/>
    <cellStyle name="Total 3 2 22 4" xfId="50306" xr:uid="{00000000-0005-0000-0000-000082C40000}"/>
    <cellStyle name="Total 3 2 22 5" xfId="50307" xr:uid="{00000000-0005-0000-0000-000083C40000}"/>
    <cellStyle name="Total 3 2 22 6" xfId="50308" xr:uid="{00000000-0005-0000-0000-000084C40000}"/>
    <cellStyle name="Total 3 2 22 7" xfId="50309" xr:uid="{00000000-0005-0000-0000-000085C40000}"/>
    <cellStyle name="Total 3 2 23" xfId="50310" xr:uid="{00000000-0005-0000-0000-000086C40000}"/>
    <cellStyle name="Total 3 2 23 2" xfId="50311" xr:uid="{00000000-0005-0000-0000-000087C40000}"/>
    <cellStyle name="Total 3 2 23 2 2" xfId="50312" xr:uid="{00000000-0005-0000-0000-000088C40000}"/>
    <cellStyle name="Total 3 2 23 2 3" xfId="50313" xr:uid="{00000000-0005-0000-0000-000089C40000}"/>
    <cellStyle name="Total 3 2 23 2 4" xfId="50314" xr:uid="{00000000-0005-0000-0000-00008AC40000}"/>
    <cellStyle name="Total 3 2 23 2 5" xfId="50315" xr:uid="{00000000-0005-0000-0000-00008BC40000}"/>
    <cellStyle name="Total 3 2 23 2 6" xfId="50316" xr:uid="{00000000-0005-0000-0000-00008CC40000}"/>
    <cellStyle name="Total 3 2 23 3" xfId="50317" xr:uid="{00000000-0005-0000-0000-00008DC40000}"/>
    <cellStyle name="Total 3 2 23 4" xfId="50318" xr:uid="{00000000-0005-0000-0000-00008EC40000}"/>
    <cellStyle name="Total 3 2 23 5" xfId="50319" xr:uid="{00000000-0005-0000-0000-00008FC40000}"/>
    <cellStyle name="Total 3 2 23 6" xfId="50320" xr:uid="{00000000-0005-0000-0000-000090C40000}"/>
    <cellStyle name="Total 3 2 23 7" xfId="50321" xr:uid="{00000000-0005-0000-0000-000091C40000}"/>
    <cellStyle name="Total 3 2 24" xfId="50322" xr:uid="{00000000-0005-0000-0000-000092C40000}"/>
    <cellStyle name="Total 3 2 24 2" xfId="50323" xr:uid="{00000000-0005-0000-0000-000093C40000}"/>
    <cellStyle name="Total 3 2 24 2 2" xfId="50324" xr:uid="{00000000-0005-0000-0000-000094C40000}"/>
    <cellStyle name="Total 3 2 24 2 3" xfId="50325" xr:uid="{00000000-0005-0000-0000-000095C40000}"/>
    <cellStyle name="Total 3 2 24 2 4" xfId="50326" xr:uid="{00000000-0005-0000-0000-000096C40000}"/>
    <cellStyle name="Total 3 2 24 2 5" xfId="50327" xr:uid="{00000000-0005-0000-0000-000097C40000}"/>
    <cellStyle name="Total 3 2 24 2 6" xfId="50328" xr:uid="{00000000-0005-0000-0000-000098C40000}"/>
    <cellStyle name="Total 3 2 24 3" xfId="50329" xr:uid="{00000000-0005-0000-0000-000099C40000}"/>
    <cellStyle name="Total 3 2 24 4" xfId="50330" xr:uid="{00000000-0005-0000-0000-00009AC40000}"/>
    <cellStyle name="Total 3 2 24 5" xfId="50331" xr:uid="{00000000-0005-0000-0000-00009BC40000}"/>
    <cellStyle name="Total 3 2 24 6" xfId="50332" xr:uid="{00000000-0005-0000-0000-00009CC40000}"/>
    <cellStyle name="Total 3 2 24 7" xfId="50333" xr:uid="{00000000-0005-0000-0000-00009DC40000}"/>
    <cellStyle name="Total 3 2 25" xfId="50334" xr:uid="{00000000-0005-0000-0000-00009EC40000}"/>
    <cellStyle name="Total 3 2 25 2" xfId="50335" xr:uid="{00000000-0005-0000-0000-00009FC40000}"/>
    <cellStyle name="Total 3 2 25 2 2" xfId="50336" xr:uid="{00000000-0005-0000-0000-0000A0C40000}"/>
    <cellStyle name="Total 3 2 25 2 3" xfId="50337" xr:uid="{00000000-0005-0000-0000-0000A1C40000}"/>
    <cellStyle name="Total 3 2 25 2 4" xfId="50338" xr:uid="{00000000-0005-0000-0000-0000A2C40000}"/>
    <cellStyle name="Total 3 2 25 2 5" xfId="50339" xr:uid="{00000000-0005-0000-0000-0000A3C40000}"/>
    <cellStyle name="Total 3 2 25 2 6" xfId="50340" xr:uid="{00000000-0005-0000-0000-0000A4C40000}"/>
    <cellStyle name="Total 3 2 25 3" xfId="50341" xr:uid="{00000000-0005-0000-0000-0000A5C40000}"/>
    <cellStyle name="Total 3 2 25 4" xfId="50342" xr:uid="{00000000-0005-0000-0000-0000A6C40000}"/>
    <cellStyle name="Total 3 2 25 5" xfId="50343" xr:uid="{00000000-0005-0000-0000-0000A7C40000}"/>
    <cellStyle name="Total 3 2 25 6" xfId="50344" xr:uid="{00000000-0005-0000-0000-0000A8C40000}"/>
    <cellStyle name="Total 3 2 25 7" xfId="50345" xr:uid="{00000000-0005-0000-0000-0000A9C40000}"/>
    <cellStyle name="Total 3 2 26" xfId="50346" xr:uid="{00000000-0005-0000-0000-0000AAC40000}"/>
    <cellStyle name="Total 3 2 26 2" xfId="50347" xr:uid="{00000000-0005-0000-0000-0000ABC40000}"/>
    <cellStyle name="Total 3 2 26 2 2" xfId="50348" xr:uid="{00000000-0005-0000-0000-0000ACC40000}"/>
    <cellStyle name="Total 3 2 26 2 3" xfId="50349" xr:uid="{00000000-0005-0000-0000-0000ADC40000}"/>
    <cellStyle name="Total 3 2 26 2 4" xfId="50350" xr:uid="{00000000-0005-0000-0000-0000AEC40000}"/>
    <cellStyle name="Total 3 2 26 2 5" xfId="50351" xr:uid="{00000000-0005-0000-0000-0000AFC40000}"/>
    <cellStyle name="Total 3 2 26 2 6" xfId="50352" xr:uid="{00000000-0005-0000-0000-0000B0C40000}"/>
    <cellStyle name="Total 3 2 26 3" xfId="50353" xr:uid="{00000000-0005-0000-0000-0000B1C40000}"/>
    <cellStyle name="Total 3 2 26 4" xfId="50354" xr:uid="{00000000-0005-0000-0000-0000B2C40000}"/>
    <cellStyle name="Total 3 2 26 5" xfId="50355" xr:uid="{00000000-0005-0000-0000-0000B3C40000}"/>
    <cellStyle name="Total 3 2 26 6" xfId="50356" xr:uid="{00000000-0005-0000-0000-0000B4C40000}"/>
    <cellStyle name="Total 3 2 26 7" xfId="50357" xr:uid="{00000000-0005-0000-0000-0000B5C40000}"/>
    <cellStyle name="Total 3 2 27" xfId="50358" xr:uid="{00000000-0005-0000-0000-0000B6C40000}"/>
    <cellStyle name="Total 3 2 27 2" xfId="50359" xr:uid="{00000000-0005-0000-0000-0000B7C40000}"/>
    <cellStyle name="Total 3 2 27 2 2" xfId="50360" xr:uid="{00000000-0005-0000-0000-0000B8C40000}"/>
    <cellStyle name="Total 3 2 27 2 3" xfId="50361" xr:uid="{00000000-0005-0000-0000-0000B9C40000}"/>
    <cellStyle name="Total 3 2 27 2 4" xfId="50362" xr:uid="{00000000-0005-0000-0000-0000BAC40000}"/>
    <cellStyle name="Total 3 2 27 2 5" xfId="50363" xr:uid="{00000000-0005-0000-0000-0000BBC40000}"/>
    <cellStyle name="Total 3 2 27 2 6" xfId="50364" xr:uid="{00000000-0005-0000-0000-0000BCC40000}"/>
    <cellStyle name="Total 3 2 27 3" xfId="50365" xr:uid="{00000000-0005-0000-0000-0000BDC40000}"/>
    <cellStyle name="Total 3 2 27 4" xfId="50366" xr:uid="{00000000-0005-0000-0000-0000BEC40000}"/>
    <cellStyle name="Total 3 2 27 5" xfId="50367" xr:uid="{00000000-0005-0000-0000-0000BFC40000}"/>
    <cellStyle name="Total 3 2 27 6" xfId="50368" xr:uid="{00000000-0005-0000-0000-0000C0C40000}"/>
    <cellStyle name="Total 3 2 27 7" xfId="50369" xr:uid="{00000000-0005-0000-0000-0000C1C40000}"/>
    <cellStyle name="Total 3 2 28" xfId="50370" xr:uid="{00000000-0005-0000-0000-0000C2C40000}"/>
    <cellStyle name="Total 3 2 28 2" xfId="50371" xr:uid="{00000000-0005-0000-0000-0000C3C40000}"/>
    <cellStyle name="Total 3 2 28 2 2" xfId="50372" xr:uid="{00000000-0005-0000-0000-0000C4C40000}"/>
    <cellStyle name="Total 3 2 28 2 3" xfId="50373" xr:uid="{00000000-0005-0000-0000-0000C5C40000}"/>
    <cellStyle name="Total 3 2 28 2 4" xfId="50374" xr:uid="{00000000-0005-0000-0000-0000C6C40000}"/>
    <cellStyle name="Total 3 2 28 2 5" xfId="50375" xr:uid="{00000000-0005-0000-0000-0000C7C40000}"/>
    <cellStyle name="Total 3 2 28 2 6" xfId="50376" xr:uid="{00000000-0005-0000-0000-0000C8C40000}"/>
    <cellStyle name="Total 3 2 28 3" xfId="50377" xr:uid="{00000000-0005-0000-0000-0000C9C40000}"/>
    <cellStyle name="Total 3 2 28 4" xfId="50378" xr:uid="{00000000-0005-0000-0000-0000CAC40000}"/>
    <cellStyle name="Total 3 2 28 5" xfId="50379" xr:uid="{00000000-0005-0000-0000-0000CBC40000}"/>
    <cellStyle name="Total 3 2 28 6" xfId="50380" xr:uid="{00000000-0005-0000-0000-0000CCC40000}"/>
    <cellStyle name="Total 3 2 28 7" xfId="50381" xr:uid="{00000000-0005-0000-0000-0000CDC40000}"/>
    <cellStyle name="Total 3 2 29" xfId="50382" xr:uid="{00000000-0005-0000-0000-0000CEC40000}"/>
    <cellStyle name="Total 3 2 29 2" xfId="50383" xr:uid="{00000000-0005-0000-0000-0000CFC40000}"/>
    <cellStyle name="Total 3 2 29 2 2" xfId="50384" xr:uid="{00000000-0005-0000-0000-0000D0C40000}"/>
    <cellStyle name="Total 3 2 29 2 3" xfId="50385" xr:uid="{00000000-0005-0000-0000-0000D1C40000}"/>
    <cellStyle name="Total 3 2 29 2 4" xfId="50386" xr:uid="{00000000-0005-0000-0000-0000D2C40000}"/>
    <cellStyle name="Total 3 2 29 2 5" xfId="50387" xr:uid="{00000000-0005-0000-0000-0000D3C40000}"/>
    <cellStyle name="Total 3 2 29 2 6" xfId="50388" xr:uid="{00000000-0005-0000-0000-0000D4C40000}"/>
    <cellStyle name="Total 3 2 29 3" xfId="50389" xr:uid="{00000000-0005-0000-0000-0000D5C40000}"/>
    <cellStyle name="Total 3 2 29 4" xfId="50390" xr:uid="{00000000-0005-0000-0000-0000D6C40000}"/>
    <cellStyle name="Total 3 2 29 5" xfId="50391" xr:uid="{00000000-0005-0000-0000-0000D7C40000}"/>
    <cellStyle name="Total 3 2 29 6" xfId="50392" xr:uid="{00000000-0005-0000-0000-0000D8C40000}"/>
    <cellStyle name="Total 3 2 29 7" xfId="50393" xr:uid="{00000000-0005-0000-0000-0000D9C40000}"/>
    <cellStyle name="Total 3 2 3" xfId="50394" xr:uid="{00000000-0005-0000-0000-0000DAC40000}"/>
    <cellStyle name="Total 3 2 3 2" xfId="50395" xr:uid="{00000000-0005-0000-0000-0000DBC40000}"/>
    <cellStyle name="Total 3 2 3 2 2" xfId="50396" xr:uid="{00000000-0005-0000-0000-0000DCC40000}"/>
    <cellStyle name="Total 3 2 3 2 3" xfId="50397" xr:uid="{00000000-0005-0000-0000-0000DDC40000}"/>
    <cellStyle name="Total 3 2 3 2 4" xfId="50398" xr:uid="{00000000-0005-0000-0000-0000DEC40000}"/>
    <cellStyle name="Total 3 2 3 2 5" xfId="50399" xr:uid="{00000000-0005-0000-0000-0000DFC40000}"/>
    <cellStyle name="Total 3 2 3 2 6" xfId="50400" xr:uid="{00000000-0005-0000-0000-0000E0C40000}"/>
    <cellStyle name="Total 3 2 3 3" xfId="50401" xr:uid="{00000000-0005-0000-0000-0000E1C40000}"/>
    <cellStyle name="Total 3 2 3 4" xfId="50402" xr:uid="{00000000-0005-0000-0000-0000E2C40000}"/>
    <cellStyle name="Total 3 2 3 5" xfId="50403" xr:uid="{00000000-0005-0000-0000-0000E3C40000}"/>
    <cellStyle name="Total 3 2 3 6" xfId="50404" xr:uid="{00000000-0005-0000-0000-0000E4C40000}"/>
    <cellStyle name="Total 3 2 3 7" xfId="50405" xr:uid="{00000000-0005-0000-0000-0000E5C40000}"/>
    <cellStyle name="Total 3 2 30" xfId="50406" xr:uid="{00000000-0005-0000-0000-0000E6C40000}"/>
    <cellStyle name="Total 3 2 30 2" xfId="50407" xr:uid="{00000000-0005-0000-0000-0000E7C40000}"/>
    <cellStyle name="Total 3 2 30 2 2" xfId="50408" xr:uid="{00000000-0005-0000-0000-0000E8C40000}"/>
    <cellStyle name="Total 3 2 30 2 3" xfId="50409" xr:uid="{00000000-0005-0000-0000-0000E9C40000}"/>
    <cellStyle name="Total 3 2 30 2 4" xfId="50410" xr:uid="{00000000-0005-0000-0000-0000EAC40000}"/>
    <cellStyle name="Total 3 2 30 2 5" xfId="50411" xr:uid="{00000000-0005-0000-0000-0000EBC40000}"/>
    <cellStyle name="Total 3 2 30 2 6" xfId="50412" xr:uid="{00000000-0005-0000-0000-0000ECC40000}"/>
    <cellStyle name="Total 3 2 30 3" xfId="50413" xr:uid="{00000000-0005-0000-0000-0000EDC40000}"/>
    <cellStyle name="Total 3 2 30 4" xfId="50414" xr:uid="{00000000-0005-0000-0000-0000EEC40000}"/>
    <cellStyle name="Total 3 2 30 5" xfId="50415" xr:uid="{00000000-0005-0000-0000-0000EFC40000}"/>
    <cellStyle name="Total 3 2 30 6" xfId="50416" xr:uid="{00000000-0005-0000-0000-0000F0C40000}"/>
    <cellStyle name="Total 3 2 30 7" xfId="50417" xr:uid="{00000000-0005-0000-0000-0000F1C40000}"/>
    <cellStyle name="Total 3 2 31" xfId="50418" xr:uid="{00000000-0005-0000-0000-0000F2C40000}"/>
    <cellStyle name="Total 3 2 31 2" xfId="50419" xr:uid="{00000000-0005-0000-0000-0000F3C40000}"/>
    <cellStyle name="Total 3 2 31 2 2" xfId="50420" xr:uid="{00000000-0005-0000-0000-0000F4C40000}"/>
    <cellStyle name="Total 3 2 31 2 3" xfId="50421" xr:uid="{00000000-0005-0000-0000-0000F5C40000}"/>
    <cellStyle name="Total 3 2 31 2 4" xfId="50422" xr:uid="{00000000-0005-0000-0000-0000F6C40000}"/>
    <cellStyle name="Total 3 2 31 2 5" xfId="50423" xr:uid="{00000000-0005-0000-0000-0000F7C40000}"/>
    <cellStyle name="Total 3 2 31 2 6" xfId="50424" xr:uid="{00000000-0005-0000-0000-0000F8C40000}"/>
    <cellStyle name="Total 3 2 31 3" xfId="50425" xr:uid="{00000000-0005-0000-0000-0000F9C40000}"/>
    <cellStyle name="Total 3 2 31 4" xfId="50426" xr:uid="{00000000-0005-0000-0000-0000FAC40000}"/>
    <cellStyle name="Total 3 2 31 5" xfId="50427" xr:uid="{00000000-0005-0000-0000-0000FBC40000}"/>
    <cellStyle name="Total 3 2 31 6" xfId="50428" xr:uid="{00000000-0005-0000-0000-0000FCC40000}"/>
    <cellStyle name="Total 3 2 31 7" xfId="50429" xr:uid="{00000000-0005-0000-0000-0000FDC40000}"/>
    <cellStyle name="Total 3 2 32" xfId="50430" xr:uid="{00000000-0005-0000-0000-0000FEC40000}"/>
    <cellStyle name="Total 3 2 32 2" xfId="50431" xr:uid="{00000000-0005-0000-0000-0000FFC40000}"/>
    <cellStyle name="Total 3 2 32 2 2" xfId="50432" xr:uid="{00000000-0005-0000-0000-000000C50000}"/>
    <cellStyle name="Total 3 2 32 2 3" xfId="50433" xr:uid="{00000000-0005-0000-0000-000001C50000}"/>
    <cellStyle name="Total 3 2 32 2 4" xfId="50434" xr:uid="{00000000-0005-0000-0000-000002C50000}"/>
    <cellStyle name="Total 3 2 32 2 5" xfId="50435" xr:uid="{00000000-0005-0000-0000-000003C50000}"/>
    <cellStyle name="Total 3 2 32 2 6" xfId="50436" xr:uid="{00000000-0005-0000-0000-000004C50000}"/>
    <cellStyle name="Total 3 2 32 3" xfId="50437" xr:uid="{00000000-0005-0000-0000-000005C50000}"/>
    <cellStyle name="Total 3 2 32 4" xfId="50438" xr:uid="{00000000-0005-0000-0000-000006C50000}"/>
    <cellStyle name="Total 3 2 32 5" xfId="50439" xr:uid="{00000000-0005-0000-0000-000007C50000}"/>
    <cellStyle name="Total 3 2 32 6" xfId="50440" xr:uid="{00000000-0005-0000-0000-000008C50000}"/>
    <cellStyle name="Total 3 2 32 7" xfId="50441" xr:uid="{00000000-0005-0000-0000-000009C50000}"/>
    <cellStyle name="Total 3 2 33" xfId="50442" xr:uid="{00000000-0005-0000-0000-00000AC50000}"/>
    <cellStyle name="Total 3 2 33 2" xfId="50443" xr:uid="{00000000-0005-0000-0000-00000BC50000}"/>
    <cellStyle name="Total 3 2 33 2 2" xfId="50444" xr:uid="{00000000-0005-0000-0000-00000CC50000}"/>
    <cellStyle name="Total 3 2 33 2 3" xfId="50445" xr:uid="{00000000-0005-0000-0000-00000DC50000}"/>
    <cellStyle name="Total 3 2 33 2 4" xfId="50446" xr:uid="{00000000-0005-0000-0000-00000EC50000}"/>
    <cellStyle name="Total 3 2 33 2 5" xfId="50447" xr:uid="{00000000-0005-0000-0000-00000FC50000}"/>
    <cellStyle name="Total 3 2 33 2 6" xfId="50448" xr:uid="{00000000-0005-0000-0000-000010C50000}"/>
    <cellStyle name="Total 3 2 33 3" xfId="50449" xr:uid="{00000000-0005-0000-0000-000011C50000}"/>
    <cellStyle name="Total 3 2 33 4" xfId="50450" xr:uid="{00000000-0005-0000-0000-000012C50000}"/>
    <cellStyle name="Total 3 2 33 5" xfId="50451" xr:uid="{00000000-0005-0000-0000-000013C50000}"/>
    <cellStyle name="Total 3 2 33 6" xfId="50452" xr:uid="{00000000-0005-0000-0000-000014C50000}"/>
    <cellStyle name="Total 3 2 33 7" xfId="50453" xr:uid="{00000000-0005-0000-0000-000015C50000}"/>
    <cellStyle name="Total 3 2 34" xfId="50454" xr:uid="{00000000-0005-0000-0000-000016C50000}"/>
    <cellStyle name="Total 3 2 34 2" xfId="50455" xr:uid="{00000000-0005-0000-0000-000017C50000}"/>
    <cellStyle name="Total 3 2 34 2 2" xfId="50456" xr:uid="{00000000-0005-0000-0000-000018C50000}"/>
    <cellStyle name="Total 3 2 34 2 3" xfId="50457" xr:uid="{00000000-0005-0000-0000-000019C50000}"/>
    <cellStyle name="Total 3 2 34 2 4" xfId="50458" xr:uid="{00000000-0005-0000-0000-00001AC50000}"/>
    <cellStyle name="Total 3 2 34 2 5" xfId="50459" xr:uid="{00000000-0005-0000-0000-00001BC50000}"/>
    <cellStyle name="Total 3 2 34 2 6" xfId="50460" xr:uid="{00000000-0005-0000-0000-00001CC50000}"/>
    <cellStyle name="Total 3 2 34 3" xfId="50461" xr:uid="{00000000-0005-0000-0000-00001DC50000}"/>
    <cellStyle name="Total 3 2 34 4" xfId="50462" xr:uid="{00000000-0005-0000-0000-00001EC50000}"/>
    <cellStyle name="Total 3 2 34 5" xfId="50463" xr:uid="{00000000-0005-0000-0000-00001FC50000}"/>
    <cellStyle name="Total 3 2 34 6" xfId="50464" xr:uid="{00000000-0005-0000-0000-000020C50000}"/>
    <cellStyle name="Total 3 2 34 7" xfId="50465" xr:uid="{00000000-0005-0000-0000-000021C50000}"/>
    <cellStyle name="Total 3 2 35" xfId="50466" xr:uid="{00000000-0005-0000-0000-000022C50000}"/>
    <cellStyle name="Total 3 2 35 2" xfId="50467" xr:uid="{00000000-0005-0000-0000-000023C50000}"/>
    <cellStyle name="Total 3 2 35 2 2" xfId="50468" xr:uid="{00000000-0005-0000-0000-000024C50000}"/>
    <cellStyle name="Total 3 2 35 2 3" xfId="50469" xr:uid="{00000000-0005-0000-0000-000025C50000}"/>
    <cellStyle name="Total 3 2 35 2 4" xfId="50470" xr:uid="{00000000-0005-0000-0000-000026C50000}"/>
    <cellStyle name="Total 3 2 35 2 5" xfId="50471" xr:uid="{00000000-0005-0000-0000-000027C50000}"/>
    <cellStyle name="Total 3 2 35 2 6" xfId="50472" xr:uid="{00000000-0005-0000-0000-000028C50000}"/>
    <cellStyle name="Total 3 2 35 3" xfId="50473" xr:uid="{00000000-0005-0000-0000-000029C50000}"/>
    <cellStyle name="Total 3 2 35 4" xfId="50474" xr:uid="{00000000-0005-0000-0000-00002AC50000}"/>
    <cellStyle name="Total 3 2 35 5" xfId="50475" xr:uid="{00000000-0005-0000-0000-00002BC50000}"/>
    <cellStyle name="Total 3 2 35 6" xfId="50476" xr:uid="{00000000-0005-0000-0000-00002CC50000}"/>
    <cellStyle name="Total 3 2 35 7" xfId="50477" xr:uid="{00000000-0005-0000-0000-00002DC50000}"/>
    <cellStyle name="Total 3 2 36" xfId="50478" xr:uid="{00000000-0005-0000-0000-00002EC50000}"/>
    <cellStyle name="Total 3 2 36 2" xfId="50479" xr:uid="{00000000-0005-0000-0000-00002FC50000}"/>
    <cellStyle name="Total 3 2 36 2 2" xfId="50480" xr:uid="{00000000-0005-0000-0000-000030C50000}"/>
    <cellStyle name="Total 3 2 36 2 3" xfId="50481" xr:uid="{00000000-0005-0000-0000-000031C50000}"/>
    <cellStyle name="Total 3 2 36 2 4" xfId="50482" xr:uid="{00000000-0005-0000-0000-000032C50000}"/>
    <cellStyle name="Total 3 2 36 2 5" xfId="50483" xr:uid="{00000000-0005-0000-0000-000033C50000}"/>
    <cellStyle name="Total 3 2 36 2 6" xfId="50484" xr:uid="{00000000-0005-0000-0000-000034C50000}"/>
    <cellStyle name="Total 3 2 36 3" xfId="50485" xr:uid="{00000000-0005-0000-0000-000035C50000}"/>
    <cellStyle name="Total 3 2 36 4" xfId="50486" xr:uid="{00000000-0005-0000-0000-000036C50000}"/>
    <cellStyle name="Total 3 2 36 5" xfId="50487" xr:uid="{00000000-0005-0000-0000-000037C50000}"/>
    <cellStyle name="Total 3 2 36 6" xfId="50488" xr:uid="{00000000-0005-0000-0000-000038C50000}"/>
    <cellStyle name="Total 3 2 36 7" xfId="50489" xr:uid="{00000000-0005-0000-0000-000039C50000}"/>
    <cellStyle name="Total 3 2 37" xfId="50490" xr:uid="{00000000-0005-0000-0000-00003AC50000}"/>
    <cellStyle name="Total 3 2 37 2" xfId="50491" xr:uid="{00000000-0005-0000-0000-00003BC50000}"/>
    <cellStyle name="Total 3 2 37 2 2" xfId="50492" xr:uid="{00000000-0005-0000-0000-00003CC50000}"/>
    <cellStyle name="Total 3 2 37 2 3" xfId="50493" xr:uid="{00000000-0005-0000-0000-00003DC50000}"/>
    <cellStyle name="Total 3 2 37 2 4" xfId="50494" xr:uid="{00000000-0005-0000-0000-00003EC50000}"/>
    <cellStyle name="Total 3 2 37 2 5" xfId="50495" xr:uid="{00000000-0005-0000-0000-00003FC50000}"/>
    <cellStyle name="Total 3 2 37 2 6" xfId="50496" xr:uid="{00000000-0005-0000-0000-000040C50000}"/>
    <cellStyle name="Total 3 2 37 3" xfId="50497" xr:uid="{00000000-0005-0000-0000-000041C50000}"/>
    <cellStyle name="Total 3 2 37 4" xfId="50498" xr:uid="{00000000-0005-0000-0000-000042C50000}"/>
    <cellStyle name="Total 3 2 37 5" xfId="50499" xr:uid="{00000000-0005-0000-0000-000043C50000}"/>
    <cellStyle name="Total 3 2 37 6" xfId="50500" xr:uid="{00000000-0005-0000-0000-000044C50000}"/>
    <cellStyle name="Total 3 2 37 7" xfId="50501" xr:uid="{00000000-0005-0000-0000-000045C50000}"/>
    <cellStyle name="Total 3 2 38" xfId="50502" xr:uid="{00000000-0005-0000-0000-000046C50000}"/>
    <cellStyle name="Total 3 2 38 2" xfId="50503" xr:uid="{00000000-0005-0000-0000-000047C50000}"/>
    <cellStyle name="Total 3 2 38 2 2" xfId="50504" xr:uid="{00000000-0005-0000-0000-000048C50000}"/>
    <cellStyle name="Total 3 2 38 2 3" xfId="50505" xr:uid="{00000000-0005-0000-0000-000049C50000}"/>
    <cellStyle name="Total 3 2 38 2 4" xfId="50506" xr:uid="{00000000-0005-0000-0000-00004AC50000}"/>
    <cellStyle name="Total 3 2 38 2 5" xfId="50507" xr:uid="{00000000-0005-0000-0000-00004BC50000}"/>
    <cellStyle name="Total 3 2 38 2 6" xfId="50508" xr:uid="{00000000-0005-0000-0000-00004CC50000}"/>
    <cellStyle name="Total 3 2 38 3" xfId="50509" xr:uid="{00000000-0005-0000-0000-00004DC50000}"/>
    <cellStyle name="Total 3 2 38 4" xfId="50510" xr:uid="{00000000-0005-0000-0000-00004EC50000}"/>
    <cellStyle name="Total 3 2 38 5" xfId="50511" xr:uid="{00000000-0005-0000-0000-00004FC50000}"/>
    <cellStyle name="Total 3 2 38 6" xfId="50512" xr:uid="{00000000-0005-0000-0000-000050C50000}"/>
    <cellStyle name="Total 3 2 38 7" xfId="50513" xr:uid="{00000000-0005-0000-0000-000051C50000}"/>
    <cellStyle name="Total 3 2 39" xfId="50514" xr:uid="{00000000-0005-0000-0000-000052C50000}"/>
    <cellStyle name="Total 3 2 39 2" xfId="50515" xr:uid="{00000000-0005-0000-0000-000053C50000}"/>
    <cellStyle name="Total 3 2 39 2 2" xfId="50516" xr:uid="{00000000-0005-0000-0000-000054C50000}"/>
    <cellStyle name="Total 3 2 39 2 3" xfId="50517" xr:uid="{00000000-0005-0000-0000-000055C50000}"/>
    <cellStyle name="Total 3 2 39 2 4" xfId="50518" xr:uid="{00000000-0005-0000-0000-000056C50000}"/>
    <cellStyle name="Total 3 2 39 2 5" xfId="50519" xr:uid="{00000000-0005-0000-0000-000057C50000}"/>
    <cellStyle name="Total 3 2 39 2 6" xfId="50520" xr:uid="{00000000-0005-0000-0000-000058C50000}"/>
    <cellStyle name="Total 3 2 39 3" xfId="50521" xr:uid="{00000000-0005-0000-0000-000059C50000}"/>
    <cellStyle name="Total 3 2 39 4" xfId="50522" xr:uid="{00000000-0005-0000-0000-00005AC50000}"/>
    <cellStyle name="Total 3 2 39 5" xfId="50523" xr:uid="{00000000-0005-0000-0000-00005BC50000}"/>
    <cellStyle name="Total 3 2 39 6" xfId="50524" xr:uid="{00000000-0005-0000-0000-00005CC50000}"/>
    <cellStyle name="Total 3 2 39 7" xfId="50525" xr:uid="{00000000-0005-0000-0000-00005DC50000}"/>
    <cellStyle name="Total 3 2 4" xfId="50526" xr:uid="{00000000-0005-0000-0000-00005EC50000}"/>
    <cellStyle name="Total 3 2 4 2" xfId="50527" xr:uid="{00000000-0005-0000-0000-00005FC50000}"/>
    <cellStyle name="Total 3 2 4 2 2" xfId="50528" xr:uid="{00000000-0005-0000-0000-000060C50000}"/>
    <cellStyle name="Total 3 2 4 2 3" xfId="50529" xr:uid="{00000000-0005-0000-0000-000061C50000}"/>
    <cellStyle name="Total 3 2 4 2 4" xfId="50530" xr:uid="{00000000-0005-0000-0000-000062C50000}"/>
    <cellStyle name="Total 3 2 4 2 5" xfId="50531" xr:uid="{00000000-0005-0000-0000-000063C50000}"/>
    <cellStyle name="Total 3 2 4 2 6" xfId="50532" xr:uid="{00000000-0005-0000-0000-000064C50000}"/>
    <cellStyle name="Total 3 2 4 3" xfId="50533" xr:uid="{00000000-0005-0000-0000-000065C50000}"/>
    <cellStyle name="Total 3 2 4 4" xfId="50534" xr:uid="{00000000-0005-0000-0000-000066C50000}"/>
    <cellStyle name="Total 3 2 4 5" xfId="50535" xr:uid="{00000000-0005-0000-0000-000067C50000}"/>
    <cellStyle name="Total 3 2 4 6" xfId="50536" xr:uid="{00000000-0005-0000-0000-000068C50000}"/>
    <cellStyle name="Total 3 2 4 7" xfId="50537" xr:uid="{00000000-0005-0000-0000-000069C50000}"/>
    <cellStyle name="Total 3 2 40" xfId="50538" xr:uid="{00000000-0005-0000-0000-00006AC50000}"/>
    <cellStyle name="Total 3 2 40 2" xfId="50539" xr:uid="{00000000-0005-0000-0000-00006BC50000}"/>
    <cellStyle name="Total 3 2 40 2 2" xfId="50540" xr:uid="{00000000-0005-0000-0000-00006CC50000}"/>
    <cellStyle name="Total 3 2 40 2 3" xfId="50541" xr:uid="{00000000-0005-0000-0000-00006DC50000}"/>
    <cellStyle name="Total 3 2 40 2 4" xfId="50542" xr:uid="{00000000-0005-0000-0000-00006EC50000}"/>
    <cellStyle name="Total 3 2 40 2 5" xfId="50543" xr:uid="{00000000-0005-0000-0000-00006FC50000}"/>
    <cellStyle name="Total 3 2 40 2 6" xfId="50544" xr:uid="{00000000-0005-0000-0000-000070C50000}"/>
    <cellStyle name="Total 3 2 40 3" xfId="50545" xr:uid="{00000000-0005-0000-0000-000071C50000}"/>
    <cellStyle name="Total 3 2 40 4" xfId="50546" xr:uid="{00000000-0005-0000-0000-000072C50000}"/>
    <cellStyle name="Total 3 2 40 5" xfId="50547" xr:uid="{00000000-0005-0000-0000-000073C50000}"/>
    <cellStyle name="Total 3 2 40 6" xfId="50548" xr:uid="{00000000-0005-0000-0000-000074C50000}"/>
    <cellStyle name="Total 3 2 40 7" xfId="50549" xr:uid="{00000000-0005-0000-0000-000075C50000}"/>
    <cellStyle name="Total 3 2 41" xfId="50550" xr:uid="{00000000-0005-0000-0000-000076C50000}"/>
    <cellStyle name="Total 3 2 41 2" xfId="50551" xr:uid="{00000000-0005-0000-0000-000077C50000}"/>
    <cellStyle name="Total 3 2 41 2 2" xfId="50552" xr:uid="{00000000-0005-0000-0000-000078C50000}"/>
    <cellStyle name="Total 3 2 41 2 3" xfId="50553" xr:uid="{00000000-0005-0000-0000-000079C50000}"/>
    <cellStyle name="Total 3 2 41 2 4" xfId="50554" xr:uid="{00000000-0005-0000-0000-00007AC50000}"/>
    <cellStyle name="Total 3 2 41 2 5" xfId="50555" xr:uid="{00000000-0005-0000-0000-00007BC50000}"/>
    <cellStyle name="Total 3 2 41 2 6" xfId="50556" xr:uid="{00000000-0005-0000-0000-00007CC50000}"/>
    <cellStyle name="Total 3 2 41 3" xfId="50557" xr:uid="{00000000-0005-0000-0000-00007DC50000}"/>
    <cellStyle name="Total 3 2 41 4" xfId="50558" xr:uid="{00000000-0005-0000-0000-00007EC50000}"/>
    <cellStyle name="Total 3 2 41 5" xfId="50559" xr:uid="{00000000-0005-0000-0000-00007FC50000}"/>
    <cellStyle name="Total 3 2 41 6" xfId="50560" xr:uid="{00000000-0005-0000-0000-000080C50000}"/>
    <cellStyle name="Total 3 2 41 7" xfId="50561" xr:uid="{00000000-0005-0000-0000-000081C50000}"/>
    <cellStyle name="Total 3 2 42" xfId="50562" xr:uid="{00000000-0005-0000-0000-000082C50000}"/>
    <cellStyle name="Total 3 2 42 2" xfId="50563" xr:uid="{00000000-0005-0000-0000-000083C50000}"/>
    <cellStyle name="Total 3 2 42 3" xfId="50564" xr:uid="{00000000-0005-0000-0000-000084C50000}"/>
    <cellStyle name="Total 3 2 42 4" xfId="50565" xr:uid="{00000000-0005-0000-0000-000085C50000}"/>
    <cellStyle name="Total 3 2 42 5" xfId="50566" xr:uid="{00000000-0005-0000-0000-000086C50000}"/>
    <cellStyle name="Total 3 2 42 6" xfId="50567" xr:uid="{00000000-0005-0000-0000-000087C50000}"/>
    <cellStyle name="Total 3 2 43" xfId="50568" xr:uid="{00000000-0005-0000-0000-000088C50000}"/>
    <cellStyle name="Total 3 2 43 2" xfId="50569" xr:uid="{00000000-0005-0000-0000-000089C50000}"/>
    <cellStyle name="Total 3 2 43 3" xfId="50570" xr:uid="{00000000-0005-0000-0000-00008AC50000}"/>
    <cellStyle name="Total 3 2 43 4" xfId="50571" xr:uid="{00000000-0005-0000-0000-00008BC50000}"/>
    <cellStyle name="Total 3 2 43 5" xfId="50572" xr:uid="{00000000-0005-0000-0000-00008CC50000}"/>
    <cellStyle name="Total 3 2 43 6" xfId="50573" xr:uid="{00000000-0005-0000-0000-00008DC50000}"/>
    <cellStyle name="Total 3 2 5" xfId="50574" xr:uid="{00000000-0005-0000-0000-00008EC50000}"/>
    <cellStyle name="Total 3 2 5 2" xfId="50575" xr:uid="{00000000-0005-0000-0000-00008FC50000}"/>
    <cellStyle name="Total 3 2 5 2 2" xfId="50576" xr:uid="{00000000-0005-0000-0000-000090C50000}"/>
    <cellStyle name="Total 3 2 5 2 3" xfId="50577" xr:uid="{00000000-0005-0000-0000-000091C50000}"/>
    <cellStyle name="Total 3 2 5 2 4" xfId="50578" xr:uid="{00000000-0005-0000-0000-000092C50000}"/>
    <cellStyle name="Total 3 2 5 2 5" xfId="50579" xr:uid="{00000000-0005-0000-0000-000093C50000}"/>
    <cellStyle name="Total 3 2 5 2 6" xfId="50580" xr:uid="{00000000-0005-0000-0000-000094C50000}"/>
    <cellStyle name="Total 3 2 5 3" xfId="50581" xr:uid="{00000000-0005-0000-0000-000095C50000}"/>
    <cellStyle name="Total 3 2 5 4" xfId="50582" xr:uid="{00000000-0005-0000-0000-000096C50000}"/>
    <cellStyle name="Total 3 2 5 5" xfId="50583" xr:uid="{00000000-0005-0000-0000-000097C50000}"/>
    <cellStyle name="Total 3 2 5 6" xfId="50584" xr:uid="{00000000-0005-0000-0000-000098C50000}"/>
    <cellStyle name="Total 3 2 5 7" xfId="50585" xr:uid="{00000000-0005-0000-0000-000099C50000}"/>
    <cellStyle name="Total 3 2 6" xfId="50586" xr:uid="{00000000-0005-0000-0000-00009AC50000}"/>
    <cellStyle name="Total 3 2 6 2" xfId="50587" xr:uid="{00000000-0005-0000-0000-00009BC50000}"/>
    <cellStyle name="Total 3 2 6 2 2" xfId="50588" xr:uid="{00000000-0005-0000-0000-00009CC50000}"/>
    <cellStyle name="Total 3 2 6 2 3" xfId="50589" xr:uid="{00000000-0005-0000-0000-00009DC50000}"/>
    <cellStyle name="Total 3 2 6 2 4" xfId="50590" xr:uid="{00000000-0005-0000-0000-00009EC50000}"/>
    <cellStyle name="Total 3 2 6 2 5" xfId="50591" xr:uid="{00000000-0005-0000-0000-00009FC50000}"/>
    <cellStyle name="Total 3 2 6 2 6" xfId="50592" xr:uid="{00000000-0005-0000-0000-0000A0C50000}"/>
    <cellStyle name="Total 3 2 6 3" xfId="50593" xr:uid="{00000000-0005-0000-0000-0000A1C50000}"/>
    <cellStyle name="Total 3 2 6 4" xfId="50594" xr:uid="{00000000-0005-0000-0000-0000A2C50000}"/>
    <cellStyle name="Total 3 2 6 5" xfId="50595" xr:uid="{00000000-0005-0000-0000-0000A3C50000}"/>
    <cellStyle name="Total 3 2 6 6" xfId="50596" xr:uid="{00000000-0005-0000-0000-0000A4C50000}"/>
    <cellStyle name="Total 3 2 6 7" xfId="50597" xr:uid="{00000000-0005-0000-0000-0000A5C50000}"/>
    <cellStyle name="Total 3 2 7" xfId="50598" xr:uid="{00000000-0005-0000-0000-0000A6C50000}"/>
    <cellStyle name="Total 3 2 7 2" xfId="50599" xr:uid="{00000000-0005-0000-0000-0000A7C50000}"/>
    <cellStyle name="Total 3 2 7 2 2" xfId="50600" xr:uid="{00000000-0005-0000-0000-0000A8C50000}"/>
    <cellStyle name="Total 3 2 7 2 3" xfId="50601" xr:uid="{00000000-0005-0000-0000-0000A9C50000}"/>
    <cellStyle name="Total 3 2 7 2 4" xfId="50602" xr:uid="{00000000-0005-0000-0000-0000AAC50000}"/>
    <cellStyle name="Total 3 2 7 2 5" xfId="50603" xr:uid="{00000000-0005-0000-0000-0000ABC50000}"/>
    <cellStyle name="Total 3 2 7 2 6" xfId="50604" xr:uid="{00000000-0005-0000-0000-0000ACC50000}"/>
    <cellStyle name="Total 3 2 7 3" xfId="50605" xr:uid="{00000000-0005-0000-0000-0000ADC50000}"/>
    <cellStyle name="Total 3 2 7 4" xfId="50606" xr:uid="{00000000-0005-0000-0000-0000AEC50000}"/>
    <cellStyle name="Total 3 2 7 5" xfId="50607" xr:uid="{00000000-0005-0000-0000-0000AFC50000}"/>
    <cellStyle name="Total 3 2 7 6" xfId="50608" xr:uid="{00000000-0005-0000-0000-0000B0C50000}"/>
    <cellStyle name="Total 3 2 7 7" xfId="50609" xr:uid="{00000000-0005-0000-0000-0000B1C50000}"/>
    <cellStyle name="Total 3 2 8" xfId="50610" xr:uid="{00000000-0005-0000-0000-0000B2C50000}"/>
    <cellStyle name="Total 3 2 8 2" xfId="50611" xr:uid="{00000000-0005-0000-0000-0000B3C50000}"/>
    <cellStyle name="Total 3 2 8 2 2" xfId="50612" xr:uid="{00000000-0005-0000-0000-0000B4C50000}"/>
    <cellStyle name="Total 3 2 8 2 3" xfId="50613" xr:uid="{00000000-0005-0000-0000-0000B5C50000}"/>
    <cellStyle name="Total 3 2 8 2 4" xfId="50614" xr:uid="{00000000-0005-0000-0000-0000B6C50000}"/>
    <cellStyle name="Total 3 2 8 2 5" xfId="50615" xr:uid="{00000000-0005-0000-0000-0000B7C50000}"/>
    <cellStyle name="Total 3 2 8 2 6" xfId="50616" xr:uid="{00000000-0005-0000-0000-0000B8C50000}"/>
    <cellStyle name="Total 3 2 8 3" xfId="50617" xr:uid="{00000000-0005-0000-0000-0000B9C50000}"/>
    <cellStyle name="Total 3 2 8 4" xfId="50618" xr:uid="{00000000-0005-0000-0000-0000BAC50000}"/>
    <cellStyle name="Total 3 2 8 5" xfId="50619" xr:uid="{00000000-0005-0000-0000-0000BBC50000}"/>
    <cellStyle name="Total 3 2 8 6" xfId="50620" xr:uid="{00000000-0005-0000-0000-0000BCC50000}"/>
    <cellStyle name="Total 3 2 8 7" xfId="50621" xr:uid="{00000000-0005-0000-0000-0000BDC50000}"/>
    <cellStyle name="Total 3 2 9" xfId="50622" xr:uid="{00000000-0005-0000-0000-0000BEC50000}"/>
    <cellStyle name="Total 3 2 9 2" xfId="50623" xr:uid="{00000000-0005-0000-0000-0000BFC50000}"/>
    <cellStyle name="Total 3 2 9 2 2" xfId="50624" xr:uid="{00000000-0005-0000-0000-0000C0C50000}"/>
    <cellStyle name="Total 3 2 9 2 3" xfId="50625" xr:uid="{00000000-0005-0000-0000-0000C1C50000}"/>
    <cellStyle name="Total 3 2 9 2 4" xfId="50626" xr:uid="{00000000-0005-0000-0000-0000C2C50000}"/>
    <cellStyle name="Total 3 2 9 2 5" xfId="50627" xr:uid="{00000000-0005-0000-0000-0000C3C50000}"/>
    <cellStyle name="Total 3 2 9 2 6" xfId="50628" xr:uid="{00000000-0005-0000-0000-0000C4C50000}"/>
    <cellStyle name="Total 3 2 9 3" xfId="50629" xr:uid="{00000000-0005-0000-0000-0000C5C50000}"/>
    <cellStyle name="Total 3 2 9 4" xfId="50630" xr:uid="{00000000-0005-0000-0000-0000C6C50000}"/>
    <cellStyle name="Total 3 2 9 5" xfId="50631" xr:uid="{00000000-0005-0000-0000-0000C7C50000}"/>
    <cellStyle name="Total 3 2 9 6" xfId="50632" xr:uid="{00000000-0005-0000-0000-0000C8C50000}"/>
    <cellStyle name="Total 3 2 9 7" xfId="50633" xr:uid="{00000000-0005-0000-0000-0000C9C50000}"/>
    <cellStyle name="Total 3 20" xfId="50634" xr:uid="{00000000-0005-0000-0000-0000CAC50000}"/>
    <cellStyle name="Total 3 20 2" xfId="50635" xr:uid="{00000000-0005-0000-0000-0000CBC50000}"/>
    <cellStyle name="Total 3 20 2 2" xfId="50636" xr:uid="{00000000-0005-0000-0000-0000CCC50000}"/>
    <cellStyle name="Total 3 20 2 3" xfId="50637" xr:uid="{00000000-0005-0000-0000-0000CDC50000}"/>
    <cellStyle name="Total 3 20 2 4" xfId="50638" xr:uid="{00000000-0005-0000-0000-0000CEC50000}"/>
    <cellStyle name="Total 3 20 2 5" xfId="50639" xr:uid="{00000000-0005-0000-0000-0000CFC50000}"/>
    <cellStyle name="Total 3 20 2 6" xfId="50640" xr:uid="{00000000-0005-0000-0000-0000D0C50000}"/>
    <cellStyle name="Total 3 20 3" xfId="50641" xr:uid="{00000000-0005-0000-0000-0000D1C50000}"/>
    <cellStyle name="Total 3 20 4" xfId="50642" xr:uid="{00000000-0005-0000-0000-0000D2C50000}"/>
    <cellStyle name="Total 3 20 5" xfId="50643" xr:uid="{00000000-0005-0000-0000-0000D3C50000}"/>
    <cellStyle name="Total 3 20 6" xfId="50644" xr:uid="{00000000-0005-0000-0000-0000D4C50000}"/>
    <cellStyle name="Total 3 20 7" xfId="50645" xr:uid="{00000000-0005-0000-0000-0000D5C50000}"/>
    <cellStyle name="Total 3 21" xfId="50646" xr:uid="{00000000-0005-0000-0000-0000D6C50000}"/>
    <cellStyle name="Total 3 21 2" xfId="50647" xr:uid="{00000000-0005-0000-0000-0000D7C50000}"/>
    <cellStyle name="Total 3 21 2 2" xfId="50648" xr:uid="{00000000-0005-0000-0000-0000D8C50000}"/>
    <cellStyle name="Total 3 21 2 3" xfId="50649" xr:uid="{00000000-0005-0000-0000-0000D9C50000}"/>
    <cellStyle name="Total 3 21 2 4" xfId="50650" xr:uid="{00000000-0005-0000-0000-0000DAC50000}"/>
    <cellStyle name="Total 3 21 2 5" xfId="50651" xr:uid="{00000000-0005-0000-0000-0000DBC50000}"/>
    <cellStyle name="Total 3 21 2 6" xfId="50652" xr:uid="{00000000-0005-0000-0000-0000DCC50000}"/>
    <cellStyle name="Total 3 21 3" xfId="50653" xr:uid="{00000000-0005-0000-0000-0000DDC50000}"/>
    <cellStyle name="Total 3 21 4" xfId="50654" xr:uid="{00000000-0005-0000-0000-0000DEC50000}"/>
    <cellStyle name="Total 3 21 5" xfId="50655" xr:uid="{00000000-0005-0000-0000-0000DFC50000}"/>
    <cellStyle name="Total 3 21 6" xfId="50656" xr:uid="{00000000-0005-0000-0000-0000E0C50000}"/>
    <cellStyle name="Total 3 21 7" xfId="50657" xr:uid="{00000000-0005-0000-0000-0000E1C50000}"/>
    <cellStyle name="Total 3 22" xfId="50658" xr:uid="{00000000-0005-0000-0000-0000E2C50000}"/>
    <cellStyle name="Total 3 22 2" xfId="50659" xr:uid="{00000000-0005-0000-0000-0000E3C50000}"/>
    <cellStyle name="Total 3 22 2 2" xfId="50660" xr:uid="{00000000-0005-0000-0000-0000E4C50000}"/>
    <cellStyle name="Total 3 22 2 3" xfId="50661" xr:uid="{00000000-0005-0000-0000-0000E5C50000}"/>
    <cellStyle name="Total 3 22 2 4" xfId="50662" xr:uid="{00000000-0005-0000-0000-0000E6C50000}"/>
    <cellStyle name="Total 3 22 2 5" xfId="50663" xr:uid="{00000000-0005-0000-0000-0000E7C50000}"/>
    <cellStyle name="Total 3 22 2 6" xfId="50664" xr:uid="{00000000-0005-0000-0000-0000E8C50000}"/>
    <cellStyle name="Total 3 22 3" xfId="50665" xr:uid="{00000000-0005-0000-0000-0000E9C50000}"/>
    <cellStyle name="Total 3 22 4" xfId="50666" xr:uid="{00000000-0005-0000-0000-0000EAC50000}"/>
    <cellStyle name="Total 3 22 5" xfId="50667" xr:uid="{00000000-0005-0000-0000-0000EBC50000}"/>
    <cellStyle name="Total 3 22 6" xfId="50668" xr:uid="{00000000-0005-0000-0000-0000ECC50000}"/>
    <cellStyle name="Total 3 22 7" xfId="50669" xr:uid="{00000000-0005-0000-0000-0000EDC50000}"/>
    <cellStyle name="Total 3 23" xfId="50670" xr:uid="{00000000-0005-0000-0000-0000EEC50000}"/>
    <cellStyle name="Total 3 23 2" xfId="50671" xr:uid="{00000000-0005-0000-0000-0000EFC50000}"/>
    <cellStyle name="Total 3 23 2 2" xfId="50672" xr:uid="{00000000-0005-0000-0000-0000F0C50000}"/>
    <cellStyle name="Total 3 23 2 3" xfId="50673" xr:uid="{00000000-0005-0000-0000-0000F1C50000}"/>
    <cellStyle name="Total 3 23 2 4" xfId="50674" xr:uid="{00000000-0005-0000-0000-0000F2C50000}"/>
    <cellStyle name="Total 3 23 2 5" xfId="50675" xr:uid="{00000000-0005-0000-0000-0000F3C50000}"/>
    <cellStyle name="Total 3 23 2 6" xfId="50676" xr:uid="{00000000-0005-0000-0000-0000F4C50000}"/>
    <cellStyle name="Total 3 23 3" xfId="50677" xr:uid="{00000000-0005-0000-0000-0000F5C50000}"/>
    <cellStyle name="Total 3 23 4" xfId="50678" xr:uid="{00000000-0005-0000-0000-0000F6C50000}"/>
    <cellStyle name="Total 3 23 5" xfId="50679" xr:uid="{00000000-0005-0000-0000-0000F7C50000}"/>
    <cellStyle name="Total 3 23 6" xfId="50680" xr:uid="{00000000-0005-0000-0000-0000F8C50000}"/>
    <cellStyle name="Total 3 23 7" xfId="50681" xr:uid="{00000000-0005-0000-0000-0000F9C50000}"/>
    <cellStyle name="Total 3 24" xfId="50682" xr:uid="{00000000-0005-0000-0000-0000FAC50000}"/>
    <cellStyle name="Total 3 24 2" xfId="50683" xr:uid="{00000000-0005-0000-0000-0000FBC50000}"/>
    <cellStyle name="Total 3 24 2 2" xfId="50684" xr:uid="{00000000-0005-0000-0000-0000FCC50000}"/>
    <cellStyle name="Total 3 24 2 3" xfId="50685" xr:uid="{00000000-0005-0000-0000-0000FDC50000}"/>
    <cellStyle name="Total 3 24 2 4" xfId="50686" xr:uid="{00000000-0005-0000-0000-0000FEC50000}"/>
    <cellStyle name="Total 3 24 2 5" xfId="50687" xr:uid="{00000000-0005-0000-0000-0000FFC50000}"/>
    <cellStyle name="Total 3 24 2 6" xfId="50688" xr:uid="{00000000-0005-0000-0000-000000C60000}"/>
    <cellStyle name="Total 3 24 3" xfId="50689" xr:uid="{00000000-0005-0000-0000-000001C60000}"/>
    <cellStyle name="Total 3 24 4" xfId="50690" xr:uid="{00000000-0005-0000-0000-000002C60000}"/>
    <cellStyle name="Total 3 24 5" xfId="50691" xr:uid="{00000000-0005-0000-0000-000003C60000}"/>
    <cellStyle name="Total 3 24 6" xfId="50692" xr:uid="{00000000-0005-0000-0000-000004C60000}"/>
    <cellStyle name="Total 3 24 7" xfId="50693" xr:uid="{00000000-0005-0000-0000-000005C60000}"/>
    <cellStyle name="Total 3 25" xfId="50694" xr:uid="{00000000-0005-0000-0000-000006C60000}"/>
    <cellStyle name="Total 3 25 2" xfId="50695" xr:uid="{00000000-0005-0000-0000-000007C60000}"/>
    <cellStyle name="Total 3 25 2 2" xfId="50696" xr:uid="{00000000-0005-0000-0000-000008C60000}"/>
    <cellStyle name="Total 3 25 2 3" xfId="50697" xr:uid="{00000000-0005-0000-0000-000009C60000}"/>
    <cellStyle name="Total 3 25 2 4" xfId="50698" xr:uid="{00000000-0005-0000-0000-00000AC60000}"/>
    <cellStyle name="Total 3 25 2 5" xfId="50699" xr:uid="{00000000-0005-0000-0000-00000BC60000}"/>
    <cellStyle name="Total 3 25 2 6" xfId="50700" xr:uid="{00000000-0005-0000-0000-00000CC60000}"/>
    <cellStyle name="Total 3 25 3" xfId="50701" xr:uid="{00000000-0005-0000-0000-00000DC60000}"/>
    <cellStyle name="Total 3 25 4" xfId="50702" xr:uid="{00000000-0005-0000-0000-00000EC60000}"/>
    <cellStyle name="Total 3 25 5" xfId="50703" xr:uid="{00000000-0005-0000-0000-00000FC60000}"/>
    <cellStyle name="Total 3 25 6" xfId="50704" xr:uid="{00000000-0005-0000-0000-000010C60000}"/>
    <cellStyle name="Total 3 25 7" xfId="50705" xr:uid="{00000000-0005-0000-0000-000011C60000}"/>
    <cellStyle name="Total 3 26" xfId="50706" xr:uid="{00000000-0005-0000-0000-000012C60000}"/>
    <cellStyle name="Total 3 26 2" xfId="50707" xr:uid="{00000000-0005-0000-0000-000013C60000}"/>
    <cellStyle name="Total 3 26 2 2" xfId="50708" xr:uid="{00000000-0005-0000-0000-000014C60000}"/>
    <cellStyle name="Total 3 26 2 3" xfId="50709" xr:uid="{00000000-0005-0000-0000-000015C60000}"/>
    <cellStyle name="Total 3 26 2 4" xfId="50710" xr:uid="{00000000-0005-0000-0000-000016C60000}"/>
    <cellStyle name="Total 3 26 2 5" xfId="50711" xr:uid="{00000000-0005-0000-0000-000017C60000}"/>
    <cellStyle name="Total 3 26 2 6" xfId="50712" xr:uid="{00000000-0005-0000-0000-000018C60000}"/>
    <cellStyle name="Total 3 26 3" xfId="50713" xr:uid="{00000000-0005-0000-0000-000019C60000}"/>
    <cellStyle name="Total 3 26 4" xfId="50714" xr:uid="{00000000-0005-0000-0000-00001AC60000}"/>
    <cellStyle name="Total 3 26 5" xfId="50715" xr:uid="{00000000-0005-0000-0000-00001BC60000}"/>
    <cellStyle name="Total 3 26 6" xfId="50716" xr:uid="{00000000-0005-0000-0000-00001CC60000}"/>
    <cellStyle name="Total 3 26 7" xfId="50717" xr:uid="{00000000-0005-0000-0000-00001DC60000}"/>
    <cellStyle name="Total 3 27" xfId="50718" xr:uid="{00000000-0005-0000-0000-00001EC60000}"/>
    <cellStyle name="Total 3 27 2" xfId="50719" xr:uid="{00000000-0005-0000-0000-00001FC60000}"/>
    <cellStyle name="Total 3 27 2 2" xfId="50720" xr:uid="{00000000-0005-0000-0000-000020C60000}"/>
    <cellStyle name="Total 3 27 2 3" xfId="50721" xr:uid="{00000000-0005-0000-0000-000021C60000}"/>
    <cellStyle name="Total 3 27 2 4" xfId="50722" xr:uid="{00000000-0005-0000-0000-000022C60000}"/>
    <cellStyle name="Total 3 27 2 5" xfId="50723" xr:uid="{00000000-0005-0000-0000-000023C60000}"/>
    <cellStyle name="Total 3 27 2 6" xfId="50724" xr:uid="{00000000-0005-0000-0000-000024C60000}"/>
    <cellStyle name="Total 3 27 3" xfId="50725" xr:uid="{00000000-0005-0000-0000-000025C60000}"/>
    <cellStyle name="Total 3 27 4" xfId="50726" xr:uid="{00000000-0005-0000-0000-000026C60000}"/>
    <cellStyle name="Total 3 27 5" xfId="50727" xr:uid="{00000000-0005-0000-0000-000027C60000}"/>
    <cellStyle name="Total 3 27 6" xfId="50728" xr:uid="{00000000-0005-0000-0000-000028C60000}"/>
    <cellStyle name="Total 3 27 7" xfId="50729" xr:uid="{00000000-0005-0000-0000-000029C60000}"/>
    <cellStyle name="Total 3 28" xfId="50730" xr:uid="{00000000-0005-0000-0000-00002AC60000}"/>
    <cellStyle name="Total 3 28 2" xfId="50731" xr:uid="{00000000-0005-0000-0000-00002BC60000}"/>
    <cellStyle name="Total 3 28 2 2" xfId="50732" xr:uid="{00000000-0005-0000-0000-00002CC60000}"/>
    <cellStyle name="Total 3 28 2 3" xfId="50733" xr:uid="{00000000-0005-0000-0000-00002DC60000}"/>
    <cellStyle name="Total 3 28 2 4" xfId="50734" xr:uid="{00000000-0005-0000-0000-00002EC60000}"/>
    <cellStyle name="Total 3 28 2 5" xfId="50735" xr:uid="{00000000-0005-0000-0000-00002FC60000}"/>
    <cellStyle name="Total 3 28 2 6" xfId="50736" xr:uid="{00000000-0005-0000-0000-000030C60000}"/>
    <cellStyle name="Total 3 28 3" xfId="50737" xr:uid="{00000000-0005-0000-0000-000031C60000}"/>
    <cellStyle name="Total 3 28 4" xfId="50738" xr:uid="{00000000-0005-0000-0000-000032C60000}"/>
    <cellStyle name="Total 3 28 5" xfId="50739" xr:uid="{00000000-0005-0000-0000-000033C60000}"/>
    <cellStyle name="Total 3 28 6" xfId="50740" xr:uid="{00000000-0005-0000-0000-000034C60000}"/>
    <cellStyle name="Total 3 28 7" xfId="50741" xr:uid="{00000000-0005-0000-0000-000035C60000}"/>
    <cellStyle name="Total 3 29" xfId="50742" xr:uid="{00000000-0005-0000-0000-000036C60000}"/>
    <cellStyle name="Total 3 29 2" xfId="50743" xr:uid="{00000000-0005-0000-0000-000037C60000}"/>
    <cellStyle name="Total 3 29 2 2" xfId="50744" xr:uid="{00000000-0005-0000-0000-000038C60000}"/>
    <cellStyle name="Total 3 29 2 3" xfId="50745" xr:uid="{00000000-0005-0000-0000-000039C60000}"/>
    <cellStyle name="Total 3 29 2 4" xfId="50746" xr:uid="{00000000-0005-0000-0000-00003AC60000}"/>
    <cellStyle name="Total 3 29 2 5" xfId="50747" xr:uid="{00000000-0005-0000-0000-00003BC60000}"/>
    <cellStyle name="Total 3 29 2 6" xfId="50748" xr:uid="{00000000-0005-0000-0000-00003CC60000}"/>
    <cellStyle name="Total 3 29 3" xfId="50749" xr:uid="{00000000-0005-0000-0000-00003DC60000}"/>
    <cellStyle name="Total 3 29 4" xfId="50750" xr:uid="{00000000-0005-0000-0000-00003EC60000}"/>
    <cellStyle name="Total 3 29 5" xfId="50751" xr:uid="{00000000-0005-0000-0000-00003FC60000}"/>
    <cellStyle name="Total 3 29 6" xfId="50752" xr:uid="{00000000-0005-0000-0000-000040C60000}"/>
    <cellStyle name="Total 3 29 7" xfId="50753" xr:uid="{00000000-0005-0000-0000-000041C60000}"/>
    <cellStyle name="Total 3 3" xfId="50754" xr:uid="{00000000-0005-0000-0000-000042C60000}"/>
    <cellStyle name="Total 3 3 10" xfId="50755" xr:uid="{00000000-0005-0000-0000-000043C60000}"/>
    <cellStyle name="Total 3 3 10 2" xfId="50756" xr:uid="{00000000-0005-0000-0000-000044C60000}"/>
    <cellStyle name="Total 3 3 10 2 2" xfId="50757" xr:uid="{00000000-0005-0000-0000-000045C60000}"/>
    <cellStyle name="Total 3 3 10 2 3" xfId="50758" xr:uid="{00000000-0005-0000-0000-000046C60000}"/>
    <cellStyle name="Total 3 3 10 2 4" xfId="50759" xr:uid="{00000000-0005-0000-0000-000047C60000}"/>
    <cellStyle name="Total 3 3 10 2 5" xfId="50760" xr:uid="{00000000-0005-0000-0000-000048C60000}"/>
    <cellStyle name="Total 3 3 10 2 6" xfId="50761" xr:uid="{00000000-0005-0000-0000-000049C60000}"/>
    <cellStyle name="Total 3 3 10 3" xfId="50762" xr:uid="{00000000-0005-0000-0000-00004AC60000}"/>
    <cellStyle name="Total 3 3 10 4" xfId="50763" xr:uid="{00000000-0005-0000-0000-00004BC60000}"/>
    <cellStyle name="Total 3 3 10 5" xfId="50764" xr:uid="{00000000-0005-0000-0000-00004CC60000}"/>
    <cellStyle name="Total 3 3 10 6" xfId="50765" xr:uid="{00000000-0005-0000-0000-00004DC60000}"/>
    <cellStyle name="Total 3 3 10 7" xfId="50766" xr:uid="{00000000-0005-0000-0000-00004EC60000}"/>
    <cellStyle name="Total 3 3 11" xfId="50767" xr:uid="{00000000-0005-0000-0000-00004FC60000}"/>
    <cellStyle name="Total 3 3 11 2" xfId="50768" xr:uid="{00000000-0005-0000-0000-000050C60000}"/>
    <cellStyle name="Total 3 3 11 2 2" xfId="50769" xr:uid="{00000000-0005-0000-0000-000051C60000}"/>
    <cellStyle name="Total 3 3 11 2 3" xfId="50770" xr:uid="{00000000-0005-0000-0000-000052C60000}"/>
    <cellStyle name="Total 3 3 11 2 4" xfId="50771" xr:uid="{00000000-0005-0000-0000-000053C60000}"/>
    <cellStyle name="Total 3 3 11 2 5" xfId="50772" xr:uid="{00000000-0005-0000-0000-000054C60000}"/>
    <cellStyle name="Total 3 3 11 2 6" xfId="50773" xr:uid="{00000000-0005-0000-0000-000055C60000}"/>
    <cellStyle name="Total 3 3 11 3" xfId="50774" xr:uid="{00000000-0005-0000-0000-000056C60000}"/>
    <cellStyle name="Total 3 3 11 4" xfId="50775" xr:uid="{00000000-0005-0000-0000-000057C60000}"/>
    <cellStyle name="Total 3 3 11 5" xfId="50776" xr:uid="{00000000-0005-0000-0000-000058C60000}"/>
    <cellStyle name="Total 3 3 11 6" xfId="50777" xr:uid="{00000000-0005-0000-0000-000059C60000}"/>
    <cellStyle name="Total 3 3 11 7" xfId="50778" xr:uid="{00000000-0005-0000-0000-00005AC60000}"/>
    <cellStyle name="Total 3 3 12" xfId="50779" xr:uid="{00000000-0005-0000-0000-00005BC60000}"/>
    <cellStyle name="Total 3 3 12 2" xfId="50780" xr:uid="{00000000-0005-0000-0000-00005CC60000}"/>
    <cellStyle name="Total 3 3 12 2 2" xfId="50781" xr:uid="{00000000-0005-0000-0000-00005DC60000}"/>
    <cellStyle name="Total 3 3 12 2 3" xfId="50782" xr:uid="{00000000-0005-0000-0000-00005EC60000}"/>
    <cellStyle name="Total 3 3 12 2 4" xfId="50783" xr:uid="{00000000-0005-0000-0000-00005FC60000}"/>
    <cellStyle name="Total 3 3 12 2 5" xfId="50784" xr:uid="{00000000-0005-0000-0000-000060C60000}"/>
    <cellStyle name="Total 3 3 12 2 6" xfId="50785" xr:uid="{00000000-0005-0000-0000-000061C60000}"/>
    <cellStyle name="Total 3 3 12 3" xfId="50786" xr:uid="{00000000-0005-0000-0000-000062C60000}"/>
    <cellStyle name="Total 3 3 12 4" xfId="50787" xr:uid="{00000000-0005-0000-0000-000063C60000}"/>
    <cellStyle name="Total 3 3 12 5" xfId="50788" xr:uid="{00000000-0005-0000-0000-000064C60000}"/>
    <cellStyle name="Total 3 3 12 6" xfId="50789" xr:uid="{00000000-0005-0000-0000-000065C60000}"/>
    <cellStyle name="Total 3 3 12 7" xfId="50790" xr:uid="{00000000-0005-0000-0000-000066C60000}"/>
    <cellStyle name="Total 3 3 13" xfId="50791" xr:uid="{00000000-0005-0000-0000-000067C60000}"/>
    <cellStyle name="Total 3 3 13 2" xfId="50792" xr:uid="{00000000-0005-0000-0000-000068C60000}"/>
    <cellStyle name="Total 3 3 13 2 2" xfId="50793" xr:uid="{00000000-0005-0000-0000-000069C60000}"/>
    <cellStyle name="Total 3 3 13 2 3" xfId="50794" xr:uid="{00000000-0005-0000-0000-00006AC60000}"/>
    <cellStyle name="Total 3 3 13 2 4" xfId="50795" xr:uid="{00000000-0005-0000-0000-00006BC60000}"/>
    <cellStyle name="Total 3 3 13 2 5" xfId="50796" xr:uid="{00000000-0005-0000-0000-00006CC60000}"/>
    <cellStyle name="Total 3 3 13 2 6" xfId="50797" xr:uid="{00000000-0005-0000-0000-00006DC60000}"/>
    <cellStyle name="Total 3 3 13 3" xfId="50798" xr:uid="{00000000-0005-0000-0000-00006EC60000}"/>
    <cellStyle name="Total 3 3 13 4" xfId="50799" xr:uid="{00000000-0005-0000-0000-00006FC60000}"/>
    <cellStyle name="Total 3 3 13 5" xfId="50800" xr:uid="{00000000-0005-0000-0000-000070C60000}"/>
    <cellStyle name="Total 3 3 13 6" xfId="50801" xr:uid="{00000000-0005-0000-0000-000071C60000}"/>
    <cellStyle name="Total 3 3 13 7" xfId="50802" xr:uid="{00000000-0005-0000-0000-000072C60000}"/>
    <cellStyle name="Total 3 3 14" xfId="50803" xr:uid="{00000000-0005-0000-0000-000073C60000}"/>
    <cellStyle name="Total 3 3 14 2" xfId="50804" xr:uid="{00000000-0005-0000-0000-000074C60000}"/>
    <cellStyle name="Total 3 3 14 2 2" xfId="50805" xr:uid="{00000000-0005-0000-0000-000075C60000}"/>
    <cellStyle name="Total 3 3 14 2 3" xfId="50806" xr:uid="{00000000-0005-0000-0000-000076C60000}"/>
    <cellStyle name="Total 3 3 14 2 4" xfId="50807" xr:uid="{00000000-0005-0000-0000-000077C60000}"/>
    <cellStyle name="Total 3 3 14 2 5" xfId="50808" xr:uid="{00000000-0005-0000-0000-000078C60000}"/>
    <cellStyle name="Total 3 3 14 2 6" xfId="50809" xr:uid="{00000000-0005-0000-0000-000079C60000}"/>
    <cellStyle name="Total 3 3 14 3" xfId="50810" xr:uid="{00000000-0005-0000-0000-00007AC60000}"/>
    <cellStyle name="Total 3 3 14 4" xfId="50811" xr:uid="{00000000-0005-0000-0000-00007BC60000}"/>
    <cellStyle name="Total 3 3 14 5" xfId="50812" xr:uid="{00000000-0005-0000-0000-00007CC60000}"/>
    <cellStyle name="Total 3 3 14 6" xfId="50813" xr:uid="{00000000-0005-0000-0000-00007DC60000}"/>
    <cellStyle name="Total 3 3 14 7" xfId="50814" xr:uid="{00000000-0005-0000-0000-00007EC60000}"/>
    <cellStyle name="Total 3 3 15" xfId="50815" xr:uid="{00000000-0005-0000-0000-00007FC60000}"/>
    <cellStyle name="Total 3 3 15 2" xfId="50816" xr:uid="{00000000-0005-0000-0000-000080C60000}"/>
    <cellStyle name="Total 3 3 15 2 2" xfId="50817" xr:uid="{00000000-0005-0000-0000-000081C60000}"/>
    <cellStyle name="Total 3 3 15 2 3" xfId="50818" xr:uid="{00000000-0005-0000-0000-000082C60000}"/>
    <cellStyle name="Total 3 3 15 2 4" xfId="50819" xr:uid="{00000000-0005-0000-0000-000083C60000}"/>
    <cellStyle name="Total 3 3 15 2 5" xfId="50820" xr:uid="{00000000-0005-0000-0000-000084C60000}"/>
    <cellStyle name="Total 3 3 15 2 6" xfId="50821" xr:uid="{00000000-0005-0000-0000-000085C60000}"/>
    <cellStyle name="Total 3 3 15 3" xfId="50822" xr:uid="{00000000-0005-0000-0000-000086C60000}"/>
    <cellStyle name="Total 3 3 15 4" xfId="50823" xr:uid="{00000000-0005-0000-0000-000087C60000}"/>
    <cellStyle name="Total 3 3 15 5" xfId="50824" xr:uid="{00000000-0005-0000-0000-000088C60000}"/>
    <cellStyle name="Total 3 3 15 6" xfId="50825" xr:uid="{00000000-0005-0000-0000-000089C60000}"/>
    <cellStyle name="Total 3 3 15 7" xfId="50826" xr:uid="{00000000-0005-0000-0000-00008AC60000}"/>
    <cellStyle name="Total 3 3 16" xfId="50827" xr:uid="{00000000-0005-0000-0000-00008BC60000}"/>
    <cellStyle name="Total 3 3 16 2" xfId="50828" xr:uid="{00000000-0005-0000-0000-00008CC60000}"/>
    <cellStyle name="Total 3 3 16 2 2" xfId="50829" xr:uid="{00000000-0005-0000-0000-00008DC60000}"/>
    <cellStyle name="Total 3 3 16 2 3" xfId="50830" xr:uid="{00000000-0005-0000-0000-00008EC60000}"/>
    <cellStyle name="Total 3 3 16 2 4" xfId="50831" xr:uid="{00000000-0005-0000-0000-00008FC60000}"/>
    <cellStyle name="Total 3 3 16 2 5" xfId="50832" xr:uid="{00000000-0005-0000-0000-000090C60000}"/>
    <cellStyle name="Total 3 3 16 2 6" xfId="50833" xr:uid="{00000000-0005-0000-0000-000091C60000}"/>
    <cellStyle name="Total 3 3 16 3" xfId="50834" xr:uid="{00000000-0005-0000-0000-000092C60000}"/>
    <cellStyle name="Total 3 3 16 4" xfId="50835" xr:uid="{00000000-0005-0000-0000-000093C60000}"/>
    <cellStyle name="Total 3 3 16 5" xfId="50836" xr:uid="{00000000-0005-0000-0000-000094C60000}"/>
    <cellStyle name="Total 3 3 16 6" xfId="50837" xr:uid="{00000000-0005-0000-0000-000095C60000}"/>
    <cellStyle name="Total 3 3 16 7" xfId="50838" xr:uid="{00000000-0005-0000-0000-000096C60000}"/>
    <cellStyle name="Total 3 3 17" xfId="50839" xr:uid="{00000000-0005-0000-0000-000097C60000}"/>
    <cellStyle name="Total 3 3 17 2" xfId="50840" xr:uid="{00000000-0005-0000-0000-000098C60000}"/>
    <cellStyle name="Total 3 3 17 2 2" xfId="50841" xr:uid="{00000000-0005-0000-0000-000099C60000}"/>
    <cellStyle name="Total 3 3 17 2 3" xfId="50842" xr:uid="{00000000-0005-0000-0000-00009AC60000}"/>
    <cellStyle name="Total 3 3 17 2 4" xfId="50843" xr:uid="{00000000-0005-0000-0000-00009BC60000}"/>
    <cellStyle name="Total 3 3 17 2 5" xfId="50844" xr:uid="{00000000-0005-0000-0000-00009CC60000}"/>
    <cellStyle name="Total 3 3 17 2 6" xfId="50845" xr:uid="{00000000-0005-0000-0000-00009DC60000}"/>
    <cellStyle name="Total 3 3 17 3" xfId="50846" xr:uid="{00000000-0005-0000-0000-00009EC60000}"/>
    <cellStyle name="Total 3 3 17 4" xfId="50847" xr:uid="{00000000-0005-0000-0000-00009FC60000}"/>
    <cellStyle name="Total 3 3 17 5" xfId="50848" xr:uid="{00000000-0005-0000-0000-0000A0C60000}"/>
    <cellStyle name="Total 3 3 17 6" xfId="50849" xr:uid="{00000000-0005-0000-0000-0000A1C60000}"/>
    <cellStyle name="Total 3 3 17 7" xfId="50850" xr:uid="{00000000-0005-0000-0000-0000A2C60000}"/>
    <cellStyle name="Total 3 3 18" xfId="50851" xr:uid="{00000000-0005-0000-0000-0000A3C60000}"/>
    <cellStyle name="Total 3 3 18 2" xfId="50852" xr:uid="{00000000-0005-0000-0000-0000A4C60000}"/>
    <cellStyle name="Total 3 3 18 2 2" xfId="50853" xr:uid="{00000000-0005-0000-0000-0000A5C60000}"/>
    <cellStyle name="Total 3 3 18 2 3" xfId="50854" xr:uid="{00000000-0005-0000-0000-0000A6C60000}"/>
    <cellStyle name="Total 3 3 18 2 4" xfId="50855" xr:uid="{00000000-0005-0000-0000-0000A7C60000}"/>
    <cellStyle name="Total 3 3 18 2 5" xfId="50856" xr:uid="{00000000-0005-0000-0000-0000A8C60000}"/>
    <cellStyle name="Total 3 3 18 2 6" xfId="50857" xr:uid="{00000000-0005-0000-0000-0000A9C60000}"/>
    <cellStyle name="Total 3 3 18 3" xfId="50858" xr:uid="{00000000-0005-0000-0000-0000AAC60000}"/>
    <cellStyle name="Total 3 3 18 4" xfId="50859" xr:uid="{00000000-0005-0000-0000-0000ABC60000}"/>
    <cellStyle name="Total 3 3 18 5" xfId="50860" xr:uid="{00000000-0005-0000-0000-0000ACC60000}"/>
    <cellStyle name="Total 3 3 18 6" xfId="50861" xr:uid="{00000000-0005-0000-0000-0000ADC60000}"/>
    <cellStyle name="Total 3 3 18 7" xfId="50862" xr:uid="{00000000-0005-0000-0000-0000AEC60000}"/>
    <cellStyle name="Total 3 3 19" xfId="50863" xr:uid="{00000000-0005-0000-0000-0000AFC60000}"/>
    <cellStyle name="Total 3 3 19 2" xfId="50864" xr:uid="{00000000-0005-0000-0000-0000B0C60000}"/>
    <cellStyle name="Total 3 3 19 2 2" xfId="50865" xr:uid="{00000000-0005-0000-0000-0000B1C60000}"/>
    <cellStyle name="Total 3 3 19 2 3" xfId="50866" xr:uid="{00000000-0005-0000-0000-0000B2C60000}"/>
    <cellStyle name="Total 3 3 19 2 4" xfId="50867" xr:uid="{00000000-0005-0000-0000-0000B3C60000}"/>
    <cellStyle name="Total 3 3 19 2 5" xfId="50868" xr:uid="{00000000-0005-0000-0000-0000B4C60000}"/>
    <cellStyle name="Total 3 3 19 2 6" xfId="50869" xr:uid="{00000000-0005-0000-0000-0000B5C60000}"/>
    <cellStyle name="Total 3 3 19 3" xfId="50870" xr:uid="{00000000-0005-0000-0000-0000B6C60000}"/>
    <cellStyle name="Total 3 3 19 4" xfId="50871" xr:uid="{00000000-0005-0000-0000-0000B7C60000}"/>
    <cellStyle name="Total 3 3 19 5" xfId="50872" xr:uid="{00000000-0005-0000-0000-0000B8C60000}"/>
    <cellStyle name="Total 3 3 19 6" xfId="50873" xr:uid="{00000000-0005-0000-0000-0000B9C60000}"/>
    <cellStyle name="Total 3 3 19 7" xfId="50874" xr:uid="{00000000-0005-0000-0000-0000BAC60000}"/>
    <cellStyle name="Total 3 3 2" xfId="50875" xr:uid="{00000000-0005-0000-0000-0000BBC60000}"/>
    <cellStyle name="Total 3 3 2 2" xfId="50876" xr:uid="{00000000-0005-0000-0000-0000BCC60000}"/>
    <cellStyle name="Total 3 3 2 2 10" xfId="50877" xr:uid="{00000000-0005-0000-0000-0000BDC60000}"/>
    <cellStyle name="Total 3 3 2 2 10 2" xfId="50878" xr:uid="{00000000-0005-0000-0000-0000BEC60000}"/>
    <cellStyle name="Total 3 3 2 2 10 3" xfId="50879" xr:uid="{00000000-0005-0000-0000-0000BFC60000}"/>
    <cellStyle name="Total 3 3 2 2 10 4" xfId="50880" xr:uid="{00000000-0005-0000-0000-0000C0C60000}"/>
    <cellStyle name="Total 3 3 2 2 10 5" xfId="50881" xr:uid="{00000000-0005-0000-0000-0000C1C60000}"/>
    <cellStyle name="Total 3 3 2 2 10 6" xfId="50882" xr:uid="{00000000-0005-0000-0000-0000C2C60000}"/>
    <cellStyle name="Total 3 3 2 2 11" xfId="50883" xr:uid="{00000000-0005-0000-0000-0000C3C60000}"/>
    <cellStyle name="Total 3 3 2 2 12" xfId="50884" xr:uid="{00000000-0005-0000-0000-0000C4C60000}"/>
    <cellStyle name="Total 3 3 2 2 13" xfId="50885" xr:uid="{00000000-0005-0000-0000-0000C5C60000}"/>
    <cellStyle name="Total 3 3 2 2 14" xfId="50886" xr:uid="{00000000-0005-0000-0000-0000C6C60000}"/>
    <cellStyle name="Total 3 3 2 2 2" xfId="50887" xr:uid="{00000000-0005-0000-0000-0000C7C60000}"/>
    <cellStyle name="Total 3 3 2 2 2 2" xfId="50888" xr:uid="{00000000-0005-0000-0000-0000C8C60000}"/>
    <cellStyle name="Total 3 3 2 2 2 2 2" xfId="50889" xr:uid="{00000000-0005-0000-0000-0000C9C60000}"/>
    <cellStyle name="Total 3 3 2 2 2 2 2 2" xfId="50890" xr:uid="{00000000-0005-0000-0000-0000CAC60000}"/>
    <cellStyle name="Total 3 3 2 2 2 2 2 3" xfId="50891" xr:uid="{00000000-0005-0000-0000-0000CBC60000}"/>
    <cellStyle name="Total 3 3 2 2 2 2 2 4" xfId="50892" xr:uid="{00000000-0005-0000-0000-0000CCC60000}"/>
    <cellStyle name="Total 3 3 2 2 2 2 2 5" xfId="50893" xr:uid="{00000000-0005-0000-0000-0000CDC60000}"/>
    <cellStyle name="Total 3 3 2 2 2 2 2 6" xfId="50894" xr:uid="{00000000-0005-0000-0000-0000CEC60000}"/>
    <cellStyle name="Total 3 3 2 2 2 2 3" xfId="50895" xr:uid="{00000000-0005-0000-0000-0000CFC60000}"/>
    <cellStyle name="Total 3 3 2 2 2 2 4" xfId="50896" xr:uid="{00000000-0005-0000-0000-0000D0C60000}"/>
    <cellStyle name="Total 3 3 2 2 2 2 5" xfId="50897" xr:uid="{00000000-0005-0000-0000-0000D1C60000}"/>
    <cellStyle name="Total 3 3 2 2 2 2 6" xfId="50898" xr:uid="{00000000-0005-0000-0000-0000D2C60000}"/>
    <cellStyle name="Total 3 3 2 2 2 3" xfId="50899" xr:uid="{00000000-0005-0000-0000-0000D3C60000}"/>
    <cellStyle name="Total 3 3 2 2 2 3 2" xfId="50900" xr:uid="{00000000-0005-0000-0000-0000D4C60000}"/>
    <cellStyle name="Total 3 3 2 2 2 3 2 2" xfId="50901" xr:uid="{00000000-0005-0000-0000-0000D5C60000}"/>
    <cellStyle name="Total 3 3 2 2 2 3 2 3" xfId="50902" xr:uid="{00000000-0005-0000-0000-0000D6C60000}"/>
    <cellStyle name="Total 3 3 2 2 2 3 2 4" xfId="50903" xr:uid="{00000000-0005-0000-0000-0000D7C60000}"/>
    <cellStyle name="Total 3 3 2 2 2 3 2 5" xfId="50904" xr:uid="{00000000-0005-0000-0000-0000D8C60000}"/>
    <cellStyle name="Total 3 3 2 2 2 3 2 6" xfId="50905" xr:uid="{00000000-0005-0000-0000-0000D9C60000}"/>
    <cellStyle name="Total 3 3 2 2 2 3 3" xfId="50906" xr:uid="{00000000-0005-0000-0000-0000DAC60000}"/>
    <cellStyle name="Total 3 3 2 2 2 3 4" xfId="50907" xr:uid="{00000000-0005-0000-0000-0000DBC60000}"/>
    <cellStyle name="Total 3 3 2 2 2 3 5" xfId="50908" xr:uid="{00000000-0005-0000-0000-0000DCC60000}"/>
    <cellStyle name="Total 3 3 2 2 2 3 6" xfId="50909" xr:uid="{00000000-0005-0000-0000-0000DDC60000}"/>
    <cellStyle name="Total 3 3 2 2 2 4" xfId="50910" xr:uid="{00000000-0005-0000-0000-0000DEC60000}"/>
    <cellStyle name="Total 3 3 2 2 2 4 2" xfId="50911" xr:uid="{00000000-0005-0000-0000-0000DFC60000}"/>
    <cellStyle name="Total 3 3 2 2 2 4 3" xfId="50912" xr:uid="{00000000-0005-0000-0000-0000E0C60000}"/>
    <cellStyle name="Total 3 3 2 2 2 4 4" xfId="50913" xr:uid="{00000000-0005-0000-0000-0000E1C60000}"/>
    <cellStyle name="Total 3 3 2 2 2 4 5" xfId="50914" xr:uid="{00000000-0005-0000-0000-0000E2C60000}"/>
    <cellStyle name="Total 3 3 2 2 2 4 6" xfId="50915" xr:uid="{00000000-0005-0000-0000-0000E3C60000}"/>
    <cellStyle name="Total 3 3 2 2 2 5" xfId="50916" xr:uid="{00000000-0005-0000-0000-0000E4C60000}"/>
    <cellStyle name="Total 3 3 2 2 2 6" xfId="50917" xr:uid="{00000000-0005-0000-0000-0000E5C60000}"/>
    <cellStyle name="Total 3 3 2 2 2 7" xfId="50918" xr:uid="{00000000-0005-0000-0000-0000E6C60000}"/>
    <cellStyle name="Total 3 3 2 2 2 8" xfId="50919" xr:uid="{00000000-0005-0000-0000-0000E7C60000}"/>
    <cellStyle name="Total 3 3 2 2 3" xfId="50920" xr:uid="{00000000-0005-0000-0000-0000E8C60000}"/>
    <cellStyle name="Total 3 3 2 2 3 2" xfId="50921" xr:uid="{00000000-0005-0000-0000-0000E9C60000}"/>
    <cellStyle name="Total 3 3 2 2 3 2 2" xfId="50922" xr:uid="{00000000-0005-0000-0000-0000EAC60000}"/>
    <cellStyle name="Total 3 3 2 2 3 2 2 2" xfId="50923" xr:uid="{00000000-0005-0000-0000-0000EBC60000}"/>
    <cellStyle name="Total 3 3 2 2 3 2 2 3" xfId="50924" xr:uid="{00000000-0005-0000-0000-0000ECC60000}"/>
    <cellStyle name="Total 3 3 2 2 3 2 2 4" xfId="50925" xr:uid="{00000000-0005-0000-0000-0000EDC60000}"/>
    <cellStyle name="Total 3 3 2 2 3 2 2 5" xfId="50926" xr:uid="{00000000-0005-0000-0000-0000EEC60000}"/>
    <cellStyle name="Total 3 3 2 2 3 2 2 6" xfId="50927" xr:uid="{00000000-0005-0000-0000-0000EFC60000}"/>
    <cellStyle name="Total 3 3 2 2 3 2 3" xfId="50928" xr:uid="{00000000-0005-0000-0000-0000F0C60000}"/>
    <cellStyle name="Total 3 3 2 2 3 2 4" xfId="50929" xr:uid="{00000000-0005-0000-0000-0000F1C60000}"/>
    <cellStyle name="Total 3 3 2 2 3 2 5" xfId="50930" xr:uid="{00000000-0005-0000-0000-0000F2C60000}"/>
    <cellStyle name="Total 3 3 2 2 3 2 6" xfId="50931" xr:uid="{00000000-0005-0000-0000-0000F3C60000}"/>
    <cellStyle name="Total 3 3 2 2 3 3" xfId="50932" xr:uid="{00000000-0005-0000-0000-0000F4C60000}"/>
    <cellStyle name="Total 3 3 2 2 3 3 2" xfId="50933" xr:uid="{00000000-0005-0000-0000-0000F5C60000}"/>
    <cellStyle name="Total 3 3 2 2 3 3 2 2" xfId="50934" xr:uid="{00000000-0005-0000-0000-0000F6C60000}"/>
    <cellStyle name="Total 3 3 2 2 3 3 2 3" xfId="50935" xr:uid="{00000000-0005-0000-0000-0000F7C60000}"/>
    <cellStyle name="Total 3 3 2 2 3 3 2 4" xfId="50936" xr:uid="{00000000-0005-0000-0000-0000F8C60000}"/>
    <cellStyle name="Total 3 3 2 2 3 3 2 5" xfId="50937" xr:uid="{00000000-0005-0000-0000-0000F9C60000}"/>
    <cellStyle name="Total 3 3 2 2 3 3 2 6" xfId="50938" xr:uid="{00000000-0005-0000-0000-0000FAC60000}"/>
    <cellStyle name="Total 3 3 2 2 3 3 3" xfId="50939" xr:uid="{00000000-0005-0000-0000-0000FBC60000}"/>
    <cellStyle name="Total 3 3 2 2 3 3 4" xfId="50940" xr:uid="{00000000-0005-0000-0000-0000FCC60000}"/>
    <cellStyle name="Total 3 3 2 2 3 3 5" xfId="50941" xr:uid="{00000000-0005-0000-0000-0000FDC60000}"/>
    <cellStyle name="Total 3 3 2 2 3 3 6" xfId="50942" xr:uid="{00000000-0005-0000-0000-0000FEC60000}"/>
    <cellStyle name="Total 3 3 2 2 3 4" xfId="50943" xr:uid="{00000000-0005-0000-0000-0000FFC60000}"/>
    <cellStyle name="Total 3 3 2 2 3 4 2" xfId="50944" xr:uid="{00000000-0005-0000-0000-000000C70000}"/>
    <cellStyle name="Total 3 3 2 2 3 4 3" xfId="50945" xr:uid="{00000000-0005-0000-0000-000001C70000}"/>
    <cellStyle name="Total 3 3 2 2 3 4 4" xfId="50946" xr:uid="{00000000-0005-0000-0000-000002C70000}"/>
    <cellStyle name="Total 3 3 2 2 3 4 5" xfId="50947" xr:uid="{00000000-0005-0000-0000-000003C70000}"/>
    <cellStyle name="Total 3 3 2 2 3 4 6" xfId="50948" xr:uid="{00000000-0005-0000-0000-000004C70000}"/>
    <cellStyle name="Total 3 3 2 2 3 5" xfId="50949" xr:uid="{00000000-0005-0000-0000-000005C70000}"/>
    <cellStyle name="Total 3 3 2 2 3 6" xfId="50950" xr:uid="{00000000-0005-0000-0000-000006C70000}"/>
    <cellStyle name="Total 3 3 2 2 3 7" xfId="50951" xr:uid="{00000000-0005-0000-0000-000007C70000}"/>
    <cellStyle name="Total 3 3 2 2 3 8" xfId="50952" xr:uid="{00000000-0005-0000-0000-000008C70000}"/>
    <cellStyle name="Total 3 3 2 2 4" xfId="50953" xr:uid="{00000000-0005-0000-0000-000009C70000}"/>
    <cellStyle name="Total 3 3 2 2 4 2" xfId="50954" xr:uid="{00000000-0005-0000-0000-00000AC70000}"/>
    <cellStyle name="Total 3 3 2 2 4 2 2" xfId="50955" xr:uid="{00000000-0005-0000-0000-00000BC70000}"/>
    <cellStyle name="Total 3 3 2 2 4 2 2 2" xfId="50956" xr:uid="{00000000-0005-0000-0000-00000CC70000}"/>
    <cellStyle name="Total 3 3 2 2 4 2 2 3" xfId="50957" xr:uid="{00000000-0005-0000-0000-00000DC70000}"/>
    <cellStyle name="Total 3 3 2 2 4 2 2 4" xfId="50958" xr:uid="{00000000-0005-0000-0000-00000EC70000}"/>
    <cellStyle name="Total 3 3 2 2 4 2 2 5" xfId="50959" xr:uid="{00000000-0005-0000-0000-00000FC70000}"/>
    <cellStyle name="Total 3 3 2 2 4 2 2 6" xfId="50960" xr:uid="{00000000-0005-0000-0000-000010C70000}"/>
    <cellStyle name="Total 3 3 2 2 4 2 3" xfId="50961" xr:uid="{00000000-0005-0000-0000-000011C70000}"/>
    <cellStyle name="Total 3 3 2 2 4 2 4" xfId="50962" xr:uid="{00000000-0005-0000-0000-000012C70000}"/>
    <cellStyle name="Total 3 3 2 2 4 2 5" xfId="50963" xr:uid="{00000000-0005-0000-0000-000013C70000}"/>
    <cellStyle name="Total 3 3 2 2 4 2 6" xfId="50964" xr:uid="{00000000-0005-0000-0000-000014C70000}"/>
    <cellStyle name="Total 3 3 2 2 4 3" xfId="50965" xr:uid="{00000000-0005-0000-0000-000015C70000}"/>
    <cellStyle name="Total 3 3 2 2 4 3 2" xfId="50966" xr:uid="{00000000-0005-0000-0000-000016C70000}"/>
    <cellStyle name="Total 3 3 2 2 4 3 2 2" xfId="50967" xr:uid="{00000000-0005-0000-0000-000017C70000}"/>
    <cellStyle name="Total 3 3 2 2 4 3 2 3" xfId="50968" xr:uid="{00000000-0005-0000-0000-000018C70000}"/>
    <cellStyle name="Total 3 3 2 2 4 3 2 4" xfId="50969" xr:uid="{00000000-0005-0000-0000-000019C70000}"/>
    <cellStyle name="Total 3 3 2 2 4 3 2 5" xfId="50970" xr:uid="{00000000-0005-0000-0000-00001AC70000}"/>
    <cellStyle name="Total 3 3 2 2 4 3 2 6" xfId="50971" xr:uid="{00000000-0005-0000-0000-00001BC70000}"/>
    <cellStyle name="Total 3 3 2 2 4 3 3" xfId="50972" xr:uid="{00000000-0005-0000-0000-00001CC70000}"/>
    <cellStyle name="Total 3 3 2 2 4 3 4" xfId="50973" xr:uid="{00000000-0005-0000-0000-00001DC70000}"/>
    <cellStyle name="Total 3 3 2 2 4 3 5" xfId="50974" xr:uid="{00000000-0005-0000-0000-00001EC70000}"/>
    <cellStyle name="Total 3 3 2 2 4 3 6" xfId="50975" xr:uid="{00000000-0005-0000-0000-00001FC70000}"/>
    <cellStyle name="Total 3 3 2 2 4 4" xfId="50976" xr:uid="{00000000-0005-0000-0000-000020C70000}"/>
    <cellStyle name="Total 3 3 2 2 4 4 2" xfId="50977" xr:uid="{00000000-0005-0000-0000-000021C70000}"/>
    <cellStyle name="Total 3 3 2 2 4 4 3" xfId="50978" xr:uid="{00000000-0005-0000-0000-000022C70000}"/>
    <cellStyle name="Total 3 3 2 2 4 4 4" xfId="50979" xr:uid="{00000000-0005-0000-0000-000023C70000}"/>
    <cellStyle name="Total 3 3 2 2 4 4 5" xfId="50980" xr:uid="{00000000-0005-0000-0000-000024C70000}"/>
    <cellStyle name="Total 3 3 2 2 4 4 6" xfId="50981" xr:uid="{00000000-0005-0000-0000-000025C70000}"/>
    <cellStyle name="Total 3 3 2 2 4 5" xfId="50982" xr:uid="{00000000-0005-0000-0000-000026C70000}"/>
    <cellStyle name="Total 3 3 2 2 4 6" xfId="50983" xr:uid="{00000000-0005-0000-0000-000027C70000}"/>
    <cellStyle name="Total 3 3 2 2 4 7" xfId="50984" xr:uid="{00000000-0005-0000-0000-000028C70000}"/>
    <cellStyle name="Total 3 3 2 2 4 8" xfId="50985" xr:uid="{00000000-0005-0000-0000-000029C70000}"/>
    <cellStyle name="Total 3 3 2 2 5" xfId="50986" xr:uid="{00000000-0005-0000-0000-00002AC70000}"/>
    <cellStyle name="Total 3 3 2 2 5 2" xfId="50987" xr:uid="{00000000-0005-0000-0000-00002BC70000}"/>
    <cellStyle name="Total 3 3 2 2 5 2 2" xfId="50988" xr:uid="{00000000-0005-0000-0000-00002CC70000}"/>
    <cellStyle name="Total 3 3 2 2 5 2 2 2" xfId="50989" xr:uid="{00000000-0005-0000-0000-00002DC70000}"/>
    <cellStyle name="Total 3 3 2 2 5 2 2 3" xfId="50990" xr:uid="{00000000-0005-0000-0000-00002EC70000}"/>
    <cellStyle name="Total 3 3 2 2 5 2 2 4" xfId="50991" xr:uid="{00000000-0005-0000-0000-00002FC70000}"/>
    <cellStyle name="Total 3 3 2 2 5 2 2 5" xfId="50992" xr:uid="{00000000-0005-0000-0000-000030C70000}"/>
    <cellStyle name="Total 3 3 2 2 5 2 2 6" xfId="50993" xr:uid="{00000000-0005-0000-0000-000031C70000}"/>
    <cellStyle name="Total 3 3 2 2 5 2 3" xfId="50994" xr:uid="{00000000-0005-0000-0000-000032C70000}"/>
    <cellStyle name="Total 3 3 2 2 5 2 4" xfId="50995" xr:uid="{00000000-0005-0000-0000-000033C70000}"/>
    <cellStyle name="Total 3 3 2 2 5 2 5" xfId="50996" xr:uid="{00000000-0005-0000-0000-000034C70000}"/>
    <cellStyle name="Total 3 3 2 2 5 2 6" xfId="50997" xr:uid="{00000000-0005-0000-0000-000035C70000}"/>
    <cellStyle name="Total 3 3 2 2 5 3" xfId="50998" xr:uid="{00000000-0005-0000-0000-000036C70000}"/>
    <cellStyle name="Total 3 3 2 2 5 3 2" xfId="50999" xr:uid="{00000000-0005-0000-0000-000037C70000}"/>
    <cellStyle name="Total 3 3 2 2 5 3 2 2" xfId="51000" xr:uid="{00000000-0005-0000-0000-000038C70000}"/>
    <cellStyle name="Total 3 3 2 2 5 3 2 3" xfId="51001" xr:uid="{00000000-0005-0000-0000-000039C70000}"/>
    <cellStyle name="Total 3 3 2 2 5 3 2 4" xfId="51002" xr:uid="{00000000-0005-0000-0000-00003AC70000}"/>
    <cellStyle name="Total 3 3 2 2 5 3 2 5" xfId="51003" xr:uid="{00000000-0005-0000-0000-00003BC70000}"/>
    <cellStyle name="Total 3 3 2 2 5 3 2 6" xfId="51004" xr:uid="{00000000-0005-0000-0000-00003CC70000}"/>
    <cellStyle name="Total 3 3 2 2 5 3 3" xfId="51005" xr:uid="{00000000-0005-0000-0000-00003DC70000}"/>
    <cellStyle name="Total 3 3 2 2 5 3 4" xfId="51006" xr:uid="{00000000-0005-0000-0000-00003EC70000}"/>
    <cellStyle name="Total 3 3 2 2 5 3 5" xfId="51007" xr:uid="{00000000-0005-0000-0000-00003FC70000}"/>
    <cellStyle name="Total 3 3 2 2 5 3 6" xfId="51008" xr:uid="{00000000-0005-0000-0000-000040C70000}"/>
    <cellStyle name="Total 3 3 2 2 5 4" xfId="51009" xr:uid="{00000000-0005-0000-0000-000041C70000}"/>
    <cellStyle name="Total 3 3 2 2 5 4 2" xfId="51010" xr:uid="{00000000-0005-0000-0000-000042C70000}"/>
    <cellStyle name="Total 3 3 2 2 5 4 3" xfId="51011" xr:uid="{00000000-0005-0000-0000-000043C70000}"/>
    <cellStyle name="Total 3 3 2 2 5 4 4" xfId="51012" xr:uid="{00000000-0005-0000-0000-000044C70000}"/>
    <cellStyle name="Total 3 3 2 2 5 4 5" xfId="51013" xr:uid="{00000000-0005-0000-0000-000045C70000}"/>
    <cellStyle name="Total 3 3 2 2 5 4 6" xfId="51014" xr:uid="{00000000-0005-0000-0000-000046C70000}"/>
    <cellStyle name="Total 3 3 2 2 5 5" xfId="51015" xr:uid="{00000000-0005-0000-0000-000047C70000}"/>
    <cellStyle name="Total 3 3 2 2 5 6" xfId="51016" xr:uid="{00000000-0005-0000-0000-000048C70000}"/>
    <cellStyle name="Total 3 3 2 2 5 7" xfId="51017" xr:uid="{00000000-0005-0000-0000-000049C70000}"/>
    <cellStyle name="Total 3 3 2 2 5 8" xfId="51018" xr:uid="{00000000-0005-0000-0000-00004AC70000}"/>
    <cellStyle name="Total 3 3 2 2 6" xfId="51019" xr:uid="{00000000-0005-0000-0000-00004BC70000}"/>
    <cellStyle name="Total 3 3 2 2 6 2" xfId="51020" xr:uid="{00000000-0005-0000-0000-00004CC70000}"/>
    <cellStyle name="Total 3 3 2 2 6 2 2" xfId="51021" xr:uid="{00000000-0005-0000-0000-00004DC70000}"/>
    <cellStyle name="Total 3 3 2 2 6 2 2 2" xfId="51022" xr:uid="{00000000-0005-0000-0000-00004EC70000}"/>
    <cellStyle name="Total 3 3 2 2 6 2 2 3" xfId="51023" xr:uid="{00000000-0005-0000-0000-00004FC70000}"/>
    <cellStyle name="Total 3 3 2 2 6 2 2 4" xfId="51024" xr:uid="{00000000-0005-0000-0000-000050C70000}"/>
    <cellStyle name="Total 3 3 2 2 6 2 2 5" xfId="51025" xr:uid="{00000000-0005-0000-0000-000051C70000}"/>
    <cellStyle name="Total 3 3 2 2 6 2 2 6" xfId="51026" xr:uid="{00000000-0005-0000-0000-000052C70000}"/>
    <cellStyle name="Total 3 3 2 2 6 2 3" xfId="51027" xr:uid="{00000000-0005-0000-0000-000053C70000}"/>
    <cellStyle name="Total 3 3 2 2 6 2 4" xfId="51028" xr:uid="{00000000-0005-0000-0000-000054C70000}"/>
    <cellStyle name="Total 3 3 2 2 6 2 5" xfId="51029" xr:uid="{00000000-0005-0000-0000-000055C70000}"/>
    <cellStyle name="Total 3 3 2 2 6 2 6" xfId="51030" xr:uid="{00000000-0005-0000-0000-000056C70000}"/>
    <cellStyle name="Total 3 3 2 2 6 3" xfId="51031" xr:uid="{00000000-0005-0000-0000-000057C70000}"/>
    <cellStyle name="Total 3 3 2 2 6 3 2" xfId="51032" xr:uid="{00000000-0005-0000-0000-000058C70000}"/>
    <cellStyle name="Total 3 3 2 2 6 3 2 2" xfId="51033" xr:uid="{00000000-0005-0000-0000-000059C70000}"/>
    <cellStyle name="Total 3 3 2 2 6 3 2 3" xfId="51034" xr:uid="{00000000-0005-0000-0000-00005AC70000}"/>
    <cellStyle name="Total 3 3 2 2 6 3 2 4" xfId="51035" xr:uid="{00000000-0005-0000-0000-00005BC70000}"/>
    <cellStyle name="Total 3 3 2 2 6 3 2 5" xfId="51036" xr:uid="{00000000-0005-0000-0000-00005CC70000}"/>
    <cellStyle name="Total 3 3 2 2 6 3 2 6" xfId="51037" xr:uid="{00000000-0005-0000-0000-00005DC70000}"/>
    <cellStyle name="Total 3 3 2 2 6 3 3" xfId="51038" xr:uid="{00000000-0005-0000-0000-00005EC70000}"/>
    <cellStyle name="Total 3 3 2 2 6 3 4" xfId="51039" xr:uid="{00000000-0005-0000-0000-00005FC70000}"/>
    <cellStyle name="Total 3 3 2 2 6 3 5" xfId="51040" xr:uid="{00000000-0005-0000-0000-000060C70000}"/>
    <cellStyle name="Total 3 3 2 2 6 3 6" xfId="51041" xr:uid="{00000000-0005-0000-0000-000061C70000}"/>
    <cellStyle name="Total 3 3 2 2 6 4" xfId="51042" xr:uid="{00000000-0005-0000-0000-000062C70000}"/>
    <cellStyle name="Total 3 3 2 2 6 4 2" xfId="51043" xr:uid="{00000000-0005-0000-0000-000063C70000}"/>
    <cellStyle name="Total 3 3 2 2 6 4 3" xfId="51044" xr:uid="{00000000-0005-0000-0000-000064C70000}"/>
    <cellStyle name="Total 3 3 2 2 6 4 4" xfId="51045" xr:uid="{00000000-0005-0000-0000-000065C70000}"/>
    <cellStyle name="Total 3 3 2 2 6 4 5" xfId="51046" xr:uid="{00000000-0005-0000-0000-000066C70000}"/>
    <cellStyle name="Total 3 3 2 2 6 4 6" xfId="51047" xr:uid="{00000000-0005-0000-0000-000067C70000}"/>
    <cellStyle name="Total 3 3 2 2 6 5" xfId="51048" xr:uid="{00000000-0005-0000-0000-000068C70000}"/>
    <cellStyle name="Total 3 3 2 2 6 6" xfId="51049" xr:uid="{00000000-0005-0000-0000-000069C70000}"/>
    <cellStyle name="Total 3 3 2 2 6 7" xfId="51050" xr:uid="{00000000-0005-0000-0000-00006AC70000}"/>
    <cellStyle name="Total 3 3 2 2 6 8" xfId="51051" xr:uid="{00000000-0005-0000-0000-00006BC70000}"/>
    <cellStyle name="Total 3 3 2 2 7" xfId="51052" xr:uid="{00000000-0005-0000-0000-00006CC70000}"/>
    <cellStyle name="Total 3 3 2 2 7 2" xfId="51053" xr:uid="{00000000-0005-0000-0000-00006DC70000}"/>
    <cellStyle name="Total 3 3 2 2 7 2 2" xfId="51054" xr:uid="{00000000-0005-0000-0000-00006EC70000}"/>
    <cellStyle name="Total 3 3 2 2 7 2 3" xfId="51055" xr:uid="{00000000-0005-0000-0000-00006FC70000}"/>
    <cellStyle name="Total 3 3 2 2 7 2 4" xfId="51056" xr:uid="{00000000-0005-0000-0000-000070C70000}"/>
    <cellStyle name="Total 3 3 2 2 7 2 5" xfId="51057" xr:uid="{00000000-0005-0000-0000-000071C70000}"/>
    <cellStyle name="Total 3 3 2 2 7 2 6" xfId="51058" xr:uid="{00000000-0005-0000-0000-000072C70000}"/>
    <cellStyle name="Total 3 3 2 2 7 3" xfId="51059" xr:uid="{00000000-0005-0000-0000-000073C70000}"/>
    <cellStyle name="Total 3 3 2 2 7 4" xfId="51060" xr:uid="{00000000-0005-0000-0000-000074C70000}"/>
    <cellStyle name="Total 3 3 2 2 7 5" xfId="51061" xr:uid="{00000000-0005-0000-0000-000075C70000}"/>
    <cellStyle name="Total 3 3 2 2 7 6" xfId="51062" xr:uid="{00000000-0005-0000-0000-000076C70000}"/>
    <cellStyle name="Total 3 3 2 2 8" xfId="51063" xr:uid="{00000000-0005-0000-0000-000077C70000}"/>
    <cellStyle name="Total 3 3 2 2 8 2" xfId="51064" xr:uid="{00000000-0005-0000-0000-000078C70000}"/>
    <cellStyle name="Total 3 3 2 2 8 2 2" xfId="51065" xr:uid="{00000000-0005-0000-0000-000079C70000}"/>
    <cellStyle name="Total 3 3 2 2 8 2 3" xfId="51066" xr:uid="{00000000-0005-0000-0000-00007AC70000}"/>
    <cellStyle name="Total 3 3 2 2 8 2 4" xfId="51067" xr:uid="{00000000-0005-0000-0000-00007BC70000}"/>
    <cellStyle name="Total 3 3 2 2 8 2 5" xfId="51068" xr:uid="{00000000-0005-0000-0000-00007CC70000}"/>
    <cellStyle name="Total 3 3 2 2 8 2 6" xfId="51069" xr:uid="{00000000-0005-0000-0000-00007DC70000}"/>
    <cellStyle name="Total 3 3 2 2 8 3" xfId="51070" xr:uid="{00000000-0005-0000-0000-00007EC70000}"/>
    <cellStyle name="Total 3 3 2 2 8 4" xfId="51071" xr:uid="{00000000-0005-0000-0000-00007FC70000}"/>
    <cellStyle name="Total 3 3 2 2 8 5" xfId="51072" xr:uid="{00000000-0005-0000-0000-000080C70000}"/>
    <cellStyle name="Total 3 3 2 2 8 6" xfId="51073" xr:uid="{00000000-0005-0000-0000-000081C70000}"/>
    <cellStyle name="Total 3 3 2 2 9" xfId="51074" xr:uid="{00000000-0005-0000-0000-000082C70000}"/>
    <cellStyle name="Total 3 3 2 2 9 2" xfId="51075" xr:uid="{00000000-0005-0000-0000-000083C70000}"/>
    <cellStyle name="Total 3 3 2 2 9 3" xfId="51076" xr:uid="{00000000-0005-0000-0000-000084C70000}"/>
    <cellStyle name="Total 3 3 2 2 9 4" xfId="51077" xr:uid="{00000000-0005-0000-0000-000085C70000}"/>
    <cellStyle name="Total 3 3 2 2 9 5" xfId="51078" xr:uid="{00000000-0005-0000-0000-000086C70000}"/>
    <cellStyle name="Total 3 3 2 2 9 6" xfId="51079" xr:uid="{00000000-0005-0000-0000-000087C70000}"/>
    <cellStyle name="Total 3 3 2 3" xfId="51080" xr:uid="{00000000-0005-0000-0000-000088C70000}"/>
    <cellStyle name="Total 3 3 2 3 2" xfId="51081" xr:uid="{00000000-0005-0000-0000-000089C70000}"/>
    <cellStyle name="Total 3 3 2 3 3" xfId="51082" xr:uid="{00000000-0005-0000-0000-00008AC70000}"/>
    <cellStyle name="Total 3 3 2 3 4" xfId="51083" xr:uid="{00000000-0005-0000-0000-00008BC70000}"/>
    <cellStyle name="Total 3 3 2 3 5" xfId="51084" xr:uid="{00000000-0005-0000-0000-00008CC70000}"/>
    <cellStyle name="Total 3 3 2 3 6" xfId="51085" xr:uid="{00000000-0005-0000-0000-00008DC70000}"/>
    <cellStyle name="Total 3 3 2 4" xfId="51086" xr:uid="{00000000-0005-0000-0000-00008EC70000}"/>
    <cellStyle name="Total 3 3 2 4 2" xfId="51087" xr:uid="{00000000-0005-0000-0000-00008FC70000}"/>
    <cellStyle name="Total 3 3 2 4 3" xfId="51088" xr:uid="{00000000-0005-0000-0000-000090C70000}"/>
    <cellStyle name="Total 3 3 2 4 4" xfId="51089" xr:uid="{00000000-0005-0000-0000-000091C70000}"/>
    <cellStyle name="Total 3 3 2 4 5" xfId="51090" xr:uid="{00000000-0005-0000-0000-000092C70000}"/>
    <cellStyle name="Total 3 3 2 4 6" xfId="51091" xr:uid="{00000000-0005-0000-0000-000093C70000}"/>
    <cellStyle name="Total 3 3 2 5" xfId="51092" xr:uid="{00000000-0005-0000-0000-000094C70000}"/>
    <cellStyle name="Total 3 3 2 6" xfId="51093" xr:uid="{00000000-0005-0000-0000-000095C70000}"/>
    <cellStyle name="Total 3 3 2 7" xfId="51094" xr:uid="{00000000-0005-0000-0000-000096C70000}"/>
    <cellStyle name="Total 3 3 2 8" xfId="51095" xr:uid="{00000000-0005-0000-0000-000097C70000}"/>
    <cellStyle name="Total 3 3 20" xfId="51096" xr:uid="{00000000-0005-0000-0000-000098C70000}"/>
    <cellStyle name="Total 3 3 20 2" xfId="51097" xr:uid="{00000000-0005-0000-0000-000099C70000}"/>
    <cellStyle name="Total 3 3 20 2 2" xfId="51098" xr:uid="{00000000-0005-0000-0000-00009AC70000}"/>
    <cellStyle name="Total 3 3 20 2 3" xfId="51099" xr:uid="{00000000-0005-0000-0000-00009BC70000}"/>
    <cellStyle name="Total 3 3 20 2 4" xfId="51100" xr:uid="{00000000-0005-0000-0000-00009CC70000}"/>
    <cellStyle name="Total 3 3 20 2 5" xfId="51101" xr:uid="{00000000-0005-0000-0000-00009DC70000}"/>
    <cellStyle name="Total 3 3 20 2 6" xfId="51102" xr:uid="{00000000-0005-0000-0000-00009EC70000}"/>
    <cellStyle name="Total 3 3 20 3" xfId="51103" xr:uid="{00000000-0005-0000-0000-00009FC70000}"/>
    <cellStyle name="Total 3 3 20 4" xfId="51104" xr:uid="{00000000-0005-0000-0000-0000A0C70000}"/>
    <cellStyle name="Total 3 3 20 5" xfId="51105" xr:uid="{00000000-0005-0000-0000-0000A1C70000}"/>
    <cellStyle name="Total 3 3 20 6" xfId="51106" xr:uid="{00000000-0005-0000-0000-0000A2C70000}"/>
    <cellStyle name="Total 3 3 20 7" xfId="51107" xr:uid="{00000000-0005-0000-0000-0000A3C70000}"/>
    <cellStyle name="Total 3 3 21" xfId="51108" xr:uid="{00000000-0005-0000-0000-0000A4C70000}"/>
    <cellStyle name="Total 3 3 21 2" xfId="51109" xr:uid="{00000000-0005-0000-0000-0000A5C70000}"/>
    <cellStyle name="Total 3 3 21 2 2" xfId="51110" xr:uid="{00000000-0005-0000-0000-0000A6C70000}"/>
    <cellStyle name="Total 3 3 21 2 3" xfId="51111" xr:uid="{00000000-0005-0000-0000-0000A7C70000}"/>
    <cellStyle name="Total 3 3 21 2 4" xfId="51112" xr:uid="{00000000-0005-0000-0000-0000A8C70000}"/>
    <cellStyle name="Total 3 3 21 2 5" xfId="51113" xr:uid="{00000000-0005-0000-0000-0000A9C70000}"/>
    <cellStyle name="Total 3 3 21 2 6" xfId="51114" xr:uid="{00000000-0005-0000-0000-0000AAC70000}"/>
    <cellStyle name="Total 3 3 21 3" xfId="51115" xr:uid="{00000000-0005-0000-0000-0000ABC70000}"/>
    <cellStyle name="Total 3 3 21 4" xfId="51116" xr:uid="{00000000-0005-0000-0000-0000ACC70000}"/>
    <cellStyle name="Total 3 3 21 5" xfId="51117" xr:uid="{00000000-0005-0000-0000-0000ADC70000}"/>
    <cellStyle name="Total 3 3 21 6" xfId="51118" xr:uid="{00000000-0005-0000-0000-0000AEC70000}"/>
    <cellStyle name="Total 3 3 21 7" xfId="51119" xr:uid="{00000000-0005-0000-0000-0000AFC70000}"/>
    <cellStyle name="Total 3 3 22" xfId="51120" xr:uid="{00000000-0005-0000-0000-0000B0C70000}"/>
    <cellStyle name="Total 3 3 22 2" xfId="51121" xr:uid="{00000000-0005-0000-0000-0000B1C70000}"/>
    <cellStyle name="Total 3 3 22 2 2" xfId="51122" xr:uid="{00000000-0005-0000-0000-0000B2C70000}"/>
    <cellStyle name="Total 3 3 22 2 3" xfId="51123" xr:uid="{00000000-0005-0000-0000-0000B3C70000}"/>
    <cellStyle name="Total 3 3 22 2 4" xfId="51124" xr:uid="{00000000-0005-0000-0000-0000B4C70000}"/>
    <cellStyle name="Total 3 3 22 2 5" xfId="51125" xr:uid="{00000000-0005-0000-0000-0000B5C70000}"/>
    <cellStyle name="Total 3 3 22 2 6" xfId="51126" xr:uid="{00000000-0005-0000-0000-0000B6C70000}"/>
    <cellStyle name="Total 3 3 22 3" xfId="51127" xr:uid="{00000000-0005-0000-0000-0000B7C70000}"/>
    <cellStyle name="Total 3 3 22 4" xfId="51128" xr:uid="{00000000-0005-0000-0000-0000B8C70000}"/>
    <cellStyle name="Total 3 3 22 5" xfId="51129" xr:uid="{00000000-0005-0000-0000-0000B9C70000}"/>
    <cellStyle name="Total 3 3 22 6" xfId="51130" xr:uid="{00000000-0005-0000-0000-0000BAC70000}"/>
    <cellStyle name="Total 3 3 22 7" xfId="51131" xr:uid="{00000000-0005-0000-0000-0000BBC70000}"/>
    <cellStyle name="Total 3 3 23" xfId="51132" xr:uid="{00000000-0005-0000-0000-0000BCC70000}"/>
    <cellStyle name="Total 3 3 23 2" xfId="51133" xr:uid="{00000000-0005-0000-0000-0000BDC70000}"/>
    <cellStyle name="Total 3 3 23 2 2" xfId="51134" xr:uid="{00000000-0005-0000-0000-0000BEC70000}"/>
    <cellStyle name="Total 3 3 23 2 3" xfId="51135" xr:uid="{00000000-0005-0000-0000-0000BFC70000}"/>
    <cellStyle name="Total 3 3 23 2 4" xfId="51136" xr:uid="{00000000-0005-0000-0000-0000C0C70000}"/>
    <cellStyle name="Total 3 3 23 2 5" xfId="51137" xr:uid="{00000000-0005-0000-0000-0000C1C70000}"/>
    <cellStyle name="Total 3 3 23 2 6" xfId="51138" xr:uid="{00000000-0005-0000-0000-0000C2C70000}"/>
    <cellStyle name="Total 3 3 23 3" xfId="51139" xr:uid="{00000000-0005-0000-0000-0000C3C70000}"/>
    <cellStyle name="Total 3 3 23 4" xfId="51140" xr:uid="{00000000-0005-0000-0000-0000C4C70000}"/>
    <cellStyle name="Total 3 3 23 5" xfId="51141" xr:uid="{00000000-0005-0000-0000-0000C5C70000}"/>
    <cellStyle name="Total 3 3 23 6" xfId="51142" xr:uid="{00000000-0005-0000-0000-0000C6C70000}"/>
    <cellStyle name="Total 3 3 23 7" xfId="51143" xr:uid="{00000000-0005-0000-0000-0000C7C70000}"/>
    <cellStyle name="Total 3 3 24" xfId="51144" xr:uid="{00000000-0005-0000-0000-0000C8C70000}"/>
    <cellStyle name="Total 3 3 24 2" xfId="51145" xr:uid="{00000000-0005-0000-0000-0000C9C70000}"/>
    <cellStyle name="Total 3 3 24 2 2" xfId="51146" xr:uid="{00000000-0005-0000-0000-0000CAC70000}"/>
    <cellStyle name="Total 3 3 24 2 3" xfId="51147" xr:uid="{00000000-0005-0000-0000-0000CBC70000}"/>
    <cellStyle name="Total 3 3 24 2 4" xfId="51148" xr:uid="{00000000-0005-0000-0000-0000CCC70000}"/>
    <cellStyle name="Total 3 3 24 2 5" xfId="51149" xr:uid="{00000000-0005-0000-0000-0000CDC70000}"/>
    <cellStyle name="Total 3 3 24 2 6" xfId="51150" xr:uid="{00000000-0005-0000-0000-0000CEC70000}"/>
    <cellStyle name="Total 3 3 24 3" xfId="51151" xr:uid="{00000000-0005-0000-0000-0000CFC70000}"/>
    <cellStyle name="Total 3 3 24 4" xfId="51152" xr:uid="{00000000-0005-0000-0000-0000D0C70000}"/>
    <cellStyle name="Total 3 3 24 5" xfId="51153" xr:uid="{00000000-0005-0000-0000-0000D1C70000}"/>
    <cellStyle name="Total 3 3 24 6" xfId="51154" xr:uid="{00000000-0005-0000-0000-0000D2C70000}"/>
    <cellStyle name="Total 3 3 24 7" xfId="51155" xr:uid="{00000000-0005-0000-0000-0000D3C70000}"/>
    <cellStyle name="Total 3 3 25" xfId="51156" xr:uid="{00000000-0005-0000-0000-0000D4C70000}"/>
    <cellStyle name="Total 3 3 25 2" xfId="51157" xr:uid="{00000000-0005-0000-0000-0000D5C70000}"/>
    <cellStyle name="Total 3 3 25 2 2" xfId="51158" xr:uid="{00000000-0005-0000-0000-0000D6C70000}"/>
    <cellStyle name="Total 3 3 25 2 3" xfId="51159" xr:uid="{00000000-0005-0000-0000-0000D7C70000}"/>
    <cellStyle name="Total 3 3 25 2 4" xfId="51160" xr:uid="{00000000-0005-0000-0000-0000D8C70000}"/>
    <cellStyle name="Total 3 3 25 2 5" xfId="51161" xr:uid="{00000000-0005-0000-0000-0000D9C70000}"/>
    <cellStyle name="Total 3 3 25 2 6" xfId="51162" xr:uid="{00000000-0005-0000-0000-0000DAC70000}"/>
    <cellStyle name="Total 3 3 25 3" xfId="51163" xr:uid="{00000000-0005-0000-0000-0000DBC70000}"/>
    <cellStyle name="Total 3 3 25 4" xfId="51164" xr:uid="{00000000-0005-0000-0000-0000DCC70000}"/>
    <cellStyle name="Total 3 3 25 5" xfId="51165" xr:uid="{00000000-0005-0000-0000-0000DDC70000}"/>
    <cellStyle name="Total 3 3 25 6" xfId="51166" xr:uid="{00000000-0005-0000-0000-0000DEC70000}"/>
    <cellStyle name="Total 3 3 25 7" xfId="51167" xr:uid="{00000000-0005-0000-0000-0000DFC70000}"/>
    <cellStyle name="Total 3 3 26" xfId="51168" xr:uid="{00000000-0005-0000-0000-0000E0C70000}"/>
    <cellStyle name="Total 3 3 26 2" xfId="51169" xr:uid="{00000000-0005-0000-0000-0000E1C70000}"/>
    <cellStyle name="Total 3 3 26 2 2" xfId="51170" xr:uid="{00000000-0005-0000-0000-0000E2C70000}"/>
    <cellStyle name="Total 3 3 26 2 3" xfId="51171" xr:uid="{00000000-0005-0000-0000-0000E3C70000}"/>
    <cellStyle name="Total 3 3 26 2 4" xfId="51172" xr:uid="{00000000-0005-0000-0000-0000E4C70000}"/>
    <cellStyle name="Total 3 3 26 2 5" xfId="51173" xr:uid="{00000000-0005-0000-0000-0000E5C70000}"/>
    <cellStyle name="Total 3 3 26 2 6" xfId="51174" xr:uid="{00000000-0005-0000-0000-0000E6C70000}"/>
    <cellStyle name="Total 3 3 26 3" xfId="51175" xr:uid="{00000000-0005-0000-0000-0000E7C70000}"/>
    <cellStyle name="Total 3 3 26 4" xfId="51176" xr:uid="{00000000-0005-0000-0000-0000E8C70000}"/>
    <cellStyle name="Total 3 3 26 5" xfId="51177" xr:uid="{00000000-0005-0000-0000-0000E9C70000}"/>
    <cellStyle name="Total 3 3 26 6" xfId="51178" xr:uid="{00000000-0005-0000-0000-0000EAC70000}"/>
    <cellStyle name="Total 3 3 26 7" xfId="51179" xr:uid="{00000000-0005-0000-0000-0000EBC70000}"/>
    <cellStyle name="Total 3 3 27" xfId="51180" xr:uid="{00000000-0005-0000-0000-0000ECC70000}"/>
    <cellStyle name="Total 3 3 27 2" xfId="51181" xr:uid="{00000000-0005-0000-0000-0000EDC70000}"/>
    <cellStyle name="Total 3 3 27 2 2" xfId="51182" xr:uid="{00000000-0005-0000-0000-0000EEC70000}"/>
    <cellStyle name="Total 3 3 27 2 3" xfId="51183" xr:uid="{00000000-0005-0000-0000-0000EFC70000}"/>
    <cellStyle name="Total 3 3 27 2 4" xfId="51184" xr:uid="{00000000-0005-0000-0000-0000F0C70000}"/>
    <cellStyle name="Total 3 3 27 2 5" xfId="51185" xr:uid="{00000000-0005-0000-0000-0000F1C70000}"/>
    <cellStyle name="Total 3 3 27 2 6" xfId="51186" xr:uid="{00000000-0005-0000-0000-0000F2C70000}"/>
    <cellStyle name="Total 3 3 27 3" xfId="51187" xr:uid="{00000000-0005-0000-0000-0000F3C70000}"/>
    <cellStyle name="Total 3 3 27 4" xfId="51188" xr:uid="{00000000-0005-0000-0000-0000F4C70000}"/>
    <cellStyle name="Total 3 3 27 5" xfId="51189" xr:uid="{00000000-0005-0000-0000-0000F5C70000}"/>
    <cellStyle name="Total 3 3 27 6" xfId="51190" xr:uid="{00000000-0005-0000-0000-0000F6C70000}"/>
    <cellStyle name="Total 3 3 27 7" xfId="51191" xr:uid="{00000000-0005-0000-0000-0000F7C70000}"/>
    <cellStyle name="Total 3 3 28" xfId="51192" xr:uid="{00000000-0005-0000-0000-0000F8C70000}"/>
    <cellStyle name="Total 3 3 28 2" xfId="51193" xr:uid="{00000000-0005-0000-0000-0000F9C70000}"/>
    <cellStyle name="Total 3 3 28 2 2" xfId="51194" xr:uid="{00000000-0005-0000-0000-0000FAC70000}"/>
    <cellStyle name="Total 3 3 28 2 3" xfId="51195" xr:uid="{00000000-0005-0000-0000-0000FBC70000}"/>
    <cellStyle name="Total 3 3 28 2 4" xfId="51196" xr:uid="{00000000-0005-0000-0000-0000FCC70000}"/>
    <cellStyle name="Total 3 3 28 2 5" xfId="51197" xr:uid="{00000000-0005-0000-0000-0000FDC70000}"/>
    <cellStyle name="Total 3 3 28 2 6" xfId="51198" xr:uid="{00000000-0005-0000-0000-0000FEC70000}"/>
    <cellStyle name="Total 3 3 28 3" xfId="51199" xr:uid="{00000000-0005-0000-0000-0000FFC70000}"/>
    <cellStyle name="Total 3 3 28 4" xfId="51200" xr:uid="{00000000-0005-0000-0000-000000C80000}"/>
    <cellStyle name="Total 3 3 28 5" xfId="51201" xr:uid="{00000000-0005-0000-0000-000001C80000}"/>
    <cellStyle name="Total 3 3 28 6" xfId="51202" xr:uid="{00000000-0005-0000-0000-000002C80000}"/>
    <cellStyle name="Total 3 3 28 7" xfId="51203" xr:uid="{00000000-0005-0000-0000-000003C80000}"/>
    <cellStyle name="Total 3 3 29" xfId="51204" xr:uid="{00000000-0005-0000-0000-000004C80000}"/>
    <cellStyle name="Total 3 3 29 2" xfId="51205" xr:uid="{00000000-0005-0000-0000-000005C80000}"/>
    <cellStyle name="Total 3 3 29 2 2" xfId="51206" xr:uid="{00000000-0005-0000-0000-000006C80000}"/>
    <cellStyle name="Total 3 3 29 2 3" xfId="51207" xr:uid="{00000000-0005-0000-0000-000007C80000}"/>
    <cellStyle name="Total 3 3 29 2 4" xfId="51208" xr:uid="{00000000-0005-0000-0000-000008C80000}"/>
    <cellStyle name="Total 3 3 29 2 5" xfId="51209" xr:uid="{00000000-0005-0000-0000-000009C80000}"/>
    <cellStyle name="Total 3 3 29 2 6" xfId="51210" xr:uid="{00000000-0005-0000-0000-00000AC80000}"/>
    <cellStyle name="Total 3 3 29 3" xfId="51211" xr:uid="{00000000-0005-0000-0000-00000BC80000}"/>
    <cellStyle name="Total 3 3 29 4" xfId="51212" xr:uid="{00000000-0005-0000-0000-00000CC80000}"/>
    <cellStyle name="Total 3 3 29 5" xfId="51213" xr:uid="{00000000-0005-0000-0000-00000DC80000}"/>
    <cellStyle name="Total 3 3 29 6" xfId="51214" xr:uid="{00000000-0005-0000-0000-00000EC80000}"/>
    <cellStyle name="Total 3 3 29 7" xfId="51215" xr:uid="{00000000-0005-0000-0000-00000FC80000}"/>
    <cellStyle name="Total 3 3 3" xfId="51216" xr:uid="{00000000-0005-0000-0000-000010C80000}"/>
    <cellStyle name="Total 3 3 3 10" xfId="51217" xr:uid="{00000000-0005-0000-0000-000011C80000}"/>
    <cellStyle name="Total 3 3 3 11" xfId="51218" xr:uid="{00000000-0005-0000-0000-000012C80000}"/>
    <cellStyle name="Total 3 3 3 2" xfId="51219" xr:uid="{00000000-0005-0000-0000-000013C80000}"/>
    <cellStyle name="Total 3 3 3 2 2" xfId="51220" xr:uid="{00000000-0005-0000-0000-000014C80000}"/>
    <cellStyle name="Total 3 3 3 2 2 2" xfId="51221" xr:uid="{00000000-0005-0000-0000-000015C80000}"/>
    <cellStyle name="Total 3 3 3 2 2 2 2" xfId="51222" xr:uid="{00000000-0005-0000-0000-000016C80000}"/>
    <cellStyle name="Total 3 3 3 2 2 2 3" xfId="51223" xr:uid="{00000000-0005-0000-0000-000017C80000}"/>
    <cellStyle name="Total 3 3 3 2 2 2 4" xfId="51224" xr:uid="{00000000-0005-0000-0000-000018C80000}"/>
    <cellStyle name="Total 3 3 3 2 2 2 5" xfId="51225" xr:uid="{00000000-0005-0000-0000-000019C80000}"/>
    <cellStyle name="Total 3 3 3 2 2 2 6" xfId="51226" xr:uid="{00000000-0005-0000-0000-00001AC80000}"/>
    <cellStyle name="Total 3 3 3 2 2 3" xfId="51227" xr:uid="{00000000-0005-0000-0000-00001BC80000}"/>
    <cellStyle name="Total 3 3 3 2 2 4" xfId="51228" xr:uid="{00000000-0005-0000-0000-00001CC80000}"/>
    <cellStyle name="Total 3 3 3 2 2 5" xfId="51229" xr:uid="{00000000-0005-0000-0000-00001DC80000}"/>
    <cellStyle name="Total 3 3 3 2 2 6" xfId="51230" xr:uid="{00000000-0005-0000-0000-00001EC80000}"/>
    <cellStyle name="Total 3 3 3 2 3" xfId="51231" xr:uid="{00000000-0005-0000-0000-00001FC80000}"/>
    <cellStyle name="Total 3 3 3 2 3 2" xfId="51232" xr:uid="{00000000-0005-0000-0000-000020C80000}"/>
    <cellStyle name="Total 3 3 3 2 3 2 2" xfId="51233" xr:uid="{00000000-0005-0000-0000-000021C80000}"/>
    <cellStyle name="Total 3 3 3 2 3 2 3" xfId="51234" xr:uid="{00000000-0005-0000-0000-000022C80000}"/>
    <cellStyle name="Total 3 3 3 2 3 2 4" xfId="51235" xr:uid="{00000000-0005-0000-0000-000023C80000}"/>
    <cellStyle name="Total 3 3 3 2 3 2 5" xfId="51236" xr:uid="{00000000-0005-0000-0000-000024C80000}"/>
    <cellStyle name="Total 3 3 3 2 3 2 6" xfId="51237" xr:uid="{00000000-0005-0000-0000-000025C80000}"/>
    <cellStyle name="Total 3 3 3 2 3 3" xfId="51238" xr:uid="{00000000-0005-0000-0000-000026C80000}"/>
    <cellStyle name="Total 3 3 3 2 3 4" xfId="51239" xr:uid="{00000000-0005-0000-0000-000027C80000}"/>
    <cellStyle name="Total 3 3 3 2 3 5" xfId="51240" xr:uid="{00000000-0005-0000-0000-000028C80000}"/>
    <cellStyle name="Total 3 3 3 2 3 6" xfId="51241" xr:uid="{00000000-0005-0000-0000-000029C80000}"/>
    <cellStyle name="Total 3 3 3 2 4" xfId="51242" xr:uid="{00000000-0005-0000-0000-00002AC80000}"/>
    <cellStyle name="Total 3 3 3 2 4 2" xfId="51243" xr:uid="{00000000-0005-0000-0000-00002BC80000}"/>
    <cellStyle name="Total 3 3 3 2 4 3" xfId="51244" xr:uid="{00000000-0005-0000-0000-00002CC80000}"/>
    <cellStyle name="Total 3 3 3 2 4 4" xfId="51245" xr:uid="{00000000-0005-0000-0000-00002DC80000}"/>
    <cellStyle name="Total 3 3 3 2 4 5" xfId="51246" xr:uid="{00000000-0005-0000-0000-00002EC80000}"/>
    <cellStyle name="Total 3 3 3 2 4 6" xfId="51247" xr:uid="{00000000-0005-0000-0000-00002FC80000}"/>
    <cellStyle name="Total 3 3 3 2 5" xfId="51248" xr:uid="{00000000-0005-0000-0000-000030C80000}"/>
    <cellStyle name="Total 3 3 3 2 5 2" xfId="51249" xr:uid="{00000000-0005-0000-0000-000031C80000}"/>
    <cellStyle name="Total 3 3 3 2 5 3" xfId="51250" xr:uid="{00000000-0005-0000-0000-000032C80000}"/>
    <cellStyle name="Total 3 3 3 2 5 4" xfId="51251" xr:uid="{00000000-0005-0000-0000-000033C80000}"/>
    <cellStyle name="Total 3 3 3 2 5 5" xfId="51252" xr:uid="{00000000-0005-0000-0000-000034C80000}"/>
    <cellStyle name="Total 3 3 3 2 5 6" xfId="51253" xr:uid="{00000000-0005-0000-0000-000035C80000}"/>
    <cellStyle name="Total 3 3 3 2 6" xfId="51254" xr:uid="{00000000-0005-0000-0000-000036C80000}"/>
    <cellStyle name="Total 3 3 3 2 7" xfId="51255" xr:uid="{00000000-0005-0000-0000-000037C80000}"/>
    <cellStyle name="Total 3 3 3 2 8" xfId="51256" xr:uid="{00000000-0005-0000-0000-000038C80000}"/>
    <cellStyle name="Total 3 3 3 2 9" xfId="51257" xr:uid="{00000000-0005-0000-0000-000039C80000}"/>
    <cellStyle name="Total 3 3 3 3" xfId="51258" xr:uid="{00000000-0005-0000-0000-00003AC80000}"/>
    <cellStyle name="Total 3 3 3 3 2" xfId="51259" xr:uid="{00000000-0005-0000-0000-00003BC80000}"/>
    <cellStyle name="Total 3 3 3 3 2 2" xfId="51260" xr:uid="{00000000-0005-0000-0000-00003CC80000}"/>
    <cellStyle name="Total 3 3 3 3 2 2 2" xfId="51261" xr:uid="{00000000-0005-0000-0000-00003DC80000}"/>
    <cellStyle name="Total 3 3 3 3 2 2 3" xfId="51262" xr:uid="{00000000-0005-0000-0000-00003EC80000}"/>
    <cellStyle name="Total 3 3 3 3 2 2 4" xfId="51263" xr:uid="{00000000-0005-0000-0000-00003FC80000}"/>
    <cellStyle name="Total 3 3 3 3 2 2 5" xfId="51264" xr:uid="{00000000-0005-0000-0000-000040C80000}"/>
    <cellStyle name="Total 3 3 3 3 2 2 6" xfId="51265" xr:uid="{00000000-0005-0000-0000-000041C80000}"/>
    <cellStyle name="Total 3 3 3 3 2 3" xfId="51266" xr:uid="{00000000-0005-0000-0000-000042C80000}"/>
    <cellStyle name="Total 3 3 3 3 2 4" xfId="51267" xr:uid="{00000000-0005-0000-0000-000043C80000}"/>
    <cellStyle name="Total 3 3 3 3 2 5" xfId="51268" xr:uid="{00000000-0005-0000-0000-000044C80000}"/>
    <cellStyle name="Total 3 3 3 3 2 6" xfId="51269" xr:uid="{00000000-0005-0000-0000-000045C80000}"/>
    <cellStyle name="Total 3 3 3 3 3" xfId="51270" xr:uid="{00000000-0005-0000-0000-000046C80000}"/>
    <cellStyle name="Total 3 3 3 3 3 2" xfId="51271" xr:uid="{00000000-0005-0000-0000-000047C80000}"/>
    <cellStyle name="Total 3 3 3 3 3 2 2" xfId="51272" xr:uid="{00000000-0005-0000-0000-000048C80000}"/>
    <cellStyle name="Total 3 3 3 3 3 2 3" xfId="51273" xr:uid="{00000000-0005-0000-0000-000049C80000}"/>
    <cellStyle name="Total 3 3 3 3 3 2 4" xfId="51274" xr:uid="{00000000-0005-0000-0000-00004AC80000}"/>
    <cellStyle name="Total 3 3 3 3 3 2 5" xfId="51275" xr:uid="{00000000-0005-0000-0000-00004BC80000}"/>
    <cellStyle name="Total 3 3 3 3 3 2 6" xfId="51276" xr:uid="{00000000-0005-0000-0000-00004CC80000}"/>
    <cellStyle name="Total 3 3 3 3 3 3" xfId="51277" xr:uid="{00000000-0005-0000-0000-00004DC80000}"/>
    <cellStyle name="Total 3 3 3 3 3 4" xfId="51278" xr:uid="{00000000-0005-0000-0000-00004EC80000}"/>
    <cellStyle name="Total 3 3 3 3 3 5" xfId="51279" xr:uid="{00000000-0005-0000-0000-00004FC80000}"/>
    <cellStyle name="Total 3 3 3 3 3 6" xfId="51280" xr:uid="{00000000-0005-0000-0000-000050C80000}"/>
    <cellStyle name="Total 3 3 3 3 4" xfId="51281" xr:uid="{00000000-0005-0000-0000-000051C80000}"/>
    <cellStyle name="Total 3 3 3 3 4 2" xfId="51282" xr:uid="{00000000-0005-0000-0000-000052C80000}"/>
    <cellStyle name="Total 3 3 3 3 4 3" xfId="51283" xr:uid="{00000000-0005-0000-0000-000053C80000}"/>
    <cellStyle name="Total 3 3 3 3 4 4" xfId="51284" xr:uid="{00000000-0005-0000-0000-000054C80000}"/>
    <cellStyle name="Total 3 3 3 3 4 5" xfId="51285" xr:uid="{00000000-0005-0000-0000-000055C80000}"/>
    <cellStyle name="Total 3 3 3 3 4 6" xfId="51286" xr:uid="{00000000-0005-0000-0000-000056C80000}"/>
    <cellStyle name="Total 3 3 3 3 5" xfId="51287" xr:uid="{00000000-0005-0000-0000-000057C80000}"/>
    <cellStyle name="Total 3 3 3 3 6" xfId="51288" xr:uid="{00000000-0005-0000-0000-000058C80000}"/>
    <cellStyle name="Total 3 3 3 3 7" xfId="51289" xr:uid="{00000000-0005-0000-0000-000059C80000}"/>
    <cellStyle name="Total 3 3 3 3 8" xfId="51290" xr:uid="{00000000-0005-0000-0000-00005AC80000}"/>
    <cellStyle name="Total 3 3 3 4" xfId="51291" xr:uid="{00000000-0005-0000-0000-00005BC80000}"/>
    <cellStyle name="Total 3 3 3 4 2" xfId="51292" xr:uid="{00000000-0005-0000-0000-00005CC80000}"/>
    <cellStyle name="Total 3 3 3 4 2 2" xfId="51293" xr:uid="{00000000-0005-0000-0000-00005DC80000}"/>
    <cellStyle name="Total 3 3 3 4 2 3" xfId="51294" xr:uid="{00000000-0005-0000-0000-00005EC80000}"/>
    <cellStyle name="Total 3 3 3 4 2 4" xfId="51295" xr:uid="{00000000-0005-0000-0000-00005FC80000}"/>
    <cellStyle name="Total 3 3 3 4 2 5" xfId="51296" xr:uid="{00000000-0005-0000-0000-000060C80000}"/>
    <cellStyle name="Total 3 3 3 4 2 6" xfId="51297" xr:uid="{00000000-0005-0000-0000-000061C80000}"/>
    <cellStyle name="Total 3 3 3 4 3" xfId="51298" xr:uid="{00000000-0005-0000-0000-000062C80000}"/>
    <cellStyle name="Total 3 3 3 4 4" xfId="51299" xr:uid="{00000000-0005-0000-0000-000063C80000}"/>
    <cellStyle name="Total 3 3 3 4 5" xfId="51300" xr:uid="{00000000-0005-0000-0000-000064C80000}"/>
    <cellStyle name="Total 3 3 3 4 6" xfId="51301" xr:uid="{00000000-0005-0000-0000-000065C80000}"/>
    <cellStyle name="Total 3 3 3 5" xfId="51302" xr:uid="{00000000-0005-0000-0000-000066C80000}"/>
    <cellStyle name="Total 3 3 3 5 2" xfId="51303" xr:uid="{00000000-0005-0000-0000-000067C80000}"/>
    <cellStyle name="Total 3 3 3 5 2 2" xfId="51304" xr:uid="{00000000-0005-0000-0000-000068C80000}"/>
    <cellStyle name="Total 3 3 3 5 2 3" xfId="51305" xr:uid="{00000000-0005-0000-0000-000069C80000}"/>
    <cellStyle name="Total 3 3 3 5 2 4" xfId="51306" xr:uid="{00000000-0005-0000-0000-00006AC80000}"/>
    <cellStyle name="Total 3 3 3 5 2 5" xfId="51307" xr:uid="{00000000-0005-0000-0000-00006BC80000}"/>
    <cellStyle name="Total 3 3 3 5 2 6" xfId="51308" xr:uid="{00000000-0005-0000-0000-00006CC80000}"/>
    <cellStyle name="Total 3 3 3 5 3" xfId="51309" xr:uid="{00000000-0005-0000-0000-00006DC80000}"/>
    <cellStyle name="Total 3 3 3 5 4" xfId="51310" xr:uid="{00000000-0005-0000-0000-00006EC80000}"/>
    <cellStyle name="Total 3 3 3 5 5" xfId="51311" xr:uid="{00000000-0005-0000-0000-00006FC80000}"/>
    <cellStyle name="Total 3 3 3 5 6" xfId="51312" xr:uid="{00000000-0005-0000-0000-000070C80000}"/>
    <cellStyle name="Total 3 3 3 6" xfId="51313" xr:uid="{00000000-0005-0000-0000-000071C80000}"/>
    <cellStyle name="Total 3 3 3 6 2" xfId="51314" xr:uid="{00000000-0005-0000-0000-000072C80000}"/>
    <cellStyle name="Total 3 3 3 6 3" xfId="51315" xr:uid="{00000000-0005-0000-0000-000073C80000}"/>
    <cellStyle name="Total 3 3 3 6 4" xfId="51316" xr:uid="{00000000-0005-0000-0000-000074C80000}"/>
    <cellStyle name="Total 3 3 3 6 5" xfId="51317" xr:uid="{00000000-0005-0000-0000-000075C80000}"/>
    <cellStyle name="Total 3 3 3 6 6" xfId="51318" xr:uid="{00000000-0005-0000-0000-000076C80000}"/>
    <cellStyle name="Total 3 3 3 7" xfId="51319" xr:uid="{00000000-0005-0000-0000-000077C80000}"/>
    <cellStyle name="Total 3 3 3 7 2" xfId="51320" xr:uid="{00000000-0005-0000-0000-000078C80000}"/>
    <cellStyle name="Total 3 3 3 7 3" xfId="51321" xr:uid="{00000000-0005-0000-0000-000079C80000}"/>
    <cellStyle name="Total 3 3 3 7 4" xfId="51322" xr:uid="{00000000-0005-0000-0000-00007AC80000}"/>
    <cellStyle name="Total 3 3 3 7 5" xfId="51323" xr:uid="{00000000-0005-0000-0000-00007BC80000}"/>
    <cellStyle name="Total 3 3 3 7 6" xfId="51324" xr:uid="{00000000-0005-0000-0000-00007CC80000}"/>
    <cellStyle name="Total 3 3 3 8" xfId="51325" xr:uid="{00000000-0005-0000-0000-00007DC80000}"/>
    <cellStyle name="Total 3 3 3 9" xfId="51326" xr:uid="{00000000-0005-0000-0000-00007EC80000}"/>
    <cellStyle name="Total 3 3 30" xfId="51327" xr:uid="{00000000-0005-0000-0000-00007FC80000}"/>
    <cellStyle name="Total 3 3 30 2" xfId="51328" xr:uid="{00000000-0005-0000-0000-000080C80000}"/>
    <cellStyle name="Total 3 3 30 2 2" xfId="51329" xr:uid="{00000000-0005-0000-0000-000081C80000}"/>
    <cellStyle name="Total 3 3 30 2 3" xfId="51330" xr:uid="{00000000-0005-0000-0000-000082C80000}"/>
    <cellStyle name="Total 3 3 30 2 4" xfId="51331" xr:uid="{00000000-0005-0000-0000-000083C80000}"/>
    <cellStyle name="Total 3 3 30 2 5" xfId="51332" xr:uid="{00000000-0005-0000-0000-000084C80000}"/>
    <cellStyle name="Total 3 3 30 2 6" xfId="51333" xr:uid="{00000000-0005-0000-0000-000085C80000}"/>
    <cellStyle name="Total 3 3 30 3" xfId="51334" xr:uid="{00000000-0005-0000-0000-000086C80000}"/>
    <cellStyle name="Total 3 3 30 4" xfId="51335" xr:uid="{00000000-0005-0000-0000-000087C80000}"/>
    <cellStyle name="Total 3 3 30 5" xfId="51336" xr:uid="{00000000-0005-0000-0000-000088C80000}"/>
    <cellStyle name="Total 3 3 30 6" xfId="51337" xr:uid="{00000000-0005-0000-0000-000089C80000}"/>
    <cellStyle name="Total 3 3 30 7" xfId="51338" xr:uid="{00000000-0005-0000-0000-00008AC80000}"/>
    <cellStyle name="Total 3 3 31" xfId="51339" xr:uid="{00000000-0005-0000-0000-00008BC80000}"/>
    <cellStyle name="Total 3 3 31 2" xfId="51340" xr:uid="{00000000-0005-0000-0000-00008CC80000}"/>
    <cellStyle name="Total 3 3 31 2 2" xfId="51341" xr:uid="{00000000-0005-0000-0000-00008DC80000}"/>
    <cellStyle name="Total 3 3 31 2 3" xfId="51342" xr:uid="{00000000-0005-0000-0000-00008EC80000}"/>
    <cellStyle name="Total 3 3 31 2 4" xfId="51343" xr:uid="{00000000-0005-0000-0000-00008FC80000}"/>
    <cellStyle name="Total 3 3 31 2 5" xfId="51344" xr:uid="{00000000-0005-0000-0000-000090C80000}"/>
    <cellStyle name="Total 3 3 31 2 6" xfId="51345" xr:uid="{00000000-0005-0000-0000-000091C80000}"/>
    <cellStyle name="Total 3 3 31 3" xfId="51346" xr:uid="{00000000-0005-0000-0000-000092C80000}"/>
    <cellStyle name="Total 3 3 31 4" xfId="51347" xr:uid="{00000000-0005-0000-0000-000093C80000}"/>
    <cellStyle name="Total 3 3 31 5" xfId="51348" xr:uid="{00000000-0005-0000-0000-000094C80000}"/>
    <cellStyle name="Total 3 3 31 6" xfId="51349" xr:uid="{00000000-0005-0000-0000-000095C80000}"/>
    <cellStyle name="Total 3 3 31 7" xfId="51350" xr:uid="{00000000-0005-0000-0000-000096C80000}"/>
    <cellStyle name="Total 3 3 32" xfId="51351" xr:uid="{00000000-0005-0000-0000-000097C80000}"/>
    <cellStyle name="Total 3 3 32 2" xfId="51352" xr:uid="{00000000-0005-0000-0000-000098C80000}"/>
    <cellStyle name="Total 3 3 32 2 2" xfId="51353" xr:uid="{00000000-0005-0000-0000-000099C80000}"/>
    <cellStyle name="Total 3 3 32 2 3" xfId="51354" xr:uid="{00000000-0005-0000-0000-00009AC80000}"/>
    <cellStyle name="Total 3 3 32 2 4" xfId="51355" xr:uid="{00000000-0005-0000-0000-00009BC80000}"/>
    <cellStyle name="Total 3 3 32 2 5" xfId="51356" xr:uid="{00000000-0005-0000-0000-00009CC80000}"/>
    <cellStyle name="Total 3 3 32 2 6" xfId="51357" xr:uid="{00000000-0005-0000-0000-00009DC80000}"/>
    <cellStyle name="Total 3 3 32 3" xfId="51358" xr:uid="{00000000-0005-0000-0000-00009EC80000}"/>
    <cellStyle name="Total 3 3 32 4" xfId="51359" xr:uid="{00000000-0005-0000-0000-00009FC80000}"/>
    <cellStyle name="Total 3 3 32 5" xfId="51360" xr:uid="{00000000-0005-0000-0000-0000A0C80000}"/>
    <cellStyle name="Total 3 3 32 6" xfId="51361" xr:uid="{00000000-0005-0000-0000-0000A1C80000}"/>
    <cellStyle name="Total 3 3 32 7" xfId="51362" xr:uid="{00000000-0005-0000-0000-0000A2C80000}"/>
    <cellStyle name="Total 3 3 33" xfId="51363" xr:uid="{00000000-0005-0000-0000-0000A3C80000}"/>
    <cellStyle name="Total 3 3 33 2" xfId="51364" xr:uid="{00000000-0005-0000-0000-0000A4C80000}"/>
    <cellStyle name="Total 3 3 33 2 2" xfId="51365" xr:uid="{00000000-0005-0000-0000-0000A5C80000}"/>
    <cellStyle name="Total 3 3 33 2 3" xfId="51366" xr:uid="{00000000-0005-0000-0000-0000A6C80000}"/>
    <cellStyle name="Total 3 3 33 2 4" xfId="51367" xr:uid="{00000000-0005-0000-0000-0000A7C80000}"/>
    <cellStyle name="Total 3 3 33 2 5" xfId="51368" xr:uid="{00000000-0005-0000-0000-0000A8C80000}"/>
    <cellStyle name="Total 3 3 33 2 6" xfId="51369" xr:uid="{00000000-0005-0000-0000-0000A9C80000}"/>
    <cellStyle name="Total 3 3 33 3" xfId="51370" xr:uid="{00000000-0005-0000-0000-0000AAC80000}"/>
    <cellStyle name="Total 3 3 33 4" xfId="51371" xr:uid="{00000000-0005-0000-0000-0000ABC80000}"/>
    <cellStyle name="Total 3 3 33 5" xfId="51372" xr:uid="{00000000-0005-0000-0000-0000ACC80000}"/>
    <cellStyle name="Total 3 3 33 6" xfId="51373" xr:uid="{00000000-0005-0000-0000-0000ADC80000}"/>
    <cellStyle name="Total 3 3 33 7" xfId="51374" xr:uid="{00000000-0005-0000-0000-0000AEC80000}"/>
    <cellStyle name="Total 3 3 34" xfId="51375" xr:uid="{00000000-0005-0000-0000-0000AFC80000}"/>
    <cellStyle name="Total 3 3 34 2" xfId="51376" xr:uid="{00000000-0005-0000-0000-0000B0C80000}"/>
    <cellStyle name="Total 3 3 34 2 2" xfId="51377" xr:uid="{00000000-0005-0000-0000-0000B1C80000}"/>
    <cellStyle name="Total 3 3 34 2 3" xfId="51378" xr:uid="{00000000-0005-0000-0000-0000B2C80000}"/>
    <cellStyle name="Total 3 3 34 2 4" xfId="51379" xr:uid="{00000000-0005-0000-0000-0000B3C80000}"/>
    <cellStyle name="Total 3 3 34 2 5" xfId="51380" xr:uid="{00000000-0005-0000-0000-0000B4C80000}"/>
    <cellStyle name="Total 3 3 34 2 6" xfId="51381" xr:uid="{00000000-0005-0000-0000-0000B5C80000}"/>
    <cellStyle name="Total 3 3 34 3" xfId="51382" xr:uid="{00000000-0005-0000-0000-0000B6C80000}"/>
    <cellStyle name="Total 3 3 34 4" xfId="51383" xr:uid="{00000000-0005-0000-0000-0000B7C80000}"/>
    <cellStyle name="Total 3 3 34 5" xfId="51384" xr:uid="{00000000-0005-0000-0000-0000B8C80000}"/>
    <cellStyle name="Total 3 3 34 6" xfId="51385" xr:uid="{00000000-0005-0000-0000-0000B9C80000}"/>
    <cellStyle name="Total 3 3 34 7" xfId="51386" xr:uid="{00000000-0005-0000-0000-0000BAC80000}"/>
    <cellStyle name="Total 3 3 35" xfId="51387" xr:uid="{00000000-0005-0000-0000-0000BBC80000}"/>
    <cellStyle name="Total 3 3 35 2" xfId="51388" xr:uid="{00000000-0005-0000-0000-0000BCC80000}"/>
    <cellStyle name="Total 3 3 35 2 2" xfId="51389" xr:uid="{00000000-0005-0000-0000-0000BDC80000}"/>
    <cellStyle name="Total 3 3 35 2 3" xfId="51390" xr:uid="{00000000-0005-0000-0000-0000BEC80000}"/>
    <cellStyle name="Total 3 3 35 2 4" xfId="51391" xr:uid="{00000000-0005-0000-0000-0000BFC80000}"/>
    <cellStyle name="Total 3 3 35 2 5" xfId="51392" xr:uid="{00000000-0005-0000-0000-0000C0C80000}"/>
    <cellStyle name="Total 3 3 35 2 6" xfId="51393" xr:uid="{00000000-0005-0000-0000-0000C1C80000}"/>
    <cellStyle name="Total 3 3 35 3" xfId="51394" xr:uid="{00000000-0005-0000-0000-0000C2C80000}"/>
    <cellStyle name="Total 3 3 35 4" xfId="51395" xr:uid="{00000000-0005-0000-0000-0000C3C80000}"/>
    <cellStyle name="Total 3 3 35 5" xfId="51396" xr:uid="{00000000-0005-0000-0000-0000C4C80000}"/>
    <cellStyle name="Total 3 3 35 6" xfId="51397" xr:uid="{00000000-0005-0000-0000-0000C5C80000}"/>
    <cellStyle name="Total 3 3 35 7" xfId="51398" xr:uid="{00000000-0005-0000-0000-0000C6C80000}"/>
    <cellStyle name="Total 3 3 36" xfId="51399" xr:uid="{00000000-0005-0000-0000-0000C7C80000}"/>
    <cellStyle name="Total 3 3 36 2" xfId="51400" xr:uid="{00000000-0005-0000-0000-0000C8C80000}"/>
    <cellStyle name="Total 3 3 36 2 2" xfId="51401" xr:uid="{00000000-0005-0000-0000-0000C9C80000}"/>
    <cellStyle name="Total 3 3 36 2 3" xfId="51402" xr:uid="{00000000-0005-0000-0000-0000CAC80000}"/>
    <cellStyle name="Total 3 3 36 2 4" xfId="51403" xr:uid="{00000000-0005-0000-0000-0000CBC80000}"/>
    <cellStyle name="Total 3 3 36 2 5" xfId="51404" xr:uid="{00000000-0005-0000-0000-0000CCC80000}"/>
    <cellStyle name="Total 3 3 36 2 6" xfId="51405" xr:uid="{00000000-0005-0000-0000-0000CDC80000}"/>
    <cellStyle name="Total 3 3 36 3" xfId="51406" xr:uid="{00000000-0005-0000-0000-0000CEC80000}"/>
    <cellStyle name="Total 3 3 36 4" xfId="51407" xr:uid="{00000000-0005-0000-0000-0000CFC80000}"/>
    <cellStyle name="Total 3 3 36 5" xfId="51408" xr:uid="{00000000-0005-0000-0000-0000D0C80000}"/>
    <cellStyle name="Total 3 3 36 6" xfId="51409" xr:uid="{00000000-0005-0000-0000-0000D1C80000}"/>
    <cellStyle name="Total 3 3 36 7" xfId="51410" xr:uid="{00000000-0005-0000-0000-0000D2C80000}"/>
    <cellStyle name="Total 3 3 37" xfId="51411" xr:uid="{00000000-0005-0000-0000-0000D3C80000}"/>
    <cellStyle name="Total 3 3 37 2" xfId="51412" xr:uid="{00000000-0005-0000-0000-0000D4C80000}"/>
    <cellStyle name="Total 3 3 37 2 2" xfId="51413" xr:uid="{00000000-0005-0000-0000-0000D5C80000}"/>
    <cellStyle name="Total 3 3 37 2 3" xfId="51414" xr:uid="{00000000-0005-0000-0000-0000D6C80000}"/>
    <cellStyle name="Total 3 3 37 2 4" xfId="51415" xr:uid="{00000000-0005-0000-0000-0000D7C80000}"/>
    <cellStyle name="Total 3 3 37 2 5" xfId="51416" xr:uid="{00000000-0005-0000-0000-0000D8C80000}"/>
    <cellStyle name="Total 3 3 37 2 6" xfId="51417" xr:uid="{00000000-0005-0000-0000-0000D9C80000}"/>
    <cellStyle name="Total 3 3 37 3" xfId="51418" xr:uid="{00000000-0005-0000-0000-0000DAC80000}"/>
    <cellStyle name="Total 3 3 37 4" xfId="51419" xr:uid="{00000000-0005-0000-0000-0000DBC80000}"/>
    <cellStyle name="Total 3 3 37 5" xfId="51420" xr:uid="{00000000-0005-0000-0000-0000DCC80000}"/>
    <cellStyle name="Total 3 3 37 6" xfId="51421" xr:uid="{00000000-0005-0000-0000-0000DDC80000}"/>
    <cellStyle name="Total 3 3 37 7" xfId="51422" xr:uid="{00000000-0005-0000-0000-0000DEC80000}"/>
    <cellStyle name="Total 3 3 38" xfId="51423" xr:uid="{00000000-0005-0000-0000-0000DFC80000}"/>
    <cellStyle name="Total 3 3 38 2" xfId="51424" xr:uid="{00000000-0005-0000-0000-0000E0C80000}"/>
    <cellStyle name="Total 3 3 38 2 2" xfId="51425" xr:uid="{00000000-0005-0000-0000-0000E1C80000}"/>
    <cellStyle name="Total 3 3 38 2 3" xfId="51426" xr:uid="{00000000-0005-0000-0000-0000E2C80000}"/>
    <cellStyle name="Total 3 3 38 2 4" xfId="51427" xr:uid="{00000000-0005-0000-0000-0000E3C80000}"/>
    <cellStyle name="Total 3 3 38 2 5" xfId="51428" xr:uid="{00000000-0005-0000-0000-0000E4C80000}"/>
    <cellStyle name="Total 3 3 38 2 6" xfId="51429" xr:uid="{00000000-0005-0000-0000-0000E5C80000}"/>
    <cellStyle name="Total 3 3 38 3" xfId="51430" xr:uid="{00000000-0005-0000-0000-0000E6C80000}"/>
    <cellStyle name="Total 3 3 38 4" xfId="51431" xr:uid="{00000000-0005-0000-0000-0000E7C80000}"/>
    <cellStyle name="Total 3 3 38 5" xfId="51432" xr:uid="{00000000-0005-0000-0000-0000E8C80000}"/>
    <cellStyle name="Total 3 3 38 6" xfId="51433" xr:uid="{00000000-0005-0000-0000-0000E9C80000}"/>
    <cellStyle name="Total 3 3 38 7" xfId="51434" xr:uid="{00000000-0005-0000-0000-0000EAC80000}"/>
    <cellStyle name="Total 3 3 39" xfId="51435" xr:uid="{00000000-0005-0000-0000-0000EBC80000}"/>
    <cellStyle name="Total 3 3 39 2" xfId="51436" xr:uid="{00000000-0005-0000-0000-0000ECC80000}"/>
    <cellStyle name="Total 3 3 39 2 2" xfId="51437" xr:uid="{00000000-0005-0000-0000-0000EDC80000}"/>
    <cellStyle name="Total 3 3 39 2 3" xfId="51438" xr:uid="{00000000-0005-0000-0000-0000EEC80000}"/>
    <cellStyle name="Total 3 3 39 2 4" xfId="51439" xr:uid="{00000000-0005-0000-0000-0000EFC80000}"/>
    <cellStyle name="Total 3 3 39 2 5" xfId="51440" xr:uid="{00000000-0005-0000-0000-0000F0C80000}"/>
    <cellStyle name="Total 3 3 39 2 6" xfId="51441" xr:uid="{00000000-0005-0000-0000-0000F1C80000}"/>
    <cellStyle name="Total 3 3 39 3" xfId="51442" xr:uid="{00000000-0005-0000-0000-0000F2C80000}"/>
    <cellStyle name="Total 3 3 39 4" xfId="51443" xr:uid="{00000000-0005-0000-0000-0000F3C80000}"/>
    <cellStyle name="Total 3 3 39 5" xfId="51444" xr:uid="{00000000-0005-0000-0000-0000F4C80000}"/>
    <cellStyle name="Total 3 3 39 6" xfId="51445" xr:uid="{00000000-0005-0000-0000-0000F5C80000}"/>
    <cellStyle name="Total 3 3 39 7" xfId="51446" xr:uid="{00000000-0005-0000-0000-0000F6C80000}"/>
    <cellStyle name="Total 3 3 4" xfId="51447" xr:uid="{00000000-0005-0000-0000-0000F7C80000}"/>
    <cellStyle name="Total 3 3 4 2" xfId="51448" xr:uid="{00000000-0005-0000-0000-0000F8C80000}"/>
    <cellStyle name="Total 3 3 4 2 2" xfId="51449" xr:uid="{00000000-0005-0000-0000-0000F9C80000}"/>
    <cellStyle name="Total 3 3 4 2 3" xfId="51450" xr:uid="{00000000-0005-0000-0000-0000FAC80000}"/>
    <cellStyle name="Total 3 3 4 2 4" xfId="51451" xr:uid="{00000000-0005-0000-0000-0000FBC80000}"/>
    <cellStyle name="Total 3 3 4 2 5" xfId="51452" xr:uid="{00000000-0005-0000-0000-0000FCC80000}"/>
    <cellStyle name="Total 3 3 4 2 6" xfId="51453" xr:uid="{00000000-0005-0000-0000-0000FDC80000}"/>
    <cellStyle name="Total 3 3 4 3" xfId="51454" xr:uid="{00000000-0005-0000-0000-0000FEC80000}"/>
    <cellStyle name="Total 3 3 4 3 2" xfId="51455" xr:uid="{00000000-0005-0000-0000-0000FFC80000}"/>
    <cellStyle name="Total 3 3 4 3 3" xfId="51456" xr:uid="{00000000-0005-0000-0000-000000C90000}"/>
    <cellStyle name="Total 3 3 4 3 4" xfId="51457" xr:uid="{00000000-0005-0000-0000-000001C90000}"/>
    <cellStyle name="Total 3 3 4 3 5" xfId="51458" xr:uid="{00000000-0005-0000-0000-000002C90000}"/>
    <cellStyle name="Total 3 3 4 3 6" xfId="51459" xr:uid="{00000000-0005-0000-0000-000003C90000}"/>
    <cellStyle name="Total 3 3 4 4" xfId="51460" xr:uid="{00000000-0005-0000-0000-000004C90000}"/>
    <cellStyle name="Total 3 3 4 5" xfId="51461" xr:uid="{00000000-0005-0000-0000-000005C90000}"/>
    <cellStyle name="Total 3 3 4 6" xfId="51462" xr:uid="{00000000-0005-0000-0000-000006C90000}"/>
    <cellStyle name="Total 3 3 4 7" xfId="51463" xr:uid="{00000000-0005-0000-0000-000007C90000}"/>
    <cellStyle name="Total 3 3 4 8" xfId="51464" xr:uid="{00000000-0005-0000-0000-000008C90000}"/>
    <cellStyle name="Total 3 3 40" xfId="51465" xr:uid="{00000000-0005-0000-0000-000009C90000}"/>
    <cellStyle name="Total 3 3 40 2" xfId="51466" xr:uid="{00000000-0005-0000-0000-00000AC90000}"/>
    <cellStyle name="Total 3 3 40 2 2" xfId="51467" xr:uid="{00000000-0005-0000-0000-00000BC90000}"/>
    <cellStyle name="Total 3 3 40 2 3" xfId="51468" xr:uid="{00000000-0005-0000-0000-00000CC90000}"/>
    <cellStyle name="Total 3 3 40 2 4" xfId="51469" xr:uid="{00000000-0005-0000-0000-00000DC90000}"/>
    <cellStyle name="Total 3 3 40 2 5" xfId="51470" xr:uid="{00000000-0005-0000-0000-00000EC90000}"/>
    <cellStyle name="Total 3 3 40 2 6" xfId="51471" xr:uid="{00000000-0005-0000-0000-00000FC90000}"/>
    <cellStyle name="Total 3 3 40 3" xfId="51472" xr:uid="{00000000-0005-0000-0000-000010C90000}"/>
    <cellStyle name="Total 3 3 40 4" xfId="51473" xr:uid="{00000000-0005-0000-0000-000011C90000}"/>
    <cellStyle name="Total 3 3 40 5" xfId="51474" xr:uid="{00000000-0005-0000-0000-000012C90000}"/>
    <cellStyle name="Total 3 3 40 6" xfId="51475" xr:uid="{00000000-0005-0000-0000-000013C90000}"/>
    <cellStyle name="Total 3 3 40 7" xfId="51476" xr:uid="{00000000-0005-0000-0000-000014C90000}"/>
    <cellStyle name="Total 3 3 41" xfId="51477" xr:uid="{00000000-0005-0000-0000-000015C90000}"/>
    <cellStyle name="Total 3 3 41 2" xfId="51478" xr:uid="{00000000-0005-0000-0000-000016C90000}"/>
    <cellStyle name="Total 3 3 41 2 2" xfId="51479" xr:uid="{00000000-0005-0000-0000-000017C90000}"/>
    <cellStyle name="Total 3 3 41 2 3" xfId="51480" xr:uid="{00000000-0005-0000-0000-000018C90000}"/>
    <cellStyle name="Total 3 3 41 2 4" xfId="51481" xr:uid="{00000000-0005-0000-0000-000019C90000}"/>
    <cellStyle name="Total 3 3 41 2 5" xfId="51482" xr:uid="{00000000-0005-0000-0000-00001AC90000}"/>
    <cellStyle name="Total 3 3 41 2 6" xfId="51483" xr:uid="{00000000-0005-0000-0000-00001BC90000}"/>
    <cellStyle name="Total 3 3 41 3" xfId="51484" xr:uid="{00000000-0005-0000-0000-00001CC90000}"/>
    <cellStyle name="Total 3 3 41 4" xfId="51485" xr:uid="{00000000-0005-0000-0000-00001DC90000}"/>
    <cellStyle name="Total 3 3 41 5" xfId="51486" xr:uid="{00000000-0005-0000-0000-00001EC90000}"/>
    <cellStyle name="Total 3 3 41 6" xfId="51487" xr:uid="{00000000-0005-0000-0000-00001FC90000}"/>
    <cellStyle name="Total 3 3 41 7" xfId="51488" xr:uid="{00000000-0005-0000-0000-000020C90000}"/>
    <cellStyle name="Total 3 3 42" xfId="51489" xr:uid="{00000000-0005-0000-0000-000021C90000}"/>
    <cellStyle name="Total 3 3 42 2" xfId="51490" xr:uid="{00000000-0005-0000-0000-000022C90000}"/>
    <cellStyle name="Total 3 3 42 3" xfId="51491" xr:uid="{00000000-0005-0000-0000-000023C90000}"/>
    <cellStyle name="Total 3 3 42 4" xfId="51492" xr:uid="{00000000-0005-0000-0000-000024C90000}"/>
    <cellStyle name="Total 3 3 42 5" xfId="51493" xr:uid="{00000000-0005-0000-0000-000025C90000}"/>
    <cellStyle name="Total 3 3 42 6" xfId="51494" xr:uid="{00000000-0005-0000-0000-000026C90000}"/>
    <cellStyle name="Total 3 3 43" xfId="51495" xr:uid="{00000000-0005-0000-0000-000027C90000}"/>
    <cellStyle name="Total 3 3 43 2" xfId="51496" xr:uid="{00000000-0005-0000-0000-000028C90000}"/>
    <cellStyle name="Total 3 3 43 3" xfId="51497" xr:uid="{00000000-0005-0000-0000-000029C90000}"/>
    <cellStyle name="Total 3 3 43 4" xfId="51498" xr:uid="{00000000-0005-0000-0000-00002AC90000}"/>
    <cellStyle name="Total 3 3 43 5" xfId="51499" xr:uid="{00000000-0005-0000-0000-00002BC90000}"/>
    <cellStyle name="Total 3 3 43 6" xfId="51500" xr:uid="{00000000-0005-0000-0000-00002CC90000}"/>
    <cellStyle name="Total 3 3 44" xfId="51501" xr:uid="{00000000-0005-0000-0000-00002DC90000}"/>
    <cellStyle name="Total 3 3 45" xfId="51502" xr:uid="{00000000-0005-0000-0000-00002EC90000}"/>
    <cellStyle name="Total 3 3 46" xfId="51503" xr:uid="{00000000-0005-0000-0000-00002FC90000}"/>
    <cellStyle name="Total 3 3 47" xfId="51504" xr:uid="{00000000-0005-0000-0000-000030C90000}"/>
    <cellStyle name="Total 3 3 5" xfId="51505" xr:uid="{00000000-0005-0000-0000-000031C90000}"/>
    <cellStyle name="Total 3 3 5 2" xfId="51506" xr:uid="{00000000-0005-0000-0000-000032C90000}"/>
    <cellStyle name="Total 3 3 5 2 2" xfId="51507" xr:uid="{00000000-0005-0000-0000-000033C90000}"/>
    <cellStyle name="Total 3 3 5 2 3" xfId="51508" xr:uid="{00000000-0005-0000-0000-000034C90000}"/>
    <cellStyle name="Total 3 3 5 2 4" xfId="51509" xr:uid="{00000000-0005-0000-0000-000035C90000}"/>
    <cellStyle name="Total 3 3 5 2 5" xfId="51510" xr:uid="{00000000-0005-0000-0000-000036C90000}"/>
    <cellStyle name="Total 3 3 5 2 6" xfId="51511" xr:uid="{00000000-0005-0000-0000-000037C90000}"/>
    <cellStyle name="Total 3 3 5 3" xfId="51512" xr:uid="{00000000-0005-0000-0000-000038C90000}"/>
    <cellStyle name="Total 3 3 5 4" xfId="51513" xr:uid="{00000000-0005-0000-0000-000039C90000}"/>
    <cellStyle name="Total 3 3 5 5" xfId="51514" xr:uid="{00000000-0005-0000-0000-00003AC90000}"/>
    <cellStyle name="Total 3 3 5 6" xfId="51515" xr:uid="{00000000-0005-0000-0000-00003BC90000}"/>
    <cellStyle name="Total 3 3 5 7" xfId="51516" xr:uid="{00000000-0005-0000-0000-00003CC90000}"/>
    <cellStyle name="Total 3 3 6" xfId="51517" xr:uid="{00000000-0005-0000-0000-00003DC90000}"/>
    <cellStyle name="Total 3 3 6 2" xfId="51518" xr:uid="{00000000-0005-0000-0000-00003EC90000}"/>
    <cellStyle name="Total 3 3 6 2 2" xfId="51519" xr:uid="{00000000-0005-0000-0000-00003FC90000}"/>
    <cellStyle name="Total 3 3 6 2 3" xfId="51520" xr:uid="{00000000-0005-0000-0000-000040C90000}"/>
    <cellStyle name="Total 3 3 6 2 4" xfId="51521" xr:uid="{00000000-0005-0000-0000-000041C90000}"/>
    <cellStyle name="Total 3 3 6 2 5" xfId="51522" xr:uid="{00000000-0005-0000-0000-000042C90000}"/>
    <cellStyle name="Total 3 3 6 2 6" xfId="51523" xr:uid="{00000000-0005-0000-0000-000043C90000}"/>
    <cellStyle name="Total 3 3 6 3" xfId="51524" xr:uid="{00000000-0005-0000-0000-000044C90000}"/>
    <cellStyle name="Total 3 3 6 4" xfId="51525" xr:uid="{00000000-0005-0000-0000-000045C90000}"/>
    <cellStyle name="Total 3 3 6 5" xfId="51526" xr:uid="{00000000-0005-0000-0000-000046C90000}"/>
    <cellStyle name="Total 3 3 6 6" xfId="51527" xr:uid="{00000000-0005-0000-0000-000047C90000}"/>
    <cellStyle name="Total 3 3 6 7" xfId="51528" xr:uid="{00000000-0005-0000-0000-000048C90000}"/>
    <cellStyle name="Total 3 3 7" xfId="51529" xr:uid="{00000000-0005-0000-0000-000049C90000}"/>
    <cellStyle name="Total 3 3 7 2" xfId="51530" xr:uid="{00000000-0005-0000-0000-00004AC90000}"/>
    <cellStyle name="Total 3 3 7 2 2" xfId="51531" xr:uid="{00000000-0005-0000-0000-00004BC90000}"/>
    <cellStyle name="Total 3 3 7 2 3" xfId="51532" xr:uid="{00000000-0005-0000-0000-00004CC90000}"/>
    <cellStyle name="Total 3 3 7 2 4" xfId="51533" xr:uid="{00000000-0005-0000-0000-00004DC90000}"/>
    <cellStyle name="Total 3 3 7 2 5" xfId="51534" xr:uid="{00000000-0005-0000-0000-00004EC90000}"/>
    <cellStyle name="Total 3 3 7 2 6" xfId="51535" xr:uid="{00000000-0005-0000-0000-00004FC90000}"/>
    <cellStyle name="Total 3 3 7 3" xfId="51536" xr:uid="{00000000-0005-0000-0000-000050C90000}"/>
    <cellStyle name="Total 3 3 7 4" xfId="51537" xr:uid="{00000000-0005-0000-0000-000051C90000}"/>
    <cellStyle name="Total 3 3 7 5" xfId="51538" xr:uid="{00000000-0005-0000-0000-000052C90000}"/>
    <cellStyle name="Total 3 3 7 6" xfId="51539" xr:uid="{00000000-0005-0000-0000-000053C90000}"/>
    <cellStyle name="Total 3 3 7 7" xfId="51540" xr:uid="{00000000-0005-0000-0000-000054C90000}"/>
    <cellStyle name="Total 3 3 8" xfId="51541" xr:uid="{00000000-0005-0000-0000-000055C90000}"/>
    <cellStyle name="Total 3 3 8 2" xfId="51542" xr:uid="{00000000-0005-0000-0000-000056C90000}"/>
    <cellStyle name="Total 3 3 8 2 2" xfId="51543" xr:uid="{00000000-0005-0000-0000-000057C90000}"/>
    <cellStyle name="Total 3 3 8 2 3" xfId="51544" xr:uid="{00000000-0005-0000-0000-000058C90000}"/>
    <cellStyle name="Total 3 3 8 2 4" xfId="51545" xr:uid="{00000000-0005-0000-0000-000059C90000}"/>
    <cellStyle name="Total 3 3 8 2 5" xfId="51546" xr:uid="{00000000-0005-0000-0000-00005AC90000}"/>
    <cellStyle name="Total 3 3 8 2 6" xfId="51547" xr:uid="{00000000-0005-0000-0000-00005BC90000}"/>
    <cellStyle name="Total 3 3 8 3" xfId="51548" xr:uid="{00000000-0005-0000-0000-00005CC90000}"/>
    <cellStyle name="Total 3 3 8 4" xfId="51549" xr:uid="{00000000-0005-0000-0000-00005DC90000}"/>
    <cellStyle name="Total 3 3 8 5" xfId="51550" xr:uid="{00000000-0005-0000-0000-00005EC90000}"/>
    <cellStyle name="Total 3 3 8 6" xfId="51551" xr:uid="{00000000-0005-0000-0000-00005FC90000}"/>
    <cellStyle name="Total 3 3 8 7" xfId="51552" xr:uid="{00000000-0005-0000-0000-000060C90000}"/>
    <cellStyle name="Total 3 3 9" xfId="51553" xr:uid="{00000000-0005-0000-0000-000061C90000}"/>
    <cellStyle name="Total 3 3 9 2" xfId="51554" xr:uid="{00000000-0005-0000-0000-000062C90000}"/>
    <cellStyle name="Total 3 3 9 2 2" xfId="51555" xr:uid="{00000000-0005-0000-0000-000063C90000}"/>
    <cellStyle name="Total 3 3 9 2 3" xfId="51556" xr:uid="{00000000-0005-0000-0000-000064C90000}"/>
    <cellStyle name="Total 3 3 9 2 4" xfId="51557" xr:uid="{00000000-0005-0000-0000-000065C90000}"/>
    <cellStyle name="Total 3 3 9 2 5" xfId="51558" xr:uid="{00000000-0005-0000-0000-000066C90000}"/>
    <cellStyle name="Total 3 3 9 2 6" xfId="51559" xr:uid="{00000000-0005-0000-0000-000067C90000}"/>
    <cellStyle name="Total 3 3 9 3" xfId="51560" xr:uid="{00000000-0005-0000-0000-000068C90000}"/>
    <cellStyle name="Total 3 3 9 4" xfId="51561" xr:uid="{00000000-0005-0000-0000-000069C90000}"/>
    <cellStyle name="Total 3 3 9 5" xfId="51562" xr:uid="{00000000-0005-0000-0000-00006AC90000}"/>
    <cellStyle name="Total 3 3 9 6" xfId="51563" xr:uid="{00000000-0005-0000-0000-00006BC90000}"/>
    <cellStyle name="Total 3 3 9 7" xfId="51564" xr:uid="{00000000-0005-0000-0000-00006CC90000}"/>
    <cellStyle name="Total 3 30" xfId="51565" xr:uid="{00000000-0005-0000-0000-00006DC90000}"/>
    <cellStyle name="Total 3 30 2" xfId="51566" xr:uid="{00000000-0005-0000-0000-00006EC90000}"/>
    <cellStyle name="Total 3 30 2 2" xfId="51567" xr:uid="{00000000-0005-0000-0000-00006FC90000}"/>
    <cellStyle name="Total 3 30 2 3" xfId="51568" xr:uid="{00000000-0005-0000-0000-000070C90000}"/>
    <cellStyle name="Total 3 30 2 4" xfId="51569" xr:uid="{00000000-0005-0000-0000-000071C90000}"/>
    <cellStyle name="Total 3 30 2 5" xfId="51570" xr:uid="{00000000-0005-0000-0000-000072C90000}"/>
    <cellStyle name="Total 3 30 2 6" xfId="51571" xr:uid="{00000000-0005-0000-0000-000073C90000}"/>
    <cellStyle name="Total 3 30 3" xfId="51572" xr:uid="{00000000-0005-0000-0000-000074C90000}"/>
    <cellStyle name="Total 3 30 4" xfId="51573" xr:uid="{00000000-0005-0000-0000-000075C90000}"/>
    <cellStyle name="Total 3 30 5" xfId="51574" xr:uid="{00000000-0005-0000-0000-000076C90000}"/>
    <cellStyle name="Total 3 30 6" xfId="51575" xr:uid="{00000000-0005-0000-0000-000077C90000}"/>
    <cellStyle name="Total 3 30 7" xfId="51576" xr:uid="{00000000-0005-0000-0000-000078C90000}"/>
    <cellStyle name="Total 3 31" xfId="51577" xr:uid="{00000000-0005-0000-0000-000079C90000}"/>
    <cellStyle name="Total 3 31 2" xfId="51578" xr:uid="{00000000-0005-0000-0000-00007AC90000}"/>
    <cellStyle name="Total 3 31 2 2" xfId="51579" xr:uid="{00000000-0005-0000-0000-00007BC90000}"/>
    <cellStyle name="Total 3 31 2 3" xfId="51580" xr:uid="{00000000-0005-0000-0000-00007CC90000}"/>
    <cellStyle name="Total 3 31 2 4" xfId="51581" xr:uid="{00000000-0005-0000-0000-00007DC90000}"/>
    <cellStyle name="Total 3 31 2 5" xfId="51582" xr:uid="{00000000-0005-0000-0000-00007EC90000}"/>
    <cellStyle name="Total 3 31 2 6" xfId="51583" xr:uid="{00000000-0005-0000-0000-00007FC90000}"/>
    <cellStyle name="Total 3 31 3" xfId="51584" xr:uid="{00000000-0005-0000-0000-000080C90000}"/>
    <cellStyle name="Total 3 31 4" xfId="51585" xr:uid="{00000000-0005-0000-0000-000081C90000}"/>
    <cellStyle name="Total 3 31 5" xfId="51586" xr:uid="{00000000-0005-0000-0000-000082C90000}"/>
    <cellStyle name="Total 3 31 6" xfId="51587" xr:uid="{00000000-0005-0000-0000-000083C90000}"/>
    <cellStyle name="Total 3 31 7" xfId="51588" xr:uid="{00000000-0005-0000-0000-000084C90000}"/>
    <cellStyle name="Total 3 32" xfId="51589" xr:uid="{00000000-0005-0000-0000-000085C90000}"/>
    <cellStyle name="Total 3 32 2" xfId="51590" xr:uid="{00000000-0005-0000-0000-000086C90000}"/>
    <cellStyle name="Total 3 32 2 2" xfId="51591" xr:uid="{00000000-0005-0000-0000-000087C90000}"/>
    <cellStyle name="Total 3 32 2 3" xfId="51592" xr:uid="{00000000-0005-0000-0000-000088C90000}"/>
    <cellStyle name="Total 3 32 2 4" xfId="51593" xr:uid="{00000000-0005-0000-0000-000089C90000}"/>
    <cellStyle name="Total 3 32 2 5" xfId="51594" xr:uid="{00000000-0005-0000-0000-00008AC90000}"/>
    <cellStyle name="Total 3 32 2 6" xfId="51595" xr:uid="{00000000-0005-0000-0000-00008BC90000}"/>
    <cellStyle name="Total 3 32 3" xfId="51596" xr:uid="{00000000-0005-0000-0000-00008CC90000}"/>
    <cellStyle name="Total 3 32 4" xfId="51597" xr:uid="{00000000-0005-0000-0000-00008DC90000}"/>
    <cellStyle name="Total 3 32 5" xfId="51598" xr:uid="{00000000-0005-0000-0000-00008EC90000}"/>
    <cellStyle name="Total 3 32 6" xfId="51599" xr:uid="{00000000-0005-0000-0000-00008FC90000}"/>
    <cellStyle name="Total 3 32 7" xfId="51600" xr:uid="{00000000-0005-0000-0000-000090C90000}"/>
    <cellStyle name="Total 3 33" xfId="51601" xr:uid="{00000000-0005-0000-0000-000091C90000}"/>
    <cellStyle name="Total 3 33 2" xfId="51602" xr:uid="{00000000-0005-0000-0000-000092C90000}"/>
    <cellStyle name="Total 3 33 2 2" xfId="51603" xr:uid="{00000000-0005-0000-0000-000093C90000}"/>
    <cellStyle name="Total 3 33 2 3" xfId="51604" xr:uid="{00000000-0005-0000-0000-000094C90000}"/>
    <cellStyle name="Total 3 33 2 4" xfId="51605" xr:uid="{00000000-0005-0000-0000-000095C90000}"/>
    <cellStyle name="Total 3 33 2 5" xfId="51606" xr:uid="{00000000-0005-0000-0000-000096C90000}"/>
    <cellStyle name="Total 3 33 2 6" xfId="51607" xr:uid="{00000000-0005-0000-0000-000097C90000}"/>
    <cellStyle name="Total 3 33 3" xfId="51608" xr:uid="{00000000-0005-0000-0000-000098C90000}"/>
    <cellStyle name="Total 3 33 4" xfId="51609" xr:uid="{00000000-0005-0000-0000-000099C90000}"/>
    <cellStyle name="Total 3 33 5" xfId="51610" xr:uid="{00000000-0005-0000-0000-00009AC90000}"/>
    <cellStyle name="Total 3 33 6" xfId="51611" xr:uid="{00000000-0005-0000-0000-00009BC90000}"/>
    <cellStyle name="Total 3 33 7" xfId="51612" xr:uid="{00000000-0005-0000-0000-00009CC90000}"/>
    <cellStyle name="Total 3 34" xfId="51613" xr:uid="{00000000-0005-0000-0000-00009DC90000}"/>
    <cellStyle name="Total 3 34 2" xfId="51614" xr:uid="{00000000-0005-0000-0000-00009EC90000}"/>
    <cellStyle name="Total 3 34 2 2" xfId="51615" xr:uid="{00000000-0005-0000-0000-00009FC90000}"/>
    <cellStyle name="Total 3 34 2 3" xfId="51616" xr:uid="{00000000-0005-0000-0000-0000A0C90000}"/>
    <cellStyle name="Total 3 34 2 4" xfId="51617" xr:uid="{00000000-0005-0000-0000-0000A1C90000}"/>
    <cellStyle name="Total 3 34 2 5" xfId="51618" xr:uid="{00000000-0005-0000-0000-0000A2C90000}"/>
    <cellStyle name="Total 3 34 2 6" xfId="51619" xr:uid="{00000000-0005-0000-0000-0000A3C90000}"/>
    <cellStyle name="Total 3 34 3" xfId="51620" xr:uid="{00000000-0005-0000-0000-0000A4C90000}"/>
    <cellStyle name="Total 3 34 4" xfId="51621" xr:uid="{00000000-0005-0000-0000-0000A5C90000}"/>
    <cellStyle name="Total 3 34 5" xfId="51622" xr:uid="{00000000-0005-0000-0000-0000A6C90000}"/>
    <cellStyle name="Total 3 34 6" xfId="51623" xr:uid="{00000000-0005-0000-0000-0000A7C90000}"/>
    <cellStyle name="Total 3 34 7" xfId="51624" xr:uid="{00000000-0005-0000-0000-0000A8C90000}"/>
    <cellStyle name="Total 3 35" xfId="51625" xr:uid="{00000000-0005-0000-0000-0000A9C90000}"/>
    <cellStyle name="Total 3 35 2" xfId="51626" xr:uid="{00000000-0005-0000-0000-0000AAC90000}"/>
    <cellStyle name="Total 3 35 2 2" xfId="51627" xr:uid="{00000000-0005-0000-0000-0000ABC90000}"/>
    <cellStyle name="Total 3 35 2 3" xfId="51628" xr:uid="{00000000-0005-0000-0000-0000ACC90000}"/>
    <cellStyle name="Total 3 35 2 4" xfId="51629" xr:uid="{00000000-0005-0000-0000-0000ADC90000}"/>
    <cellStyle name="Total 3 35 2 5" xfId="51630" xr:uid="{00000000-0005-0000-0000-0000AEC90000}"/>
    <cellStyle name="Total 3 35 2 6" xfId="51631" xr:uid="{00000000-0005-0000-0000-0000AFC90000}"/>
    <cellStyle name="Total 3 35 3" xfId="51632" xr:uid="{00000000-0005-0000-0000-0000B0C90000}"/>
    <cellStyle name="Total 3 35 4" xfId="51633" xr:uid="{00000000-0005-0000-0000-0000B1C90000}"/>
    <cellStyle name="Total 3 35 5" xfId="51634" xr:uid="{00000000-0005-0000-0000-0000B2C90000}"/>
    <cellStyle name="Total 3 35 6" xfId="51635" xr:uid="{00000000-0005-0000-0000-0000B3C90000}"/>
    <cellStyle name="Total 3 35 7" xfId="51636" xr:uid="{00000000-0005-0000-0000-0000B4C90000}"/>
    <cellStyle name="Total 3 36" xfId="51637" xr:uid="{00000000-0005-0000-0000-0000B5C90000}"/>
    <cellStyle name="Total 3 36 2" xfId="51638" xr:uid="{00000000-0005-0000-0000-0000B6C90000}"/>
    <cellStyle name="Total 3 36 2 2" xfId="51639" xr:uid="{00000000-0005-0000-0000-0000B7C90000}"/>
    <cellStyle name="Total 3 36 2 3" xfId="51640" xr:uid="{00000000-0005-0000-0000-0000B8C90000}"/>
    <cellStyle name="Total 3 36 2 4" xfId="51641" xr:uid="{00000000-0005-0000-0000-0000B9C90000}"/>
    <cellStyle name="Total 3 36 2 5" xfId="51642" xr:uid="{00000000-0005-0000-0000-0000BAC90000}"/>
    <cellStyle name="Total 3 36 2 6" xfId="51643" xr:uid="{00000000-0005-0000-0000-0000BBC90000}"/>
    <cellStyle name="Total 3 36 3" xfId="51644" xr:uid="{00000000-0005-0000-0000-0000BCC90000}"/>
    <cellStyle name="Total 3 36 4" xfId="51645" xr:uid="{00000000-0005-0000-0000-0000BDC90000}"/>
    <cellStyle name="Total 3 36 5" xfId="51646" xr:uid="{00000000-0005-0000-0000-0000BEC90000}"/>
    <cellStyle name="Total 3 36 6" xfId="51647" xr:uid="{00000000-0005-0000-0000-0000BFC90000}"/>
    <cellStyle name="Total 3 36 7" xfId="51648" xr:uid="{00000000-0005-0000-0000-0000C0C90000}"/>
    <cellStyle name="Total 3 37" xfId="51649" xr:uid="{00000000-0005-0000-0000-0000C1C90000}"/>
    <cellStyle name="Total 3 37 2" xfId="51650" xr:uid="{00000000-0005-0000-0000-0000C2C90000}"/>
    <cellStyle name="Total 3 37 2 2" xfId="51651" xr:uid="{00000000-0005-0000-0000-0000C3C90000}"/>
    <cellStyle name="Total 3 37 2 3" xfId="51652" xr:uid="{00000000-0005-0000-0000-0000C4C90000}"/>
    <cellStyle name="Total 3 37 2 4" xfId="51653" xr:uid="{00000000-0005-0000-0000-0000C5C90000}"/>
    <cellStyle name="Total 3 37 2 5" xfId="51654" xr:uid="{00000000-0005-0000-0000-0000C6C90000}"/>
    <cellStyle name="Total 3 37 2 6" xfId="51655" xr:uid="{00000000-0005-0000-0000-0000C7C90000}"/>
    <cellStyle name="Total 3 37 3" xfId="51656" xr:uid="{00000000-0005-0000-0000-0000C8C90000}"/>
    <cellStyle name="Total 3 37 4" xfId="51657" xr:uid="{00000000-0005-0000-0000-0000C9C90000}"/>
    <cellStyle name="Total 3 37 5" xfId="51658" xr:uid="{00000000-0005-0000-0000-0000CAC90000}"/>
    <cellStyle name="Total 3 37 6" xfId="51659" xr:uid="{00000000-0005-0000-0000-0000CBC90000}"/>
    <cellStyle name="Total 3 37 7" xfId="51660" xr:uid="{00000000-0005-0000-0000-0000CCC90000}"/>
    <cellStyle name="Total 3 38" xfId="51661" xr:uid="{00000000-0005-0000-0000-0000CDC90000}"/>
    <cellStyle name="Total 3 38 2" xfId="51662" xr:uid="{00000000-0005-0000-0000-0000CEC90000}"/>
    <cellStyle name="Total 3 38 2 2" xfId="51663" xr:uid="{00000000-0005-0000-0000-0000CFC90000}"/>
    <cellStyle name="Total 3 38 2 3" xfId="51664" xr:uid="{00000000-0005-0000-0000-0000D0C90000}"/>
    <cellStyle name="Total 3 38 2 4" xfId="51665" xr:uid="{00000000-0005-0000-0000-0000D1C90000}"/>
    <cellStyle name="Total 3 38 2 5" xfId="51666" xr:uid="{00000000-0005-0000-0000-0000D2C90000}"/>
    <cellStyle name="Total 3 38 2 6" xfId="51667" xr:uid="{00000000-0005-0000-0000-0000D3C90000}"/>
    <cellStyle name="Total 3 38 3" xfId="51668" xr:uid="{00000000-0005-0000-0000-0000D4C90000}"/>
    <cellStyle name="Total 3 38 4" xfId="51669" xr:uid="{00000000-0005-0000-0000-0000D5C90000}"/>
    <cellStyle name="Total 3 38 5" xfId="51670" xr:uid="{00000000-0005-0000-0000-0000D6C90000}"/>
    <cellStyle name="Total 3 38 6" xfId="51671" xr:uid="{00000000-0005-0000-0000-0000D7C90000}"/>
    <cellStyle name="Total 3 38 7" xfId="51672" xr:uid="{00000000-0005-0000-0000-0000D8C90000}"/>
    <cellStyle name="Total 3 39" xfId="51673" xr:uid="{00000000-0005-0000-0000-0000D9C90000}"/>
    <cellStyle name="Total 3 39 2" xfId="51674" xr:uid="{00000000-0005-0000-0000-0000DAC90000}"/>
    <cellStyle name="Total 3 39 2 2" xfId="51675" xr:uid="{00000000-0005-0000-0000-0000DBC90000}"/>
    <cellStyle name="Total 3 39 2 3" xfId="51676" xr:uid="{00000000-0005-0000-0000-0000DCC90000}"/>
    <cellStyle name="Total 3 39 2 4" xfId="51677" xr:uid="{00000000-0005-0000-0000-0000DDC90000}"/>
    <cellStyle name="Total 3 39 2 5" xfId="51678" xr:uid="{00000000-0005-0000-0000-0000DEC90000}"/>
    <cellStyle name="Total 3 39 2 6" xfId="51679" xr:uid="{00000000-0005-0000-0000-0000DFC90000}"/>
    <cellStyle name="Total 3 39 3" xfId="51680" xr:uid="{00000000-0005-0000-0000-0000E0C90000}"/>
    <cellStyle name="Total 3 39 4" xfId="51681" xr:uid="{00000000-0005-0000-0000-0000E1C90000}"/>
    <cellStyle name="Total 3 39 5" xfId="51682" xr:uid="{00000000-0005-0000-0000-0000E2C90000}"/>
    <cellStyle name="Total 3 39 6" xfId="51683" xr:uid="{00000000-0005-0000-0000-0000E3C90000}"/>
    <cellStyle name="Total 3 39 7" xfId="51684" xr:uid="{00000000-0005-0000-0000-0000E4C90000}"/>
    <cellStyle name="Total 3 4" xfId="51685" xr:uid="{00000000-0005-0000-0000-0000E5C90000}"/>
    <cellStyle name="Total 3 4 2" xfId="51686" xr:uid="{00000000-0005-0000-0000-0000E6C90000}"/>
    <cellStyle name="Total 3 4 2 2" xfId="51687" xr:uid="{00000000-0005-0000-0000-0000E7C90000}"/>
    <cellStyle name="Total 3 4 2 3" xfId="51688" xr:uid="{00000000-0005-0000-0000-0000E8C90000}"/>
    <cellStyle name="Total 3 4 2 4" xfId="51689" xr:uid="{00000000-0005-0000-0000-0000E9C90000}"/>
    <cellStyle name="Total 3 4 2 5" xfId="51690" xr:uid="{00000000-0005-0000-0000-0000EAC90000}"/>
    <cellStyle name="Total 3 4 2 6" xfId="51691" xr:uid="{00000000-0005-0000-0000-0000EBC90000}"/>
    <cellStyle name="Total 3 4 3" xfId="51692" xr:uid="{00000000-0005-0000-0000-0000ECC90000}"/>
    <cellStyle name="Total 3 4 4" xfId="51693" xr:uid="{00000000-0005-0000-0000-0000EDC90000}"/>
    <cellStyle name="Total 3 4 5" xfId="51694" xr:uid="{00000000-0005-0000-0000-0000EEC90000}"/>
    <cellStyle name="Total 3 4 6" xfId="51695" xr:uid="{00000000-0005-0000-0000-0000EFC90000}"/>
    <cellStyle name="Total 3 4 7" xfId="51696" xr:uid="{00000000-0005-0000-0000-0000F0C90000}"/>
    <cellStyle name="Total 3 40" xfId="51697" xr:uid="{00000000-0005-0000-0000-0000F1C90000}"/>
    <cellStyle name="Total 3 40 2" xfId="51698" xr:uid="{00000000-0005-0000-0000-0000F2C90000}"/>
    <cellStyle name="Total 3 40 2 2" xfId="51699" xr:uid="{00000000-0005-0000-0000-0000F3C90000}"/>
    <cellStyle name="Total 3 40 2 3" xfId="51700" xr:uid="{00000000-0005-0000-0000-0000F4C90000}"/>
    <cellStyle name="Total 3 40 2 4" xfId="51701" xr:uid="{00000000-0005-0000-0000-0000F5C90000}"/>
    <cellStyle name="Total 3 40 2 5" xfId="51702" xr:uid="{00000000-0005-0000-0000-0000F6C90000}"/>
    <cellStyle name="Total 3 40 2 6" xfId="51703" xr:uid="{00000000-0005-0000-0000-0000F7C90000}"/>
    <cellStyle name="Total 3 40 3" xfId="51704" xr:uid="{00000000-0005-0000-0000-0000F8C90000}"/>
    <cellStyle name="Total 3 40 4" xfId="51705" xr:uid="{00000000-0005-0000-0000-0000F9C90000}"/>
    <cellStyle name="Total 3 40 5" xfId="51706" xr:uid="{00000000-0005-0000-0000-0000FAC90000}"/>
    <cellStyle name="Total 3 40 6" xfId="51707" xr:uid="{00000000-0005-0000-0000-0000FBC90000}"/>
    <cellStyle name="Total 3 40 7" xfId="51708" xr:uid="{00000000-0005-0000-0000-0000FCC90000}"/>
    <cellStyle name="Total 3 41" xfId="51709" xr:uid="{00000000-0005-0000-0000-0000FDC90000}"/>
    <cellStyle name="Total 3 41 2" xfId="51710" xr:uid="{00000000-0005-0000-0000-0000FEC90000}"/>
    <cellStyle name="Total 3 41 2 2" xfId="51711" xr:uid="{00000000-0005-0000-0000-0000FFC90000}"/>
    <cellStyle name="Total 3 41 2 3" xfId="51712" xr:uid="{00000000-0005-0000-0000-000000CA0000}"/>
    <cellStyle name="Total 3 41 2 4" xfId="51713" xr:uid="{00000000-0005-0000-0000-000001CA0000}"/>
    <cellStyle name="Total 3 41 2 5" xfId="51714" xr:uid="{00000000-0005-0000-0000-000002CA0000}"/>
    <cellStyle name="Total 3 41 2 6" xfId="51715" xr:uid="{00000000-0005-0000-0000-000003CA0000}"/>
    <cellStyle name="Total 3 41 3" xfId="51716" xr:uid="{00000000-0005-0000-0000-000004CA0000}"/>
    <cellStyle name="Total 3 41 4" xfId="51717" xr:uid="{00000000-0005-0000-0000-000005CA0000}"/>
    <cellStyle name="Total 3 41 5" xfId="51718" xr:uid="{00000000-0005-0000-0000-000006CA0000}"/>
    <cellStyle name="Total 3 41 6" xfId="51719" xr:uid="{00000000-0005-0000-0000-000007CA0000}"/>
    <cellStyle name="Total 3 41 7" xfId="51720" xr:uid="{00000000-0005-0000-0000-000008CA0000}"/>
    <cellStyle name="Total 3 42" xfId="51721" xr:uid="{00000000-0005-0000-0000-000009CA0000}"/>
    <cellStyle name="Total 3 42 2" xfId="51722" xr:uid="{00000000-0005-0000-0000-00000ACA0000}"/>
    <cellStyle name="Total 3 42 2 2" xfId="51723" xr:uid="{00000000-0005-0000-0000-00000BCA0000}"/>
    <cellStyle name="Total 3 42 2 3" xfId="51724" xr:uid="{00000000-0005-0000-0000-00000CCA0000}"/>
    <cellStyle name="Total 3 42 2 4" xfId="51725" xr:uid="{00000000-0005-0000-0000-00000DCA0000}"/>
    <cellStyle name="Total 3 42 2 5" xfId="51726" xr:uid="{00000000-0005-0000-0000-00000ECA0000}"/>
    <cellStyle name="Total 3 42 2 6" xfId="51727" xr:uid="{00000000-0005-0000-0000-00000FCA0000}"/>
    <cellStyle name="Total 3 42 3" xfId="51728" xr:uid="{00000000-0005-0000-0000-000010CA0000}"/>
    <cellStyle name="Total 3 42 4" xfId="51729" xr:uid="{00000000-0005-0000-0000-000011CA0000}"/>
    <cellStyle name="Total 3 42 5" xfId="51730" xr:uid="{00000000-0005-0000-0000-000012CA0000}"/>
    <cellStyle name="Total 3 42 6" xfId="51731" xr:uid="{00000000-0005-0000-0000-000013CA0000}"/>
    <cellStyle name="Total 3 42 7" xfId="51732" xr:uid="{00000000-0005-0000-0000-000014CA0000}"/>
    <cellStyle name="Total 3 43" xfId="51733" xr:uid="{00000000-0005-0000-0000-000015CA0000}"/>
    <cellStyle name="Total 3 43 2" xfId="51734" xr:uid="{00000000-0005-0000-0000-000016CA0000}"/>
    <cellStyle name="Total 3 43 2 2" xfId="51735" xr:uid="{00000000-0005-0000-0000-000017CA0000}"/>
    <cellStyle name="Total 3 43 2 3" xfId="51736" xr:uid="{00000000-0005-0000-0000-000018CA0000}"/>
    <cellStyle name="Total 3 43 2 4" xfId="51737" xr:uid="{00000000-0005-0000-0000-000019CA0000}"/>
    <cellStyle name="Total 3 43 2 5" xfId="51738" xr:uid="{00000000-0005-0000-0000-00001ACA0000}"/>
    <cellStyle name="Total 3 43 2 6" xfId="51739" xr:uid="{00000000-0005-0000-0000-00001BCA0000}"/>
    <cellStyle name="Total 3 43 3" xfId="51740" xr:uid="{00000000-0005-0000-0000-00001CCA0000}"/>
    <cellStyle name="Total 3 43 4" xfId="51741" xr:uid="{00000000-0005-0000-0000-00001DCA0000}"/>
    <cellStyle name="Total 3 43 5" xfId="51742" xr:uid="{00000000-0005-0000-0000-00001ECA0000}"/>
    <cellStyle name="Total 3 43 6" xfId="51743" xr:uid="{00000000-0005-0000-0000-00001FCA0000}"/>
    <cellStyle name="Total 3 43 7" xfId="51744" xr:uid="{00000000-0005-0000-0000-000020CA0000}"/>
    <cellStyle name="Total 3 44" xfId="51745" xr:uid="{00000000-0005-0000-0000-000021CA0000}"/>
    <cellStyle name="Total 3 44 2" xfId="51746" xr:uid="{00000000-0005-0000-0000-000022CA0000}"/>
    <cellStyle name="Total 3 44 3" xfId="51747" xr:uid="{00000000-0005-0000-0000-000023CA0000}"/>
    <cellStyle name="Total 3 44 4" xfId="51748" xr:uid="{00000000-0005-0000-0000-000024CA0000}"/>
    <cellStyle name="Total 3 44 5" xfId="51749" xr:uid="{00000000-0005-0000-0000-000025CA0000}"/>
    <cellStyle name="Total 3 44 6" xfId="51750" xr:uid="{00000000-0005-0000-0000-000026CA0000}"/>
    <cellStyle name="Total 3 45" xfId="51751" xr:uid="{00000000-0005-0000-0000-000027CA0000}"/>
    <cellStyle name="Total 3 45 2" xfId="51752" xr:uid="{00000000-0005-0000-0000-000028CA0000}"/>
    <cellStyle name="Total 3 45 3" xfId="51753" xr:uid="{00000000-0005-0000-0000-000029CA0000}"/>
    <cellStyle name="Total 3 45 4" xfId="51754" xr:uid="{00000000-0005-0000-0000-00002ACA0000}"/>
    <cellStyle name="Total 3 45 5" xfId="51755" xr:uid="{00000000-0005-0000-0000-00002BCA0000}"/>
    <cellStyle name="Total 3 45 6" xfId="51756" xr:uid="{00000000-0005-0000-0000-00002CCA0000}"/>
    <cellStyle name="Total 3 5" xfId="51757" xr:uid="{00000000-0005-0000-0000-00002DCA0000}"/>
    <cellStyle name="Total 3 5 2" xfId="51758" xr:uid="{00000000-0005-0000-0000-00002ECA0000}"/>
    <cellStyle name="Total 3 5 2 2" xfId="51759" xr:uid="{00000000-0005-0000-0000-00002FCA0000}"/>
    <cellStyle name="Total 3 5 2 3" xfId="51760" xr:uid="{00000000-0005-0000-0000-000030CA0000}"/>
    <cellStyle name="Total 3 5 2 4" xfId="51761" xr:uid="{00000000-0005-0000-0000-000031CA0000}"/>
    <cellStyle name="Total 3 5 2 5" xfId="51762" xr:uid="{00000000-0005-0000-0000-000032CA0000}"/>
    <cellStyle name="Total 3 5 2 6" xfId="51763" xr:uid="{00000000-0005-0000-0000-000033CA0000}"/>
    <cellStyle name="Total 3 5 3" xfId="51764" xr:uid="{00000000-0005-0000-0000-000034CA0000}"/>
    <cellStyle name="Total 3 5 4" xfId="51765" xr:uid="{00000000-0005-0000-0000-000035CA0000}"/>
    <cellStyle name="Total 3 5 5" xfId="51766" xr:uid="{00000000-0005-0000-0000-000036CA0000}"/>
    <cellStyle name="Total 3 5 6" xfId="51767" xr:uid="{00000000-0005-0000-0000-000037CA0000}"/>
    <cellStyle name="Total 3 5 7" xfId="51768" xr:uid="{00000000-0005-0000-0000-000038CA0000}"/>
    <cellStyle name="Total 3 6" xfId="51769" xr:uid="{00000000-0005-0000-0000-000039CA0000}"/>
    <cellStyle name="Total 3 6 2" xfId="51770" xr:uid="{00000000-0005-0000-0000-00003ACA0000}"/>
    <cellStyle name="Total 3 6 2 2" xfId="51771" xr:uid="{00000000-0005-0000-0000-00003BCA0000}"/>
    <cellStyle name="Total 3 6 2 3" xfId="51772" xr:uid="{00000000-0005-0000-0000-00003CCA0000}"/>
    <cellStyle name="Total 3 6 2 4" xfId="51773" xr:uid="{00000000-0005-0000-0000-00003DCA0000}"/>
    <cellStyle name="Total 3 6 2 5" xfId="51774" xr:uid="{00000000-0005-0000-0000-00003ECA0000}"/>
    <cellStyle name="Total 3 6 2 6" xfId="51775" xr:uid="{00000000-0005-0000-0000-00003FCA0000}"/>
    <cellStyle name="Total 3 6 3" xfId="51776" xr:uid="{00000000-0005-0000-0000-000040CA0000}"/>
    <cellStyle name="Total 3 6 4" xfId="51777" xr:uid="{00000000-0005-0000-0000-000041CA0000}"/>
    <cellStyle name="Total 3 6 5" xfId="51778" xr:uid="{00000000-0005-0000-0000-000042CA0000}"/>
    <cellStyle name="Total 3 6 6" xfId="51779" xr:uid="{00000000-0005-0000-0000-000043CA0000}"/>
    <cellStyle name="Total 3 6 7" xfId="51780" xr:uid="{00000000-0005-0000-0000-000044CA0000}"/>
    <cellStyle name="Total 3 7" xfId="51781" xr:uid="{00000000-0005-0000-0000-000045CA0000}"/>
    <cellStyle name="Total 3 7 2" xfId="51782" xr:uid="{00000000-0005-0000-0000-000046CA0000}"/>
    <cellStyle name="Total 3 7 2 2" xfId="51783" xr:uid="{00000000-0005-0000-0000-000047CA0000}"/>
    <cellStyle name="Total 3 7 2 3" xfId="51784" xr:uid="{00000000-0005-0000-0000-000048CA0000}"/>
    <cellStyle name="Total 3 7 2 4" xfId="51785" xr:uid="{00000000-0005-0000-0000-000049CA0000}"/>
    <cellStyle name="Total 3 7 2 5" xfId="51786" xr:uid="{00000000-0005-0000-0000-00004ACA0000}"/>
    <cellStyle name="Total 3 7 2 6" xfId="51787" xr:uid="{00000000-0005-0000-0000-00004BCA0000}"/>
    <cellStyle name="Total 3 7 3" xfId="51788" xr:uid="{00000000-0005-0000-0000-00004CCA0000}"/>
    <cellStyle name="Total 3 7 4" xfId="51789" xr:uid="{00000000-0005-0000-0000-00004DCA0000}"/>
    <cellStyle name="Total 3 7 5" xfId="51790" xr:uid="{00000000-0005-0000-0000-00004ECA0000}"/>
    <cellStyle name="Total 3 7 6" xfId="51791" xr:uid="{00000000-0005-0000-0000-00004FCA0000}"/>
    <cellStyle name="Total 3 7 7" xfId="51792" xr:uid="{00000000-0005-0000-0000-000050CA0000}"/>
    <cellStyle name="Total 3 8" xfId="51793" xr:uid="{00000000-0005-0000-0000-000051CA0000}"/>
    <cellStyle name="Total 3 8 2" xfId="51794" xr:uid="{00000000-0005-0000-0000-000052CA0000}"/>
    <cellStyle name="Total 3 8 2 2" xfId="51795" xr:uid="{00000000-0005-0000-0000-000053CA0000}"/>
    <cellStyle name="Total 3 8 2 3" xfId="51796" xr:uid="{00000000-0005-0000-0000-000054CA0000}"/>
    <cellStyle name="Total 3 8 2 4" xfId="51797" xr:uid="{00000000-0005-0000-0000-000055CA0000}"/>
    <cellStyle name="Total 3 8 2 5" xfId="51798" xr:uid="{00000000-0005-0000-0000-000056CA0000}"/>
    <cellStyle name="Total 3 8 2 6" xfId="51799" xr:uid="{00000000-0005-0000-0000-000057CA0000}"/>
    <cellStyle name="Total 3 8 3" xfId="51800" xr:uid="{00000000-0005-0000-0000-000058CA0000}"/>
    <cellStyle name="Total 3 8 4" xfId="51801" xr:uid="{00000000-0005-0000-0000-000059CA0000}"/>
    <cellStyle name="Total 3 8 5" xfId="51802" xr:uid="{00000000-0005-0000-0000-00005ACA0000}"/>
    <cellStyle name="Total 3 8 6" xfId="51803" xr:uid="{00000000-0005-0000-0000-00005BCA0000}"/>
    <cellStyle name="Total 3 8 7" xfId="51804" xr:uid="{00000000-0005-0000-0000-00005CCA0000}"/>
    <cellStyle name="Total 3 9" xfId="51805" xr:uid="{00000000-0005-0000-0000-00005DCA0000}"/>
    <cellStyle name="Total 3 9 2" xfId="51806" xr:uid="{00000000-0005-0000-0000-00005ECA0000}"/>
    <cellStyle name="Total 3 9 2 2" xfId="51807" xr:uid="{00000000-0005-0000-0000-00005FCA0000}"/>
    <cellStyle name="Total 3 9 2 3" xfId="51808" xr:uid="{00000000-0005-0000-0000-000060CA0000}"/>
    <cellStyle name="Total 3 9 2 4" xfId="51809" xr:uid="{00000000-0005-0000-0000-000061CA0000}"/>
    <cellStyle name="Total 3 9 2 5" xfId="51810" xr:uid="{00000000-0005-0000-0000-000062CA0000}"/>
    <cellStyle name="Total 3 9 2 6" xfId="51811" xr:uid="{00000000-0005-0000-0000-000063CA0000}"/>
    <cellStyle name="Total 3 9 3" xfId="51812" xr:uid="{00000000-0005-0000-0000-000064CA0000}"/>
    <cellStyle name="Total 3 9 4" xfId="51813" xr:uid="{00000000-0005-0000-0000-000065CA0000}"/>
    <cellStyle name="Total 3 9 5" xfId="51814" xr:uid="{00000000-0005-0000-0000-000066CA0000}"/>
    <cellStyle name="Total 3 9 6" xfId="51815" xr:uid="{00000000-0005-0000-0000-000067CA0000}"/>
    <cellStyle name="Total 3 9 7" xfId="51816" xr:uid="{00000000-0005-0000-0000-000068CA0000}"/>
    <cellStyle name="Total 4" xfId="51817" xr:uid="{00000000-0005-0000-0000-000069CA0000}"/>
    <cellStyle name="Total 5" xfId="51818" xr:uid="{00000000-0005-0000-0000-00006ACA0000}"/>
    <cellStyle name="Total 6" xfId="51819" xr:uid="{00000000-0005-0000-0000-00006BCA0000}"/>
    <cellStyle name="Total 7" xfId="51820" xr:uid="{00000000-0005-0000-0000-00006CCA0000}"/>
    <cellStyle name="Tusental (0)_pldt" xfId="51821" xr:uid="{00000000-0005-0000-0000-00006DCA0000}"/>
    <cellStyle name="Tusental_pldt" xfId="51822" xr:uid="{00000000-0005-0000-0000-00006ECA0000}"/>
    <cellStyle name="Unit" xfId="51823" xr:uid="{00000000-0005-0000-0000-00006FCA0000}"/>
    <cellStyle name="Valuta (0)_pldt" xfId="51824" xr:uid="{00000000-0005-0000-0000-000070CA0000}"/>
    <cellStyle name="Valuta_pldt" xfId="51825" xr:uid="{00000000-0005-0000-0000-000071CA0000}"/>
    <cellStyle name="Währung [0]_Compiling Utility Macros" xfId="51826" xr:uid="{00000000-0005-0000-0000-000072CA0000}"/>
    <cellStyle name="Währung_Compiling Utility Macros" xfId="51827" xr:uid="{00000000-0005-0000-0000-000073CA0000}"/>
    <cellStyle name="Warning Text 2" xfId="51828" xr:uid="{00000000-0005-0000-0000-000074CA0000}"/>
    <cellStyle name="Warning Text 2 2" xfId="51829" xr:uid="{00000000-0005-0000-0000-000075CA0000}"/>
    <cellStyle name="Warning Text 3" xfId="51830" xr:uid="{00000000-0005-0000-0000-000076CA0000}"/>
    <cellStyle name="Warning Text 4" xfId="51831" xr:uid="{00000000-0005-0000-0000-000077CA0000}"/>
    <cellStyle name="Wrap" xfId="51832" xr:uid="{00000000-0005-0000-0000-000078CA0000}"/>
    <cellStyle name="wrap 2" xfId="51833" xr:uid="{00000000-0005-0000-0000-000079CA0000}"/>
    <cellStyle name="Year" xfId="51834" xr:uid="{00000000-0005-0000-0000-00007ACA0000}"/>
    <cellStyle name="Year 2" xfId="51835" xr:uid="{00000000-0005-0000-0000-00007BCA0000}"/>
    <cellStyle name="Zip Code" xfId="51836" xr:uid="{00000000-0005-0000-0000-00007CCA0000}"/>
  </cellStyles>
  <dxfs count="0"/>
  <tableStyles count="0" defaultTableStyle="TableStyleMedium2" defaultPivotStyle="PivotStyleLight16"/>
  <colors>
    <mruColors>
      <color rgb="FFFFD88B"/>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943A6-DB83-4184-83F6-F53BF55DB415}">
  <sheetPr filterMode="1">
    <tabColor theme="6"/>
  </sheetPr>
  <dimension ref="A1:R184"/>
  <sheetViews>
    <sheetView showGridLines="0" tabSelected="1" zoomScale="70" zoomScaleNormal="70" workbookViewId="0">
      <pane ySplit="6" topLeftCell="A26" activePane="bottomLeft" state="frozen"/>
      <selection pane="bottomLeft"/>
    </sheetView>
  </sheetViews>
  <sheetFormatPr defaultColWidth="9.1796875" defaultRowHeight="14.5"/>
  <cols>
    <col min="2" max="2" width="21.453125" customWidth="1"/>
    <col min="3" max="3" width="24.81640625" bestFit="1" customWidth="1"/>
    <col min="4" max="4" width="14.1796875" customWidth="1"/>
    <col min="5" max="5" width="67.1796875" customWidth="1"/>
    <col min="6" max="7" width="14.26953125" customWidth="1"/>
    <col min="8" max="8" width="85.453125" customWidth="1"/>
    <col min="9" max="9" width="35.1796875" bestFit="1" customWidth="1"/>
    <col min="10" max="15" width="14.26953125" customWidth="1"/>
    <col min="16" max="16" width="42.81640625" customWidth="1"/>
    <col min="17" max="18" width="15.81640625" customWidth="1"/>
  </cols>
  <sheetData>
    <row r="1" spans="1:18">
      <c r="A1" s="481" t="str">
        <f ca="1">IFERROR(VALUE(MID(CELL("filename",$A$1),FIND("]",CELL("filename",$A$1))+1,255)),MID(CELL("filename",$A$1),FIND("]",CELL("filename",$A$1))+1,255))</f>
        <v>v8 Revisions</v>
      </c>
    </row>
    <row r="2" spans="1:18">
      <c r="C2" s="482" t="s">
        <v>1075</v>
      </c>
    </row>
    <row r="3" spans="1:18">
      <c r="M3" t="s">
        <v>1076</v>
      </c>
    </row>
    <row r="4" spans="1:18">
      <c r="M4">
        <f>COUNTIFS(M$7:M$184,TRUE,$O$7:$O$184,"")</f>
        <v>0</v>
      </c>
      <c r="N4">
        <f>COUNTIFS(N$7:N$184,TRUE,$O$7:$O$184,"")</f>
        <v>0</v>
      </c>
    </row>
    <row r="5" spans="1:18">
      <c r="B5" s="481" t="s">
        <v>1077</v>
      </c>
    </row>
    <row r="6" spans="1:18" ht="75" customHeight="1">
      <c r="B6" s="483" t="s">
        <v>864</v>
      </c>
      <c r="C6" s="483" t="s">
        <v>865</v>
      </c>
      <c r="D6" s="484" t="s">
        <v>1078</v>
      </c>
      <c r="E6" s="483" t="s">
        <v>866</v>
      </c>
      <c r="F6" s="483" t="s">
        <v>867</v>
      </c>
      <c r="G6" s="483" t="s">
        <v>868</v>
      </c>
      <c r="H6" s="483" t="s">
        <v>869</v>
      </c>
      <c r="I6" s="483" t="s">
        <v>870</v>
      </c>
      <c r="J6" s="484" t="s">
        <v>1079</v>
      </c>
      <c r="K6" s="484" t="s">
        <v>1080</v>
      </c>
      <c r="L6" s="484" t="s">
        <v>1081</v>
      </c>
      <c r="M6" s="484" t="s">
        <v>1082</v>
      </c>
      <c r="N6" s="484" t="s">
        <v>1083</v>
      </c>
      <c r="O6" s="484" t="s">
        <v>1084</v>
      </c>
      <c r="P6" s="484" t="s">
        <v>1085</v>
      </c>
      <c r="Q6" s="484" t="s">
        <v>1086</v>
      </c>
      <c r="R6" s="484" t="s">
        <v>1087</v>
      </c>
    </row>
    <row r="7" spans="1:18" hidden="1">
      <c r="B7" s="485" t="s">
        <v>871</v>
      </c>
      <c r="C7" s="485" t="s">
        <v>872</v>
      </c>
      <c r="D7" s="486" t="s">
        <v>872</v>
      </c>
      <c r="E7" s="485" t="s">
        <v>872</v>
      </c>
      <c r="F7" s="485" t="s">
        <v>872</v>
      </c>
      <c r="G7" s="485" t="s">
        <v>873</v>
      </c>
      <c r="H7" s="485" t="s">
        <v>1088</v>
      </c>
      <c r="I7" s="485" t="s">
        <v>872</v>
      </c>
      <c r="J7" s="487" t="b">
        <f>I7&lt;&gt;"N/A"</f>
        <v>0</v>
      </c>
      <c r="K7" s="487" t="b">
        <f t="shared" ref="K7:K38" si="0">COUNTIFS(D:D,D7,J:J,TRUE)&gt;0</f>
        <v>0</v>
      </c>
      <c r="L7" s="487" t="str">
        <f>IF(D7="n/a","n/a",ISNUMBER(MATCH(D7,'Measure-Level Adjustments Tab'!D:D,0)))</f>
        <v>n/a</v>
      </c>
      <c r="M7" s="487" t="b">
        <f>AND(G7="Errata",J7,L7)</f>
        <v>0</v>
      </c>
      <c r="N7" s="487" t="b">
        <f>AND(G7="Revision",J7,L7)</f>
        <v>0</v>
      </c>
      <c r="O7" s="487" t="s">
        <v>764</v>
      </c>
      <c r="P7" s="487"/>
      <c r="Q7" s="487"/>
      <c r="R7" s="487" t="str">
        <f>IF(Q7="","",HYPERLINK("#'"&amp;Q7,"Go To Update"))</f>
        <v/>
      </c>
    </row>
    <row r="8" spans="1:18" hidden="1">
      <c r="B8" s="485" t="s">
        <v>871</v>
      </c>
      <c r="C8" s="485" t="s">
        <v>872</v>
      </c>
      <c r="D8" s="486" t="s">
        <v>872</v>
      </c>
      <c r="E8" s="485" t="s">
        <v>872</v>
      </c>
      <c r="F8" s="485" t="s">
        <v>872</v>
      </c>
      <c r="G8" s="485" t="s">
        <v>873</v>
      </c>
      <c r="H8" s="485" t="s">
        <v>1089</v>
      </c>
      <c r="I8" s="485" t="s">
        <v>872</v>
      </c>
      <c r="J8" s="487" t="b">
        <f t="shared" ref="J8:J71" si="1">I8&lt;&gt;"N/A"</f>
        <v>0</v>
      </c>
      <c r="K8" s="487" t="b">
        <f t="shared" si="0"/>
        <v>0</v>
      </c>
      <c r="L8" s="487" t="str">
        <f>IF(D8="n/a","n/a",ISNUMBER(MATCH(D8,'Measure-Level Adjustments Tab'!D:D,0)))</f>
        <v>n/a</v>
      </c>
      <c r="M8" s="487" t="b">
        <f t="shared" ref="M8:M71" si="2">AND(G8="Errata",J8,L8)</f>
        <v>0</v>
      </c>
      <c r="N8" s="487" t="b">
        <f t="shared" ref="N8:N71" si="3">AND(G8="Revision",J8,L8)</f>
        <v>0</v>
      </c>
      <c r="O8" s="487" t="s">
        <v>764</v>
      </c>
      <c r="P8" s="487"/>
      <c r="Q8" s="487"/>
      <c r="R8" s="487" t="str">
        <f t="shared" ref="R8:R71" si="4">IF(Q8="","",HYPERLINK("#'"&amp;Q8,"Go To Update"))</f>
        <v/>
      </c>
    </row>
    <row r="9" spans="1:18" hidden="1">
      <c r="B9" s="485" t="s">
        <v>871</v>
      </c>
      <c r="C9" s="485" t="s">
        <v>872</v>
      </c>
      <c r="D9" s="486" t="s">
        <v>872</v>
      </c>
      <c r="E9" s="485" t="s">
        <v>872</v>
      </c>
      <c r="F9" s="485" t="s">
        <v>872</v>
      </c>
      <c r="G9" s="485" t="s">
        <v>873</v>
      </c>
      <c r="H9" s="485" t="s">
        <v>1090</v>
      </c>
      <c r="I9" s="485" t="s">
        <v>872</v>
      </c>
      <c r="J9" s="487" t="b">
        <f t="shared" si="1"/>
        <v>0</v>
      </c>
      <c r="K9" s="487" t="b">
        <f t="shared" si="0"/>
        <v>0</v>
      </c>
      <c r="L9" s="487" t="str">
        <f>IF(D9="n/a","n/a",ISNUMBER(MATCH(D9,'Measure-Level Adjustments Tab'!D:D,0)))</f>
        <v>n/a</v>
      </c>
      <c r="M9" s="487" t="b">
        <f t="shared" si="2"/>
        <v>0</v>
      </c>
      <c r="N9" s="487" t="b">
        <f t="shared" si="3"/>
        <v>0</v>
      </c>
      <c r="O9" s="487" t="s">
        <v>764</v>
      </c>
      <c r="P9" s="487"/>
      <c r="Q9" s="487"/>
      <c r="R9" s="487" t="str">
        <f t="shared" si="4"/>
        <v/>
      </c>
    </row>
    <row r="10" spans="1:18" hidden="1">
      <c r="B10" s="485" t="s">
        <v>871</v>
      </c>
      <c r="C10" s="485" t="s">
        <v>872</v>
      </c>
      <c r="D10" s="486" t="s">
        <v>872</v>
      </c>
      <c r="E10" s="485" t="s">
        <v>872</v>
      </c>
      <c r="F10" s="485" t="s">
        <v>872</v>
      </c>
      <c r="G10" s="485" t="s">
        <v>873</v>
      </c>
      <c r="H10" s="485" t="s">
        <v>1091</v>
      </c>
      <c r="I10" s="485" t="s">
        <v>872</v>
      </c>
      <c r="J10" s="487" t="b">
        <f t="shared" si="1"/>
        <v>0</v>
      </c>
      <c r="K10" s="487" t="b">
        <f t="shared" si="0"/>
        <v>0</v>
      </c>
      <c r="L10" s="487" t="str">
        <f>IF(D10="n/a","n/a",ISNUMBER(MATCH(D10,'Measure-Level Adjustments Tab'!D:D,0)))</f>
        <v>n/a</v>
      </c>
      <c r="M10" s="487" t="b">
        <f t="shared" si="2"/>
        <v>0</v>
      </c>
      <c r="N10" s="487" t="b">
        <f t="shared" si="3"/>
        <v>0</v>
      </c>
      <c r="O10" s="487" t="s">
        <v>764</v>
      </c>
      <c r="P10" s="487"/>
      <c r="Q10" s="487"/>
      <c r="R10" s="487" t="str">
        <f t="shared" si="4"/>
        <v/>
      </c>
    </row>
    <row r="11" spans="1:18" hidden="1">
      <c r="B11" s="485" t="s">
        <v>871</v>
      </c>
      <c r="C11" s="485" t="s">
        <v>872</v>
      </c>
      <c r="D11" s="486" t="s">
        <v>872</v>
      </c>
      <c r="E11" s="485" t="s">
        <v>872</v>
      </c>
      <c r="F11" s="485" t="s">
        <v>872</v>
      </c>
      <c r="G11" s="485" t="s">
        <v>873</v>
      </c>
      <c r="H11" s="485" t="s">
        <v>1092</v>
      </c>
      <c r="I11" s="485" t="s">
        <v>872</v>
      </c>
      <c r="J11" s="487" t="b">
        <f t="shared" si="1"/>
        <v>0</v>
      </c>
      <c r="K11" s="487" t="b">
        <f t="shared" si="0"/>
        <v>0</v>
      </c>
      <c r="L11" s="487" t="str">
        <f>IF(D11="n/a","n/a",ISNUMBER(MATCH(D11,'Measure-Level Adjustments Tab'!D:D,0)))</f>
        <v>n/a</v>
      </c>
      <c r="M11" s="487" t="b">
        <f t="shared" si="2"/>
        <v>0</v>
      </c>
      <c r="N11" s="487" t="b">
        <f t="shared" si="3"/>
        <v>0</v>
      </c>
      <c r="O11" s="487" t="s">
        <v>764</v>
      </c>
      <c r="P11" s="487"/>
      <c r="Q11" s="487"/>
      <c r="R11" s="487" t="str">
        <f t="shared" si="4"/>
        <v/>
      </c>
    </row>
    <row r="12" spans="1:18" hidden="1">
      <c r="B12" s="485" t="s">
        <v>871</v>
      </c>
      <c r="C12" s="485" t="s">
        <v>872</v>
      </c>
      <c r="D12" s="486" t="s">
        <v>872</v>
      </c>
      <c r="E12" s="485" t="s">
        <v>872</v>
      </c>
      <c r="F12" s="485" t="s">
        <v>872</v>
      </c>
      <c r="G12" s="485" t="s">
        <v>873</v>
      </c>
      <c r="H12" s="485" t="s">
        <v>1422</v>
      </c>
      <c r="I12" s="485" t="s">
        <v>872</v>
      </c>
      <c r="J12" s="487" t="b">
        <f t="shared" ref="J12" si="5">I12&lt;&gt;"N/A"</f>
        <v>0</v>
      </c>
      <c r="K12" s="487" t="b">
        <f t="shared" si="0"/>
        <v>0</v>
      </c>
      <c r="L12" s="487" t="str">
        <f>IF(D12="n/a","n/a",ISNUMBER(MATCH(D12,'Measure-Level Adjustments Tab'!D:D,0)))</f>
        <v>n/a</v>
      </c>
      <c r="M12" s="487" t="b">
        <f t="shared" ref="M12" si="6">AND(G12="Errata",J12,L12)</f>
        <v>0</v>
      </c>
      <c r="N12" s="487" t="b">
        <f t="shared" ref="N12" si="7">AND(G12="Revision",J12,L12)</f>
        <v>0</v>
      </c>
      <c r="O12" s="487" t="s">
        <v>764</v>
      </c>
      <c r="P12" s="487"/>
      <c r="Q12" s="487"/>
      <c r="R12" s="487" t="str">
        <f t="shared" ref="R12" si="8">IF(Q12="","",HYPERLINK("#'"&amp;Q12,"Go To Update"))</f>
        <v/>
      </c>
    </row>
    <row r="13" spans="1:18" hidden="1">
      <c r="B13" s="485" t="s">
        <v>871</v>
      </c>
      <c r="C13" s="485" t="s">
        <v>872</v>
      </c>
      <c r="D13" s="486" t="s">
        <v>872</v>
      </c>
      <c r="E13" s="485" t="s">
        <v>872</v>
      </c>
      <c r="F13" s="485" t="s">
        <v>872</v>
      </c>
      <c r="G13" s="485" t="s">
        <v>873</v>
      </c>
      <c r="H13" s="485" t="s">
        <v>1093</v>
      </c>
      <c r="I13" s="485" t="s">
        <v>872</v>
      </c>
      <c r="J13" s="487" t="b">
        <f t="shared" si="1"/>
        <v>0</v>
      </c>
      <c r="K13" s="487" t="b">
        <f t="shared" si="0"/>
        <v>0</v>
      </c>
      <c r="L13" s="487" t="str">
        <f>IF(D13="n/a","n/a",ISNUMBER(MATCH(D13,'Measure-Level Adjustments Tab'!D:D,0)))</f>
        <v>n/a</v>
      </c>
      <c r="M13" s="487" t="b">
        <f t="shared" si="2"/>
        <v>0</v>
      </c>
      <c r="N13" s="487" t="b">
        <f t="shared" si="3"/>
        <v>0</v>
      </c>
      <c r="O13" s="487" t="s">
        <v>764</v>
      </c>
      <c r="P13" s="487"/>
      <c r="Q13" s="487"/>
      <c r="R13" s="487" t="str">
        <f t="shared" si="4"/>
        <v/>
      </c>
    </row>
    <row r="14" spans="1:18" hidden="1">
      <c r="B14" s="485" t="s">
        <v>875</v>
      </c>
      <c r="C14" s="485" t="s">
        <v>1094</v>
      </c>
      <c r="D14" s="486" t="s">
        <v>877</v>
      </c>
      <c r="E14" s="485" t="s">
        <v>876</v>
      </c>
      <c r="F14" s="485" t="s">
        <v>1095</v>
      </c>
      <c r="G14" s="485" t="s">
        <v>900</v>
      </c>
      <c r="H14" s="485" t="s">
        <v>1096</v>
      </c>
      <c r="I14" s="485" t="s">
        <v>1097</v>
      </c>
      <c r="J14" s="487" t="b">
        <f t="shared" si="1"/>
        <v>1</v>
      </c>
      <c r="K14" s="487" t="b">
        <f t="shared" si="0"/>
        <v>1</v>
      </c>
      <c r="L14" s="487" t="b">
        <f>IF(D14="n/a","n/a",ISNUMBER(MATCH(D14,'Measure-Level Adjustments Tab'!D:D,0)))</f>
        <v>0</v>
      </c>
      <c r="M14" s="487" t="b">
        <f t="shared" si="2"/>
        <v>0</v>
      </c>
      <c r="N14" s="487" t="b">
        <f t="shared" si="3"/>
        <v>0</v>
      </c>
      <c r="O14" s="487" t="s">
        <v>764</v>
      </c>
      <c r="P14" s="487"/>
      <c r="Q14" s="487"/>
      <c r="R14" s="487" t="str">
        <f t="shared" si="4"/>
        <v/>
      </c>
    </row>
    <row r="15" spans="1:18" hidden="1">
      <c r="B15" s="485" t="s">
        <v>875</v>
      </c>
      <c r="C15" s="485" t="s">
        <v>1094</v>
      </c>
      <c r="D15" s="486" t="s">
        <v>1098</v>
      </c>
      <c r="E15" s="485" t="s">
        <v>1099</v>
      </c>
      <c r="F15" s="485" t="s">
        <v>1100</v>
      </c>
      <c r="G15" s="485" t="s">
        <v>874</v>
      </c>
      <c r="H15" s="485" t="s">
        <v>955</v>
      </c>
      <c r="I15" s="485" t="s">
        <v>872</v>
      </c>
      <c r="J15" s="487" t="b">
        <f t="shared" si="1"/>
        <v>0</v>
      </c>
      <c r="K15" s="487" t="b">
        <f t="shared" si="0"/>
        <v>0</v>
      </c>
      <c r="L15" s="487" t="b">
        <f>IF(D15="n/a","n/a",ISNUMBER(MATCH(D15,'Measure-Level Adjustments Tab'!D:D,0)))</f>
        <v>0</v>
      </c>
      <c r="M15" s="487" t="b">
        <f t="shared" si="2"/>
        <v>0</v>
      </c>
      <c r="N15" s="487" t="b">
        <f t="shared" si="3"/>
        <v>0</v>
      </c>
      <c r="O15" s="487" t="s">
        <v>764</v>
      </c>
      <c r="P15" s="487"/>
      <c r="Q15" s="487"/>
      <c r="R15" s="487" t="str">
        <f t="shared" si="4"/>
        <v/>
      </c>
    </row>
    <row r="16" spans="1:18" hidden="1">
      <c r="B16" s="485" t="s">
        <v>875</v>
      </c>
      <c r="C16" s="485" t="s">
        <v>1094</v>
      </c>
      <c r="D16" s="486" t="s">
        <v>1101</v>
      </c>
      <c r="E16" s="485" t="s">
        <v>1102</v>
      </c>
      <c r="F16" s="485" t="s">
        <v>1103</v>
      </c>
      <c r="G16" s="485" t="s">
        <v>874</v>
      </c>
      <c r="H16" s="485" t="s">
        <v>955</v>
      </c>
      <c r="I16" s="485" t="s">
        <v>872</v>
      </c>
      <c r="J16" s="487" t="b">
        <f t="shared" si="1"/>
        <v>0</v>
      </c>
      <c r="K16" s="487" t="b">
        <f t="shared" si="0"/>
        <v>0</v>
      </c>
      <c r="L16" s="487" t="b">
        <f>IF(D16="n/a","n/a",ISNUMBER(MATCH(D16,'Measure-Level Adjustments Tab'!D:D,0)))</f>
        <v>0</v>
      </c>
      <c r="M16" s="487" t="b">
        <f t="shared" si="2"/>
        <v>0</v>
      </c>
      <c r="N16" s="487" t="b">
        <f t="shared" si="3"/>
        <v>0</v>
      </c>
      <c r="O16" s="487" t="s">
        <v>764</v>
      </c>
      <c r="P16" s="487"/>
      <c r="Q16" s="487"/>
      <c r="R16" s="487" t="str">
        <f t="shared" si="4"/>
        <v/>
      </c>
    </row>
    <row r="17" spans="2:18" hidden="1">
      <c r="B17" s="485" t="s">
        <v>875</v>
      </c>
      <c r="C17" s="485" t="s">
        <v>1094</v>
      </c>
      <c r="D17" s="486" t="s">
        <v>1104</v>
      </c>
      <c r="E17" s="485" t="s">
        <v>1105</v>
      </c>
      <c r="F17" s="485" t="s">
        <v>1106</v>
      </c>
      <c r="G17" s="485" t="s">
        <v>874</v>
      </c>
      <c r="H17" s="485" t="s">
        <v>955</v>
      </c>
      <c r="I17" s="485" t="s">
        <v>872</v>
      </c>
      <c r="J17" s="487" t="b">
        <f t="shared" si="1"/>
        <v>0</v>
      </c>
      <c r="K17" s="487" t="b">
        <f t="shared" si="0"/>
        <v>0</v>
      </c>
      <c r="L17" s="487" t="b">
        <f>IF(D17="n/a","n/a",ISNUMBER(MATCH(D17,'Measure-Level Adjustments Tab'!D:D,0)))</f>
        <v>0</v>
      </c>
      <c r="M17" s="487" t="b">
        <f t="shared" si="2"/>
        <v>0</v>
      </c>
      <c r="N17" s="487" t="b">
        <f t="shared" si="3"/>
        <v>0</v>
      </c>
      <c r="O17" s="487" t="s">
        <v>764</v>
      </c>
      <c r="P17" s="487"/>
      <c r="Q17" s="487"/>
      <c r="R17" s="487" t="str">
        <f t="shared" si="4"/>
        <v/>
      </c>
    </row>
    <row r="18" spans="2:18" hidden="1">
      <c r="B18" s="485" t="s">
        <v>875</v>
      </c>
      <c r="C18" s="485" t="s">
        <v>1094</v>
      </c>
      <c r="D18" s="486" t="s">
        <v>1107</v>
      </c>
      <c r="E18" s="485" t="s">
        <v>1108</v>
      </c>
      <c r="F18" s="485" t="s">
        <v>1109</v>
      </c>
      <c r="G18" s="485" t="s">
        <v>874</v>
      </c>
      <c r="H18" s="485" t="s">
        <v>955</v>
      </c>
      <c r="I18" s="485" t="s">
        <v>872</v>
      </c>
      <c r="J18" s="487" t="b">
        <f t="shared" si="1"/>
        <v>0</v>
      </c>
      <c r="K18" s="487" t="b">
        <f t="shared" si="0"/>
        <v>0</v>
      </c>
      <c r="L18" s="487" t="b">
        <f>IF(D18="n/a","n/a",ISNUMBER(MATCH(D18,'Measure-Level Adjustments Tab'!D:D,0)))</f>
        <v>0</v>
      </c>
      <c r="M18" s="487" t="b">
        <f t="shared" si="2"/>
        <v>0</v>
      </c>
      <c r="N18" s="487" t="b">
        <f t="shared" si="3"/>
        <v>0</v>
      </c>
      <c r="O18" s="487" t="s">
        <v>764</v>
      </c>
      <c r="P18" s="487"/>
      <c r="Q18" s="487"/>
      <c r="R18" s="487" t="str">
        <f t="shared" si="4"/>
        <v/>
      </c>
    </row>
    <row r="19" spans="2:18" hidden="1">
      <c r="B19" s="485" t="s">
        <v>875</v>
      </c>
      <c r="C19" s="485" t="s">
        <v>1094</v>
      </c>
      <c r="D19" s="486" t="s">
        <v>1110</v>
      </c>
      <c r="E19" s="485" t="s">
        <v>1111</v>
      </c>
      <c r="F19" s="485" t="s">
        <v>1112</v>
      </c>
      <c r="G19" s="485" t="s">
        <v>874</v>
      </c>
      <c r="H19" s="485" t="s">
        <v>955</v>
      </c>
      <c r="I19" s="485" t="s">
        <v>872</v>
      </c>
      <c r="J19" s="487" t="b">
        <f t="shared" si="1"/>
        <v>0</v>
      </c>
      <c r="K19" s="487" t="b">
        <f t="shared" si="0"/>
        <v>0</v>
      </c>
      <c r="L19" s="487" t="b">
        <f>IF(D19="n/a","n/a",ISNUMBER(MATCH(D19,'Measure-Level Adjustments Tab'!D:D,0)))</f>
        <v>0</v>
      </c>
      <c r="M19" s="487" t="b">
        <f t="shared" si="2"/>
        <v>0</v>
      </c>
      <c r="N19" s="487" t="b">
        <f t="shared" si="3"/>
        <v>0</v>
      </c>
      <c r="O19" s="487" t="s">
        <v>764</v>
      </c>
      <c r="P19" s="487"/>
      <c r="Q19" s="487"/>
      <c r="R19" s="487" t="str">
        <f t="shared" si="4"/>
        <v/>
      </c>
    </row>
    <row r="20" spans="2:18" hidden="1">
      <c r="B20" s="485" t="s">
        <v>875</v>
      </c>
      <c r="C20" s="485" t="s">
        <v>1094</v>
      </c>
      <c r="D20" s="486" t="s">
        <v>1113</v>
      </c>
      <c r="E20" s="485" t="s">
        <v>1114</v>
      </c>
      <c r="F20" s="485" t="s">
        <v>1115</v>
      </c>
      <c r="G20" s="485" t="s">
        <v>874</v>
      </c>
      <c r="H20" s="485" t="s">
        <v>955</v>
      </c>
      <c r="I20" s="485" t="s">
        <v>872</v>
      </c>
      <c r="J20" s="487" t="b">
        <f t="shared" si="1"/>
        <v>0</v>
      </c>
      <c r="K20" s="487" t="b">
        <f t="shared" si="0"/>
        <v>0</v>
      </c>
      <c r="L20" s="487" t="b">
        <f>IF(D20="n/a","n/a",ISNUMBER(MATCH(D20,'Measure-Level Adjustments Tab'!D:D,0)))</f>
        <v>0</v>
      </c>
      <c r="M20" s="487" t="b">
        <f t="shared" si="2"/>
        <v>0</v>
      </c>
      <c r="N20" s="487" t="b">
        <f t="shared" si="3"/>
        <v>0</v>
      </c>
      <c r="O20" s="487" t="s">
        <v>764</v>
      </c>
      <c r="P20" s="487"/>
      <c r="Q20" s="487"/>
      <c r="R20" s="487" t="str">
        <f t="shared" si="4"/>
        <v/>
      </c>
    </row>
    <row r="21" spans="2:18" hidden="1">
      <c r="B21" s="485" t="s">
        <v>875</v>
      </c>
      <c r="C21" s="485" t="s">
        <v>1094</v>
      </c>
      <c r="D21" s="486" t="s">
        <v>1116</v>
      </c>
      <c r="E21" s="485" t="s">
        <v>1117</v>
      </c>
      <c r="F21" s="485" t="s">
        <v>1118</v>
      </c>
      <c r="G21" s="485" t="s">
        <v>874</v>
      </c>
      <c r="H21" s="485" t="s">
        <v>955</v>
      </c>
      <c r="I21" s="485" t="s">
        <v>872</v>
      </c>
      <c r="J21" s="487" t="b">
        <f t="shared" si="1"/>
        <v>0</v>
      </c>
      <c r="K21" s="487" t="b">
        <f t="shared" si="0"/>
        <v>0</v>
      </c>
      <c r="L21" s="487" t="b">
        <f>IF(D21="n/a","n/a",ISNUMBER(MATCH(D21,'Measure-Level Adjustments Tab'!D:D,0)))</f>
        <v>0</v>
      </c>
      <c r="M21" s="487" t="b">
        <f t="shared" si="2"/>
        <v>0</v>
      </c>
      <c r="N21" s="487" t="b">
        <f t="shared" si="3"/>
        <v>0</v>
      </c>
      <c r="O21" s="487" t="s">
        <v>764</v>
      </c>
      <c r="P21" s="487"/>
      <c r="Q21" s="487"/>
      <c r="R21" s="487" t="str">
        <f t="shared" si="4"/>
        <v/>
      </c>
    </row>
    <row r="22" spans="2:18" hidden="1">
      <c r="B22" s="485" t="s">
        <v>875</v>
      </c>
      <c r="C22" s="485" t="s">
        <v>878</v>
      </c>
      <c r="D22" s="486" t="s">
        <v>882</v>
      </c>
      <c r="E22" s="485" t="s">
        <v>881</v>
      </c>
      <c r="F22" s="485" t="s">
        <v>1119</v>
      </c>
      <c r="G22" s="485" t="s">
        <v>900</v>
      </c>
      <c r="H22" s="485" t="s">
        <v>1120</v>
      </c>
      <c r="I22" s="485" t="s">
        <v>1121</v>
      </c>
      <c r="J22" s="487" t="b">
        <f t="shared" si="1"/>
        <v>1</v>
      </c>
      <c r="K22" s="487" t="b">
        <f t="shared" si="0"/>
        <v>1</v>
      </c>
      <c r="L22" s="487" t="b">
        <f>IF(D22="n/a","n/a",ISNUMBER(MATCH(D22,'Measure-Level Adjustments Tab'!D:D,0)))</f>
        <v>0</v>
      </c>
      <c r="M22" s="487" t="b">
        <f t="shared" si="2"/>
        <v>0</v>
      </c>
      <c r="N22" s="487" t="b">
        <f t="shared" si="3"/>
        <v>0</v>
      </c>
      <c r="O22" s="487" t="s">
        <v>764</v>
      </c>
      <c r="P22" s="487"/>
      <c r="Q22" s="487"/>
      <c r="R22" s="487" t="str">
        <f t="shared" si="4"/>
        <v/>
      </c>
    </row>
    <row r="23" spans="2:18" hidden="1">
      <c r="B23" s="485" t="s">
        <v>875</v>
      </c>
      <c r="C23" s="485" t="s">
        <v>878</v>
      </c>
      <c r="D23" s="486" t="s">
        <v>884</v>
      </c>
      <c r="E23" s="485" t="s">
        <v>883</v>
      </c>
      <c r="F23" s="485" t="s">
        <v>1122</v>
      </c>
      <c r="G23" s="485" t="s">
        <v>873</v>
      </c>
      <c r="H23" s="485" t="s">
        <v>1123</v>
      </c>
      <c r="I23" s="485" t="s">
        <v>872</v>
      </c>
      <c r="J23" s="487" t="b">
        <f t="shared" si="1"/>
        <v>0</v>
      </c>
      <c r="K23" s="487" t="b">
        <f t="shared" si="0"/>
        <v>0</v>
      </c>
      <c r="L23" s="487" t="b">
        <f>IF(D23="n/a","n/a",ISNUMBER(MATCH(D23,'Measure-Level Adjustments Tab'!D:D,0)))</f>
        <v>0</v>
      </c>
      <c r="M23" s="487" t="b">
        <f t="shared" si="2"/>
        <v>0</v>
      </c>
      <c r="N23" s="487" t="b">
        <f t="shared" si="3"/>
        <v>0</v>
      </c>
      <c r="O23" s="487" t="s">
        <v>764</v>
      </c>
      <c r="P23" s="487"/>
      <c r="Q23" s="487"/>
      <c r="R23" s="487" t="str">
        <f t="shared" si="4"/>
        <v/>
      </c>
    </row>
    <row r="24" spans="2:18" hidden="1">
      <c r="B24" s="485" t="s">
        <v>875</v>
      </c>
      <c r="C24" s="485" t="s">
        <v>878</v>
      </c>
      <c r="D24" s="486" t="s">
        <v>885</v>
      </c>
      <c r="E24" s="485" t="s">
        <v>1124</v>
      </c>
      <c r="F24" s="485" t="s">
        <v>1125</v>
      </c>
      <c r="G24" s="485" t="s">
        <v>873</v>
      </c>
      <c r="H24" s="485" t="s">
        <v>1126</v>
      </c>
      <c r="I24" s="485" t="s">
        <v>872</v>
      </c>
      <c r="J24" s="487" t="b">
        <f t="shared" si="1"/>
        <v>0</v>
      </c>
      <c r="K24" s="487" t="b">
        <f t="shared" si="0"/>
        <v>0</v>
      </c>
      <c r="L24" s="487" t="b">
        <f>IF(D24="n/a","n/a",ISNUMBER(MATCH(D24,'Measure-Level Adjustments Tab'!D:D,0)))</f>
        <v>0</v>
      </c>
      <c r="M24" s="487" t="b">
        <f t="shared" si="2"/>
        <v>0</v>
      </c>
      <c r="N24" s="487" t="b">
        <f t="shared" si="3"/>
        <v>0</v>
      </c>
      <c r="O24" s="487" t="s">
        <v>764</v>
      </c>
      <c r="P24" s="487"/>
      <c r="Q24" s="487"/>
      <c r="R24" s="487" t="str">
        <f t="shared" si="4"/>
        <v/>
      </c>
    </row>
    <row r="25" spans="2:18" hidden="1">
      <c r="B25" s="485" t="s">
        <v>875</v>
      </c>
      <c r="C25" s="485" t="s">
        <v>878</v>
      </c>
      <c r="D25" s="486" t="s">
        <v>351</v>
      </c>
      <c r="E25" s="485" t="s">
        <v>886</v>
      </c>
      <c r="F25" s="485" t="s">
        <v>1127</v>
      </c>
      <c r="G25" s="485" t="s">
        <v>900</v>
      </c>
      <c r="H25" s="485" t="s">
        <v>1120</v>
      </c>
      <c r="I25" s="485" t="s">
        <v>1121</v>
      </c>
      <c r="J25" s="487" t="b">
        <f t="shared" si="1"/>
        <v>1</v>
      </c>
      <c r="K25" s="487" t="b">
        <f t="shared" si="0"/>
        <v>1</v>
      </c>
      <c r="L25" s="487" t="b">
        <f>IF(D25="n/a","n/a",ISNUMBER(MATCH(D25,'Measure-Level Adjustments Tab'!D:D,0)))</f>
        <v>1</v>
      </c>
      <c r="M25" s="487" t="b">
        <f t="shared" si="2"/>
        <v>1</v>
      </c>
      <c r="N25" s="487" t="b">
        <f t="shared" si="3"/>
        <v>0</v>
      </c>
      <c r="O25" s="487" t="s">
        <v>764</v>
      </c>
      <c r="P25" s="487" t="s">
        <v>1455</v>
      </c>
      <c r="Q25" s="487"/>
      <c r="R25" s="487" t="str">
        <f t="shared" si="4"/>
        <v/>
      </c>
    </row>
    <row r="26" spans="2:18">
      <c r="B26" s="485" t="s">
        <v>875</v>
      </c>
      <c r="C26" s="485" t="s">
        <v>878</v>
      </c>
      <c r="D26" s="486" t="s">
        <v>351</v>
      </c>
      <c r="E26" s="485" t="s">
        <v>886</v>
      </c>
      <c r="F26" s="485" t="s">
        <v>1128</v>
      </c>
      <c r="G26" s="485" t="s">
        <v>873</v>
      </c>
      <c r="H26" s="488" t="s">
        <v>1129</v>
      </c>
      <c r="I26" s="485" t="s">
        <v>901</v>
      </c>
      <c r="J26" s="487" t="b">
        <f t="shared" si="1"/>
        <v>1</v>
      </c>
      <c r="K26" s="487" t="b">
        <f t="shared" si="0"/>
        <v>1</v>
      </c>
      <c r="L26" s="487" t="b">
        <f>IF(D26="n/a","n/a",ISNUMBER(MATCH(D26,'Measure-Level Adjustments Tab'!D:D,0)))</f>
        <v>1</v>
      </c>
      <c r="M26" s="487" t="b">
        <f t="shared" si="2"/>
        <v>0</v>
      </c>
      <c r="N26" s="487" t="b">
        <f t="shared" si="3"/>
        <v>1</v>
      </c>
      <c r="O26" s="487" t="b">
        <v>1</v>
      </c>
      <c r="P26" s="487" t="s">
        <v>1430</v>
      </c>
      <c r="Q26" s="487" t="s">
        <v>1431</v>
      </c>
      <c r="R26" s="487" t="str">
        <f t="shared" si="4"/>
        <v>Go To Update</v>
      </c>
    </row>
    <row r="27" spans="2:18" hidden="1">
      <c r="B27" s="485" t="s">
        <v>875</v>
      </c>
      <c r="C27" s="485" t="s">
        <v>878</v>
      </c>
      <c r="D27" s="486" t="s">
        <v>1130</v>
      </c>
      <c r="E27" s="488" t="s">
        <v>1131</v>
      </c>
      <c r="F27" s="485" t="s">
        <v>1132</v>
      </c>
      <c r="G27" s="485" t="s">
        <v>874</v>
      </c>
      <c r="H27" s="485" t="s">
        <v>955</v>
      </c>
      <c r="I27" s="485" t="s">
        <v>872</v>
      </c>
      <c r="J27" s="487" t="b">
        <f t="shared" si="1"/>
        <v>0</v>
      </c>
      <c r="K27" s="487" t="b">
        <f t="shared" si="0"/>
        <v>0</v>
      </c>
      <c r="L27" s="487" t="b">
        <f>IF(D27="n/a","n/a",ISNUMBER(MATCH(D27,'Measure-Level Adjustments Tab'!D:D,0)))</f>
        <v>0</v>
      </c>
      <c r="M27" s="487" t="b">
        <f t="shared" si="2"/>
        <v>0</v>
      </c>
      <c r="N27" s="487" t="b">
        <f t="shared" si="3"/>
        <v>0</v>
      </c>
      <c r="O27" s="487" t="s">
        <v>764</v>
      </c>
      <c r="P27" s="487"/>
      <c r="Q27" s="487"/>
      <c r="R27" s="487" t="str">
        <f t="shared" si="4"/>
        <v/>
      </c>
    </row>
    <row r="28" spans="2:18" hidden="1">
      <c r="B28" s="485" t="s">
        <v>875</v>
      </c>
      <c r="C28" s="485" t="s">
        <v>887</v>
      </c>
      <c r="D28" s="486" t="s">
        <v>253</v>
      </c>
      <c r="E28" s="485" t="s">
        <v>1133</v>
      </c>
      <c r="F28" s="485" t="s">
        <v>1134</v>
      </c>
      <c r="G28" s="485" t="s">
        <v>900</v>
      </c>
      <c r="H28" s="485" t="s">
        <v>1120</v>
      </c>
      <c r="I28" s="485" t="s">
        <v>1121</v>
      </c>
      <c r="J28" s="487" t="b">
        <f t="shared" si="1"/>
        <v>1</v>
      </c>
      <c r="K28" s="487" t="b">
        <f t="shared" si="0"/>
        <v>1</v>
      </c>
      <c r="L28" s="487" t="b">
        <f>IF(D28="n/a","n/a",ISNUMBER(MATCH(D28,'Measure-Level Adjustments Tab'!D:D,0)))</f>
        <v>1</v>
      </c>
      <c r="M28" s="487" t="b">
        <f t="shared" si="2"/>
        <v>1</v>
      </c>
      <c r="N28" s="487" t="b">
        <f t="shared" si="3"/>
        <v>0</v>
      </c>
      <c r="O28" s="487" t="s">
        <v>764</v>
      </c>
      <c r="P28" s="487" t="s">
        <v>1455</v>
      </c>
      <c r="Q28" s="487"/>
      <c r="R28" s="487" t="str">
        <f t="shared" si="4"/>
        <v/>
      </c>
    </row>
    <row r="29" spans="2:18" hidden="1">
      <c r="B29" s="485" t="s">
        <v>875</v>
      </c>
      <c r="C29" s="485" t="s">
        <v>887</v>
      </c>
      <c r="D29" s="486" t="s">
        <v>253</v>
      </c>
      <c r="E29" s="485" t="s">
        <v>1133</v>
      </c>
      <c r="F29" s="485" t="s">
        <v>1135</v>
      </c>
      <c r="G29" s="485" t="s">
        <v>873</v>
      </c>
      <c r="H29" s="485" t="s">
        <v>1136</v>
      </c>
      <c r="I29" s="485" t="s">
        <v>872</v>
      </c>
      <c r="J29" s="487" t="b">
        <f t="shared" si="1"/>
        <v>0</v>
      </c>
      <c r="K29" s="487" t="b">
        <f t="shared" si="0"/>
        <v>1</v>
      </c>
      <c r="L29" s="487" t="b">
        <f>IF(D29="n/a","n/a",ISNUMBER(MATCH(D29,'Measure-Level Adjustments Tab'!D:D,0)))</f>
        <v>1</v>
      </c>
      <c r="M29" s="487" t="b">
        <f t="shared" si="2"/>
        <v>0</v>
      </c>
      <c r="N29" s="487" t="b">
        <f t="shared" si="3"/>
        <v>0</v>
      </c>
      <c r="O29" s="487" t="s">
        <v>764</v>
      </c>
      <c r="P29" s="487"/>
      <c r="Q29" s="487"/>
      <c r="R29" s="487" t="str">
        <f t="shared" si="4"/>
        <v/>
      </c>
    </row>
    <row r="30" spans="2:18" hidden="1">
      <c r="B30" s="485" t="s">
        <v>875</v>
      </c>
      <c r="C30" s="485" t="s">
        <v>887</v>
      </c>
      <c r="D30" s="486" t="s">
        <v>367</v>
      </c>
      <c r="E30" s="485" t="s">
        <v>889</v>
      </c>
      <c r="F30" s="485" t="s">
        <v>1137</v>
      </c>
      <c r="G30" s="485" t="s">
        <v>900</v>
      </c>
      <c r="H30" s="485" t="s">
        <v>1120</v>
      </c>
      <c r="I30" s="485" t="s">
        <v>1121</v>
      </c>
      <c r="J30" s="487" t="b">
        <f t="shared" si="1"/>
        <v>1</v>
      </c>
      <c r="K30" s="487" t="b">
        <f t="shared" si="0"/>
        <v>1</v>
      </c>
      <c r="L30" s="487" t="b">
        <f>IF(D30="n/a","n/a",ISNUMBER(MATCH(D30,'Measure-Level Adjustments Tab'!D:D,0)))</f>
        <v>1</v>
      </c>
      <c r="M30" s="487" t="b">
        <f t="shared" si="2"/>
        <v>1</v>
      </c>
      <c r="N30" s="487" t="b">
        <f t="shared" si="3"/>
        <v>0</v>
      </c>
      <c r="O30" s="487" t="s">
        <v>764</v>
      </c>
      <c r="P30" s="487" t="s">
        <v>1455</v>
      </c>
      <c r="Q30" s="487"/>
      <c r="R30" s="487" t="str">
        <f t="shared" si="4"/>
        <v/>
      </c>
    </row>
    <row r="31" spans="2:18" hidden="1">
      <c r="B31" s="485" t="s">
        <v>875</v>
      </c>
      <c r="C31" s="485" t="s">
        <v>887</v>
      </c>
      <c r="D31" s="486" t="s">
        <v>367</v>
      </c>
      <c r="E31" s="485" t="s">
        <v>889</v>
      </c>
      <c r="F31" s="485" t="s">
        <v>1137</v>
      </c>
      <c r="G31" s="485" t="s">
        <v>900</v>
      </c>
      <c r="H31" s="485" t="s">
        <v>1138</v>
      </c>
      <c r="I31" s="485" t="s">
        <v>1121</v>
      </c>
      <c r="J31" s="487" t="b">
        <f t="shared" si="1"/>
        <v>1</v>
      </c>
      <c r="K31" s="487" t="b">
        <f t="shared" si="0"/>
        <v>1</v>
      </c>
      <c r="L31" s="487" t="b">
        <f>IF(D31="n/a","n/a",ISNUMBER(MATCH(D31,'Measure-Level Adjustments Tab'!D:D,0)))</f>
        <v>1</v>
      </c>
      <c r="M31" s="487" t="b">
        <f t="shared" si="2"/>
        <v>1</v>
      </c>
      <c r="N31" s="487" t="b">
        <f t="shared" si="3"/>
        <v>0</v>
      </c>
      <c r="O31" s="487" t="s">
        <v>764</v>
      </c>
      <c r="P31" s="487" t="s">
        <v>1139</v>
      </c>
      <c r="Q31" s="487"/>
      <c r="R31" s="487" t="str">
        <f t="shared" si="4"/>
        <v/>
      </c>
    </row>
    <row r="32" spans="2:18" hidden="1">
      <c r="B32" s="485" t="s">
        <v>875</v>
      </c>
      <c r="C32" s="485" t="s">
        <v>887</v>
      </c>
      <c r="D32" s="486" t="s">
        <v>361</v>
      </c>
      <c r="E32" s="485" t="s">
        <v>890</v>
      </c>
      <c r="F32" s="485" t="s">
        <v>1140</v>
      </c>
      <c r="G32" s="485" t="s">
        <v>900</v>
      </c>
      <c r="H32" s="485" t="s">
        <v>1120</v>
      </c>
      <c r="I32" s="485" t="s">
        <v>1121</v>
      </c>
      <c r="J32" s="487" t="b">
        <f t="shared" si="1"/>
        <v>1</v>
      </c>
      <c r="K32" s="487" t="b">
        <f t="shared" si="0"/>
        <v>1</v>
      </c>
      <c r="L32" s="487" t="b">
        <f>IF(D32="n/a","n/a",ISNUMBER(MATCH(D32,'Measure-Level Adjustments Tab'!D:D,0)))</f>
        <v>1</v>
      </c>
      <c r="M32" s="487" t="b">
        <f t="shared" si="2"/>
        <v>1</v>
      </c>
      <c r="N32" s="487" t="b">
        <f t="shared" si="3"/>
        <v>0</v>
      </c>
      <c r="O32" s="487" t="s">
        <v>764</v>
      </c>
      <c r="P32" s="487" t="s">
        <v>1455</v>
      </c>
      <c r="Q32" s="487"/>
      <c r="R32" s="487" t="str">
        <f t="shared" si="4"/>
        <v/>
      </c>
    </row>
    <row r="33" spans="2:18">
      <c r="B33" s="485" t="s">
        <v>875</v>
      </c>
      <c r="C33" s="485" t="s">
        <v>887</v>
      </c>
      <c r="D33" s="486" t="s">
        <v>361</v>
      </c>
      <c r="E33" s="485" t="s">
        <v>890</v>
      </c>
      <c r="F33" s="485" t="s">
        <v>1141</v>
      </c>
      <c r="G33" s="485" t="s">
        <v>873</v>
      </c>
      <c r="H33" s="485" t="s">
        <v>1142</v>
      </c>
      <c r="I33" s="485" t="s">
        <v>1143</v>
      </c>
      <c r="J33" s="487" t="b">
        <f t="shared" si="1"/>
        <v>1</v>
      </c>
      <c r="K33" s="487" t="b">
        <f t="shared" si="0"/>
        <v>1</v>
      </c>
      <c r="L33" s="487" t="b">
        <f>IF(D33="n/a","n/a",ISNUMBER(MATCH(D33,'Measure-Level Adjustments Tab'!D:D,0)))</f>
        <v>1</v>
      </c>
      <c r="M33" s="487" t="b">
        <f t="shared" si="2"/>
        <v>0</v>
      </c>
      <c r="N33" s="487" t="b">
        <f t="shared" si="3"/>
        <v>1</v>
      </c>
      <c r="O33" s="487" t="b">
        <v>1</v>
      </c>
      <c r="P33" s="487" t="s">
        <v>1432</v>
      </c>
      <c r="Q33" s="487" t="s">
        <v>1433</v>
      </c>
      <c r="R33" s="487" t="str">
        <f t="shared" si="4"/>
        <v>Go To Update</v>
      </c>
    </row>
    <row r="34" spans="2:18" hidden="1">
      <c r="B34" s="485" t="s">
        <v>875</v>
      </c>
      <c r="C34" s="485" t="s">
        <v>887</v>
      </c>
      <c r="D34" s="486" t="s">
        <v>892</v>
      </c>
      <c r="E34" s="485" t="s">
        <v>891</v>
      </c>
      <c r="F34" s="485" t="s">
        <v>1144</v>
      </c>
      <c r="G34" s="485" t="s">
        <v>873</v>
      </c>
      <c r="H34" s="485" t="s">
        <v>1145</v>
      </c>
      <c r="I34" s="485" t="s">
        <v>872</v>
      </c>
      <c r="J34" s="487" t="b">
        <f t="shared" si="1"/>
        <v>0</v>
      </c>
      <c r="K34" s="487" t="b">
        <f t="shared" si="0"/>
        <v>0</v>
      </c>
      <c r="L34" s="487" t="b">
        <f>IF(D34="n/a","n/a",ISNUMBER(MATCH(D34,'Measure-Level Adjustments Tab'!D:D,0)))</f>
        <v>0</v>
      </c>
      <c r="M34" s="487" t="b">
        <f t="shared" si="2"/>
        <v>0</v>
      </c>
      <c r="N34" s="487" t="b">
        <f t="shared" si="3"/>
        <v>0</v>
      </c>
      <c r="O34" s="487" t="s">
        <v>764</v>
      </c>
      <c r="P34" s="487"/>
      <c r="Q34" s="487"/>
      <c r="R34" s="487" t="str">
        <f t="shared" si="4"/>
        <v/>
      </c>
    </row>
    <row r="35" spans="2:18" hidden="1">
      <c r="B35" s="485" t="s">
        <v>875</v>
      </c>
      <c r="C35" s="485" t="s">
        <v>887</v>
      </c>
      <c r="D35" s="486" t="s">
        <v>894</v>
      </c>
      <c r="E35" s="488" t="s">
        <v>893</v>
      </c>
      <c r="F35" s="485" t="s">
        <v>872</v>
      </c>
      <c r="G35" s="485" t="s">
        <v>1146</v>
      </c>
      <c r="H35" s="488" t="s">
        <v>1147</v>
      </c>
      <c r="I35" s="485" t="s">
        <v>872</v>
      </c>
      <c r="J35" s="487" t="b">
        <f t="shared" si="1"/>
        <v>0</v>
      </c>
      <c r="K35" s="487" t="b">
        <f t="shared" si="0"/>
        <v>0</v>
      </c>
      <c r="L35" s="487" t="b">
        <f>IF(D35="n/a","n/a",ISNUMBER(MATCH(D35,'Measure-Level Adjustments Tab'!D:D,0)))</f>
        <v>0</v>
      </c>
      <c r="M35" s="487" t="b">
        <f t="shared" si="2"/>
        <v>0</v>
      </c>
      <c r="N35" s="487" t="b">
        <f t="shared" si="3"/>
        <v>0</v>
      </c>
      <c r="O35" s="487" t="s">
        <v>764</v>
      </c>
      <c r="P35" s="487"/>
      <c r="Q35" s="487"/>
      <c r="R35" s="487" t="str">
        <f t="shared" si="4"/>
        <v/>
      </c>
    </row>
    <row r="36" spans="2:18" hidden="1">
      <c r="B36" s="485" t="s">
        <v>875</v>
      </c>
      <c r="C36" s="485" t="s">
        <v>887</v>
      </c>
      <c r="D36" s="486" t="s">
        <v>286</v>
      </c>
      <c r="E36" s="488" t="s">
        <v>895</v>
      </c>
      <c r="F36" s="485" t="s">
        <v>1148</v>
      </c>
      <c r="G36" s="485" t="s">
        <v>900</v>
      </c>
      <c r="H36" s="485" t="s">
        <v>1120</v>
      </c>
      <c r="I36" s="485" t="s">
        <v>1121</v>
      </c>
      <c r="J36" s="487" t="b">
        <f t="shared" si="1"/>
        <v>1</v>
      </c>
      <c r="K36" s="487" t="b">
        <f t="shared" si="0"/>
        <v>1</v>
      </c>
      <c r="L36" s="487" t="b">
        <f>IF(D36="n/a","n/a",ISNUMBER(MATCH(D36,'Measure-Level Adjustments Tab'!D:D,0)))</f>
        <v>1</v>
      </c>
      <c r="M36" s="487" t="b">
        <f t="shared" si="2"/>
        <v>1</v>
      </c>
      <c r="N36" s="487" t="b">
        <f t="shared" si="3"/>
        <v>0</v>
      </c>
      <c r="O36" s="487" t="s">
        <v>764</v>
      </c>
      <c r="P36" s="487" t="s">
        <v>1455</v>
      </c>
      <c r="Q36" s="487"/>
      <c r="R36" s="487" t="str">
        <f t="shared" si="4"/>
        <v/>
      </c>
    </row>
    <row r="37" spans="2:18" hidden="1">
      <c r="B37" s="485" t="s">
        <v>875</v>
      </c>
      <c r="C37" s="485" t="s">
        <v>887</v>
      </c>
      <c r="D37" s="486" t="s">
        <v>286</v>
      </c>
      <c r="E37" s="488" t="s">
        <v>895</v>
      </c>
      <c r="F37" s="485" t="s">
        <v>1149</v>
      </c>
      <c r="G37" s="485" t="s">
        <v>873</v>
      </c>
      <c r="H37" s="488" t="s">
        <v>1150</v>
      </c>
      <c r="I37" s="485" t="s">
        <v>872</v>
      </c>
      <c r="J37" s="487" t="b">
        <f t="shared" si="1"/>
        <v>0</v>
      </c>
      <c r="K37" s="487" t="b">
        <f t="shared" si="0"/>
        <v>1</v>
      </c>
      <c r="L37" s="487" t="b">
        <f>IF(D37="n/a","n/a",ISNUMBER(MATCH(D37,'Measure-Level Adjustments Tab'!D:D,0)))</f>
        <v>1</v>
      </c>
      <c r="M37" s="487" t="b">
        <f t="shared" si="2"/>
        <v>0</v>
      </c>
      <c r="N37" s="487" t="b">
        <f t="shared" si="3"/>
        <v>0</v>
      </c>
      <c r="O37" s="487" t="s">
        <v>764</v>
      </c>
      <c r="P37" s="487"/>
      <c r="Q37" s="487"/>
      <c r="R37" s="487" t="str">
        <f t="shared" si="4"/>
        <v/>
      </c>
    </row>
    <row r="38" spans="2:18" hidden="1">
      <c r="B38" s="485" t="s">
        <v>875</v>
      </c>
      <c r="C38" s="485" t="s">
        <v>887</v>
      </c>
      <c r="D38" s="486" t="s">
        <v>896</v>
      </c>
      <c r="E38" s="488" t="s">
        <v>1151</v>
      </c>
      <c r="F38" s="485" t="s">
        <v>1152</v>
      </c>
      <c r="G38" s="485" t="s">
        <v>873</v>
      </c>
      <c r="H38" s="488" t="s">
        <v>1153</v>
      </c>
      <c r="I38" s="485" t="s">
        <v>872</v>
      </c>
      <c r="J38" s="487" t="b">
        <f t="shared" si="1"/>
        <v>0</v>
      </c>
      <c r="K38" s="487" t="b">
        <f t="shared" si="0"/>
        <v>0</v>
      </c>
      <c r="L38" s="487" t="b">
        <f>IF(D38="n/a","n/a",ISNUMBER(MATCH(D38,'Measure-Level Adjustments Tab'!D:D,0)))</f>
        <v>0</v>
      </c>
      <c r="M38" s="487" t="b">
        <f t="shared" si="2"/>
        <v>0</v>
      </c>
      <c r="N38" s="487" t="b">
        <f t="shared" si="3"/>
        <v>0</v>
      </c>
      <c r="O38" s="487" t="s">
        <v>764</v>
      </c>
      <c r="P38" s="487"/>
      <c r="Q38" s="487"/>
      <c r="R38" s="487" t="str">
        <f t="shared" si="4"/>
        <v/>
      </c>
    </row>
    <row r="39" spans="2:18" hidden="1">
      <c r="B39" s="485" t="s">
        <v>875</v>
      </c>
      <c r="C39" s="485" t="s">
        <v>887</v>
      </c>
      <c r="D39" s="486" t="s">
        <v>149</v>
      </c>
      <c r="E39" s="488" t="s">
        <v>1154</v>
      </c>
      <c r="F39" s="485" t="s">
        <v>1155</v>
      </c>
      <c r="G39" s="485" t="s">
        <v>873</v>
      </c>
      <c r="H39" s="488" t="s">
        <v>1156</v>
      </c>
      <c r="I39" s="485" t="s">
        <v>872</v>
      </c>
      <c r="J39" s="487" t="b">
        <f t="shared" si="1"/>
        <v>0</v>
      </c>
      <c r="K39" s="487" t="b">
        <f t="shared" ref="K39:K70" si="9">COUNTIFS(D:D,D39,J:J,TRUE)&gt;0</f>
        <v>0</v>
      </c>
      <c r="L39" s="487" t="b">
        <f>IF(D39="n/a","n/a",ISNUMBER(MATCH(D39,'Measure-Level Adjustments Tab'!D:D,0)))</f>
        <v>1</v>
      </c>
      <c r="M39" s="487" t="b">
        <f t="shared" si="2"/>
        <v>0</v>
      </c>
      <c r="N39" s="487" t="b">
        <f t="shared" si="3"/>
        <v>0</v>
      </c>
      <c r="O39" s="487" t="s">
        <v>764</v>
      </c>
      <c r="P39" s="487"/>
      <c r="Q39" s="487"/>
      <c r="R39" s="487" t="str">
        <f t="shared" si="4"/>
        <v/>
      </c>
    </row>
    <row r="40" spans="2:18" hidden="1">
      <c r="B40" s="485" t="s">
        <v>875</v>
      </c>
      <c r="C40" s="485" t="s">
        <v>887</v>
      </c>
      <c r="D40" s="486" t="s">
        <v>1157</v>
      </c>
      <c r="E40" s="488" t="s">
        <v>1158</v>
      </c>
      <c r="F40" s="485" t="s">
        <v>1159</v>
      </c>
      <c r="G40" s="485" t="s">
        <v>1160</v>
      </c>
      <c r="H40" s="485" t="s">
        <v>955</v>
      </c>
      <c r="I40" s="485" t="s">
        <v>872</v>
      </c>
      <c r="J40" s="487" t="b">
        <f t="shared" si="1"/>
        <v>0</v>
      </c>
      <c r="K40" s="487" t="b">
        <f t="shared" si="9"/>
        <v>0</v>
      </c>
      <c r="L40" s="487" t="b">
        <f>IF(D40="n/a","n/a",ISNUMBER(MATCH(D40,'Measure-Level Adjustments Tab'!D:D,0)))</f>
        <v>0</v>
      </c>
      <c r="M40" s="487" t="b">
        <f t="shared" si="2"/>
        <v>0</v>
      </c>
      <c r="N40" s="487" t="b">
        <f t="shared" si="3"/>
        <v>0</v>
      </c>
      <c r="O40" s="487" t="s">
        <v>764</v>
      </c>
      <c r="P40" s="487"/>
      <c r="Q40" s="487"/>
      <c r="R40" s="487" t="str">
        <f t="shared" si="4"/>
        <v/>
      </c>
    </row>
    <row r="41" spans="2:18">
      <c r="B41" s="485" t="s">
        <v>875</v>
      </c>
      <c r="C41" s="485" t="s">
        <v>897</v>
      </c>
      <c r="D41" s="486">
        <v>4.4000000000000004</v>
      </c>
      <c r="E41" s="488" t="s">
        <v>898</v>
      </c>
      <c r="F41" s="485" t="s">
        <v>872</v>
      </c>
      <c r="G41" s="485" t="s">
        <v>873</v>
      </c>
      <c r="H41" s="488" t="s">
        <v>899</v>
      </c>
      <c r="I41" s="485" t="s">
        <v>879</v>
      </c>
      <c r="J41" s="487" t="b">
        <f t="shared" si="1"/>
        <v>1</v>
      </c>
      <c r="K41" s="487" t="b">
        <f t="shared" si="9"/>
        <v>1</v>
      </c>
      <c r="L41" s="487" t="b">
        <v>1</v>
      </c>
      <c r="M41" s="487" t="b">
        <f t="shared" si="2"/>
        <v>0</v>
      </c>
      <c r="N41" s="487" t="b">
        <f t="shared" si="3"/>
        <v>1</v>
      </c>
      <c r="O41" s="487" t="b">
        <v>1</v>
      </c>
      <c r="P41" s="487" t="s">
        <v>1435</v>
      </c>
      <c r="Q41" s="487" t="s">
        <v>1436</v>
      </c>
      <c r="R41" s="487" t="str">
        <f t="shared" si="4"/>
        <v>Go To Update</v>
      </c>
    </row>
    <row r="42" spans="2:18">
      <c r="B42" s="485" t="s">
        <v>875</v>
      </c>
      <c r="C42" s="485" t="s">
        <v>897</v>
      </c>
      <c r="D42" s="486">
        <v>4.4000000000000004</v>
      </c>
      <c r="E42" s="488" t="s">
        <v>898</v>
      </c>
      <c r="F42" s="485" t="s">
        <v>872</v>
      </c>
      <c r="G42" s="485" t="s">
        <v>873</v>
      </c>
      <c r="H42" s="488" t="s">
        <v>1161</v>
      </c>
      <c r="I42" s="485" t="s">
        <v>879</v>
      </c>
      <c r="J42" s="487" t="b">
        <f t="shared" si="1"/>
        <v>1</v>
      </c>
      <c r="K42" s="487" t="b">
        <f t="shared" si="9"/>
        <v>1</v>
      </c>
      <c r="L42" s="487" t="b">
        <v>1</v>
      </c>
      <c r="M42" s="487" t="b">
        <f t="shared" si="2"/>
        <v>0</v>
      </c>
      <c r="N42" s="487" t="b">
        <f t="shared" si="3"/>
        <v>1</v>
      </c>
      <c r="O42" s="487" t="s">
        <v>764</v>
      </c>
      <c r="P42" s="487" t="s">
        <v>1437</v>
      </c>
      <c r="Q42" s="487"/>
      <c r="R42" s="487" t="str">
        <f t="shared" si="4"/>
        <v/>
      </c>
    </row>
    <row r="43" spans="2:18">
      <c r="B43" s="485" t="s">
        <v>875</v>
      </c>
      <c r="C43" s="485" t="s">
        <v>897</v>
      </c>
      <c r="D43" s="486">
        <v>4.4000000000000004</v>
      </c>
      <c r="E43" s="488" t="s">
        <v>898</v>
      </c>
      <c r="F43" s="485" t="s">
        <v>872</v>
      </c>
      <c r="G43" s="485" t="s">
        <v>873</v>
      </c>
      <c r="H43" s="485" t="s">
        <v>1162</v>
      </c>
      <c r="I43" s="485" t="s">
        <v>879</v>
      </c>
      <c r="J43" s="487" t="b">
        <f t="shared" si="1"/>
        <v>1</v>
      </c>
      <c r="K43" s="487" t="b">
        <f t="shared" si="9"/>
        <v>1</v>
      </c>
      <c r="L43" s="487" t="b">
        <v>1</v>
      </c>
      <c r="M43" s="487" t="b">
        <f t="shared" si="2"/>
        <v>0</v>
      </c>
      <c r="N43" s="487" t="b">
        <f t="shared" si="3"/>
        <v>1</v>
      </c>
      <c r="O43" s="487" t="s">
        <v>764</v>
      </c>
      <c r="P43" s="487" t="s">
        <v>1438</v>
      </c>
      <c r="Q43" s="487"/>
      <c r="R43" s="487" t="str">
        <f t="shared" si="4"/>
        <v/>
      </c>
    </row>
    <row r="44" spans="2:18" hidden="1">
      <c r="B44" s="485" t="s">
        <v>875</v>
      </c>
      <c r="C44" s="485" t="s">
        <v>897</v>
      </c>
      <c r="D44" s="486" t="s">
        <v>903</v>
      </c>
      <c r="E44" s="485" t="s">
        <v>902</v>
      </c>
      <c r="F44" s="485" t="s">
        <v>1163</v>
      </c>
      <c r="G44" s="485" t="s">
        <v>873</v>
      </c>
      <c r="H44" s="488" t="s">
        <v>1153</v>
      </c>
      <c r="I44" s="485" t="s">
        <v>872</v>
      </c>
      <c r="J44" s="487" t="b">
        <f t="shared" si="1"/>
        <v>0</v>
      </c>
      <c r="K44" s="487" t="b">
        <f t="shared" si="9"/>
        <v>0</v>
      </c>
      <c r="L44" s="487" t="b">
        <f>IF(D44="n/a","n/a",ISNUMBER(MATCH(D44,'Measure-Level Adjustments Tab'!D:D,0)))</f>
        <v>0</v>
      </c>
      <c r="M44" s="487" t="b">
        <f t="shared" si="2"/>
        <v>0</v>
      </c>
      <c r="N44" s="487" t="b">
        <f t="shared" si="3"/>
        <v>0</v>
      </c>
      <c r="O44" s="487" t="s">
        <v>764</v>
      </c>
      <c r="P44" s="487"/>
      <c r="Q44" s="487"/>
      <c r="R44" s="487" t="str">
        <f t="shared" si="4"/>
        <v/>
      </c>
    </row>
    <row r="45" spans="2:18" hidden="1">
      <c r="B45" s="485" t="s">
        <v>875</v>
      </c>
      <c r="C45" s="485" t="s">
        <v>897</v>
      </c>
      <c r="D45" s="486" t="s">
        <v>903</v>
      </c>
      <c r="E45" s="485" t="s">
        <v>902</v>
      </c>
      <c r="F45" s="485" t="s">
        <v>1163</v>
      </c>
      <c r="G45" s="485" t="s">
        <v>873</v>
      </c>
      <c r="H45" s="485" t="s">
        <v>942</v>
      </c>
      <c r="I45" s="485" t="s">
        <v>872</v>
      </c>
      <c r="J45" s="487" t="b">
        <f t="shared" si="1"/>
        <v>0</v>
      </c>
      <c r="K45" s="487" t="b">
        <f t="shared" si="9"/>
        <v>0</v>
      </c>
      <c r="L45" s="487" t="b">
        <f>IF(D45="n/a","n/a",ISNUMBER(MATCH(D45,'Measure-Level Adjustments Tab'!D:D,0)))</f>
        <v>0</v>
      </c>
      <c r="M45" s="487" t="b">
        <f t="shared" si="2"/>
        <v>0</v>
      </c>
      <c r="N45" s="487" t="b">
        <f t="shared" si="3"/>
        <v>0</v>
      </c>
      <c r="O45" s="487" t="s">
        <v>764</v>
      </c>
      <c r="P45" s="487"/>
      <c r="Q45" s="487"/>
      <c r="R45" s="487" t="str">
        <f t="shared" si="4"/>
        <v/>
      </c>
    </row>
    <row r="46" spans="2:18" hidden="1">
      <c r="B46" s="485" t="s">
        <v>875</v>
      </c>
      <c r="C46" s="485" t="s">
        <v>897</v>
      </c>
      <c r="D46" s="486" t="s">
        <v>905</v>
      </c>
      <c r="E46" s="485" t="s">
        <v>1164</v>
      </c>
      <c r="F46" s="485" t="s">
        <v>1165</v>
      </c>
      <c r="G46" s="485" t="s">
        <v>873</v>
      </c>
      <c r="H46" s="488" t="s">
        <v>1153</v>
      </c>
      <c r="I46" s="485" t="s">
        <v>872</v>
      </c>
      <c r="J46" s="487" t="b">
        <f t="shared" si="1"/>
        <v>0</v>
      </c>
      <c r="K46" s="487" t="b">
        <f t="shared" si="9"/>
        <v>0</v>
      </c>
      <c r="L46" s="487" t="b">
        <f>IF(D46="n/a","n/a",ISNUMBER(MATCH(D46,'Measure-Level Adjustments Tab'!D:D,0)))</f>
        <v>0</v>
      </c>
      <c r="M46" s="487" t="b">
        <f t="shared" si="2"/>
        <v>0</v>
      </c>
      <c r="N46" s="487" t="b">
        <f t="shared" si="3"/>
        <v>0</v>
      </c>
      <c r="O46" s="487" t="s">
        <v>764</v>
      </c>
      <c r="P46" s="487"/>
      <c r="Q46" s="487"/>
      <c r="R46" s="487" t="str">
        <f t="shared" si="4"/>
        <v/>
      </c>
    </row>
    <row r="47" spans="2:18" hidden="1">
      <c r="B47" s="485" t="s">
        <v>875</v>
      </c>
      <c r="C47" s="485" t="s">
        <v>897</v>
      </c>
      <c r="D47" s="486" t="s">
        <v>343</v>
      </c>
      <c r="E47" s="485" t="s">
        <v>906</v>
      </c>
      <c r="F47" s="485" t="s">
        <v>1166</v>
      </c>
      <c r="G47" s="485" t="s">
        <v>873</v>
      </c>
      <c r="H47" s="485" t="s">
        <v>914</v>
      </c>
      <c r="I47" s="485" t="s">
        <v>872</v>
      </c>
      <c r="J47" s="487" t="b">
        <f t="shared" si="1"/>
        <v>0</v>
      </c>
      <c r="K47" s="487" t="b">
        <f t="shared" si="9"/>
        <v>0</v>
      </c>
      <c r="L47" s="487" t="b">
        <f>IF(D47="n/a","n/a",ISNUMBER(MATCH(D47,'Measure-Level Adjustments Tab'!D:D,0)))</f>
        <v>1</v>
      </c>
      <c r="M47" s="487" t="b">
        <f t="shared" si="2"/>
        <v>0</v>
      </c>
      <c r="N47" s="487" t="b">
        <f t="shared" si="3"/>
        <v>0</v>
      </c>
      <c r="O47" s="487" t="s">
        <v>764</v>
      </c>
      <c r="P47" s="487"/>
      <c r="Q47" s="487"/>
      <c r="R47" s="487" t="str">
        <f t="shared" si="4"/>
        <v/>
      </c>
    </row>
    <row r="48" spans="2:18" hidden="1">
      <c r="B48" s="485" t="s">
        <v>875</v>
      </c>
      <c r="C48" s="485" t="s">
        <v>897</v>
      </c>
      <c r="D48" s="486" t="s">
        <v>343</v>
      </c>
      <c r="E48" s="485" t="s">
        <v>906</v>
      </c>
      <c r="F48" s="485" t="s">
        <v>1166</v>
      </c>
      <c r="G48" s="485" t="s">
        <v>873</v>
      </c>
      <c r="H48" s="485" t="s">
        <v>1167</v>
      </c>
      <c r="I48" s="485" t="s">
        <v>872</v>
      </c>
      <c r="J48" s="487" t="b">
        <f t="shared" si="1"/>
        <v>0</v>
      </c>
      <c r="K48" s="487" t="b">
        <f t="shared" si="9"/>
        <v>0</v>
      </c>
      <c r="L48" s="487" t="b">
        <f>IF(D48="n/a","n/a",ISNUMBER(MATCH(D48,'Measure-Level Adjustments Tab'!D:D,0)))</f>
        <v>1</v>
      </c>
      <c r="M48" s="487" t="b">
        <f t="shared" si="2"/>
        <v>0</v>
      </c>
      <c r="N48" s="487" t="b">
        <f t="shared" si="3"/>
        <v>0</v>
      </c>
      <c r="O48" s="487" t="s">
        <v>764</v>
      </c>
      <c r="P48" s="487"/>
      <c r="Q48" s="487"/>
      <c r="R48" s="487" t="str">
        <f t="shared" si="4"/>
        <v/>
      </c>
    </row>
    <row r="49" spans="2:18" hidden="1">
      <c r="B49" s="485" t="s">
        <v>875</v>
      </c>
      <c r="C49" s="485" t="s">
        <v>897</v>
      </c>
      <c r="D49" s="486" t="s">
        <v>301</v>
      </c>
      <c r="E49" s="485" t="s">
        <v>907</v>
      </c>
      <c r="F49" s="485" t="s">
        <v>1168</v>
      </c>
      <c r="G49" s="485" t="s">
        <v>873</v>
      </c>
      <c r="H49" s="485" t="s">
        <v>1169</v>
      </c>
      <c r="I49" s="485" t="s">
        <v>872</v>
      </c>
      <c r="J49" s="487" t="b">
        <f t="shared" si="1"/>
        <v>0</v>
      </c>
      <c r="K49" s="487" t="b">
        <f t="shared" si="9"/>
        <v>0</v>
      </c>
      <c r="L49" s="487" t="b">
        <f>IF(D49="n/a","n/a",ISNUMBER(MATCH(D49,'Measure-Level Adjustments Tab'!D:D,0)))</f>
        <v>1</v>
      </c>
      <c r="M49" s="487" t="b">
        <f t="shared" si="2"/>
        <v>0</v>
      </c>
      <c r="N49" s="487" t="b">
        <f t="shared" si="3"/>
        <v>0</v>
      </c>
      <c r="O49" s="487" t="s">
        <v>764</v>
      </c>
      <c r="P49" s="487"/>
      <c r="Q49" s="487"/>
      <c r="R49" s="487" t="str">
        <f t="shared" si="4"/>
        <v/>
      </c>
    </row>
    <row r="50" spans="2:18" hidden="1">
      <c r="B50" s="485" t="s">
        <v>875</v>
      </c>
      <c r="C50" s="485" t="s">
        <v>897</v>
      </c>
      <c r="D50" s="486" t="s">
        <v>301</v>
      </c>
      <c r="E50" s="485" t="s">
        <v>907</v>
      </c>
      <c r="F50" s="485" t="s">
        <v>1168</v>
      </c>
      <c r="G50" s="485" t="s">
        <v>873</v>
      </c>
      <c r="H50" s="485" t="s">
        <v>1167</v>
      </c>
      <c r="I50" s="485" t="s">
        <v>872</v>
      </c>
      <c r="J50" s="487" t="b">
        <f t="shared" si="1"/>
        <v>0</v>
      </c>
      <c r="K50" s="487" t="b">
        <f t="shared" si="9"/>
        <v>0</v>
      </c>
      <c r="L50" s="487" t="b">
        <f>IF(D50="n/a","n/a",ISNUMBER(MATCH(D50,'Measure-Level Adjustments Tab'!D:D,0)))</f>
        <v>1</v>
      </c>
      <c r="M50" s="487" t="b">
        <f t="shared" si="2"/>
        <v>0</v>
      </c>
      <c r="N50" s="487" t="b">
        <f t="shared" si="3"/>
        <v>0</v>
      </c>
      <c r="O50" s="487" t="s">
        <v>764</v>
      </c>
      <c r="P50" s="487"/>
      <c r="Q50" s="487"/>
      <c r="R50" s="487" t="str">
        <f t="shared" si="4"/>
        <v/>
      </c>
    </row>
    <row r="51" spans="2:18" hidden="1">
      <c r="B51" s="485" t="s">
        <v>875</v>
      </c>
      <c r="C51" s="485" t="s">
        <v>897</v>
      </c>
      <c r="D51" s="486" t="s">
        <v>909</v>
      </c>
      <c r="E51" s="485" t="s">
        <v>908</v>
      </c>
      <c r="F51" s="485" t="s">
        <v>1170</v>
      </c>
      <c r="G51" s="485" t="s">
        <v>873</v>
      </c>
      <c r="H51" s="485" t="s">
        <v>1171</v>
      </c>
      <c r="I51" s="485" t="s">
        <v>1172</v>
      </c>
      <c r="J51" s="487" t="b">
        <f t="shared" si="1"/>
        <v>1</v>
      </c>
      <c r="K51" s="487" t="b">
        <f t="shared" si="9"/>
        <v>1</v>
      </c>
      <c r="L51" s="487" t="b">
        <f>IF(D51="n/a","n/a",ISNUMBER(MATCH(D51,'Measure-Level Adjustments Tab'!D:D,0)))</f>
        <v>0</v>
      </c>
      <c r="M51" s="487" t="b">
        <f t="shared" si="2"/>
        <v>0</v>
      </c>
      <c r="N51" s="487" t="b">
        <f t="shared" si="3"/>
        <v>0</v>
      </c>
      <c r="O51" s="487" t="s">
        <v>764</v>
      </c>
      <c r="P51" s="487"/>
      <c r="Q51" s="487"/>
      <c r="R51" s="487" t="str">
        <f t="shared" si="4"/>
        <v/>
      </c>
    </row>
    <row r="52" spans="2:18" hidden="1">
      <c r="B52" s="485" t="s">
        <v>875</v>
      </c>
      <c r="C52" s="485" t="s">
        <v>897</v>
      </c>
      <c r="D52" s="486" t="s">
        <v>909</v>
      </c>
      <c r="E52" s="485" t="s">
        <v>908</v>
      </c>
      <c r="F52" s="485" t="s">
        <v>1170</v>
      </c>
      <c r="G52" s="485" t="s">
        <v>873</v>
      </c>
      <c r="H52" s="485" t="s">
        <v>1173</v>
      </c>
      <c r="I52" s="485" t="s">
        <v>1172</v>
      </c>
      <c r="J52" s="487" t="b">
        <f t="shared" si="1"/>
        <v>1</v>
      </c>
      <c r="K52" s="487" t="b">
        <f t="shared" si="9"/>
        <v>1</v>
      </c>
      <c r="L52" s="487" t="b">
        <f>IF(D52="n/a","n/a",ISNUMBER(MATCH(D52,'Measure-Level Adjustments Tab'!D:D,0)))</f>
        <v>0</v>
      </c>
      <c r="M52" s="487" t="b">
        <f t="shared" si="2"/>
        <v>0</v>
      </c>
      <c r="N52" s="487" t="b">
        <f t="shared" si="3"/>
        <v>0</v>
      </c>
      <c r="O52" s="487" t="s">
        <v>764</v>
      </c>
      <c r="P52" s="487"/>
      <c r="Q52" s="487"/>
      <c r="R52" s="487" t="str">
        <f t="shared" si="4"/>
        <v/>
      </c>
    </row>
    <row r="53" spans="2:18" hidden="1">
      <c r="B53" s="485" t="s">
        <v>875</v>
      </c>
      <c r="C53" s="485" t="s">
        <v>897</v>
      </c>
      <c r="D53" s="486" t="s">
        <v>911</v>
      </c>
      <c r="E53" s="485" t="s">
        <v>910</v>
      </c>
      <c r="F53" s="485" t="s">
        <v>1174</v>
      </c>
      <c r="G53" s="485" t="s">
        <v>873</v>
      </c>
      <c r="H53" s="488" t="s">
        <v>1153</v>
      </c>
      <c r="I53" s="485" t="s">
        <v>872</v>
      </c>
      <c r="J53" s="487" t="b">
        <f t="shared" si="1"/>
        <v>0</v>
      </c>
      <c r="K53" s="487" t="b">
        <f t="shared" si="9"/>
        <v>0</v>
      </c>
      <c r="L53" s="487" t="b">
        <f>IF(D53="n/a","n/a",ISNUMBER(MATCH(D53,'Measure-Level Adjustments Tab'!D:D,0)))</f>
        <v>0</v>
      </c>
      <c r="M53" s="487" t="b">
        <f t="shared" si="2"/>
        <v>0</v>
      </c>
      <c r="N53" s="487" t="b">
        <f t="shared" si="3"/>
        <v>0</v>
      </c>
      <c r="O53" s="487" t="s">
        <v>764</v>
      </c>
      <c r="P53" s="487"/>
      <c r="Q53" s="487"/>
      <c r="R53" s="487" t="str">
        <f t="shared" si="4"/>
        <v/>
      </c>
    </row>
    <row r="54" spans="2:18">
      <c r="B54" s="485" t="s">
        <v>875</v>
      </c>
      <c r="C54" s="485" t="s">
        <v>897</v>
      </c>
      <c r="D54" s="486" t="s">
        <v>266</v>
      </c>
      <c r="E54" s="485" t="s">
        <v>1175</v>
      </c>
      <c r="F54" s="485" t="s">
        <v>1176</v>
      </c>
      <c r="G54" s="485" t="s">
        <v>873</v>
      </c>
      <c r="H54" s="485" t="s">
        <v>1177</v>
      </c>
      <c r="I54" s="485" t="s">
        <v>880</v>
      </c>
      <c r="J54" s="487" t="b">
        <f t="shared" si="1"/>
        <v>1</v>
      </c>
      <c r="K54" s="487" t="b">
        <f t="shared" si="9"/>
        <v>1</v>
      </c>
      <c r="L54" s="487" t="b">
        <f>IF(D54="n/a","n/a",ISNUMBER(MATCH(D54,'Measure-Level Adjustments Tab'!D:D,0)))</f>
        <v>1</v>
      </c>
      <c r="M54" s="487" t="b">
        <f t="shared" si="2"/>
        <v>0</v>
      </c>
      <c r="N54" s="487" t="b">
        <f t="shared" si="3"/>
        <v>1</v>
      </c>
      <c r="O54" s="487" t="s">
        <v>764</v>
      </c>
      <c r="P54" s="487" t="s">
        <v>1439</v>
      </c>
      <c r="Q54" s="487"/>
      <c r="R54" s="487" t="str">
        <f t="shared" si="4"/>
        <v/>
      </c>
    </row>
    <row r="55" spans="2:18">
      <c r="B55" s="485" t="s">
        <v>875</v>
      </c>
      <c r="C55" s="485" t="s">
        <v>897</v>
      </c>
      <c r="D55" s="486" t="s">
        <v>266</v>
      </c>
      <c r="E55" s="485" t="s">
        <v>1175</v>
      </c>
      <c r="F55" s="485" t="s">
        <v>1176</v>
      </c>
      <c r="G55" s="485" t="s">
        <v>873</v>
      </c>
      <c r="H55" s="485" t="s">
        <v>1178</v>
      </c>
      <c r="I55" s="485" t="s">
        <v>880</v>
      </c>
      <c r="J55" s="487" t="b">
        <f t="shared" si="1"/>
        <v>1</v>
      </c>
      <c r="K55" s="487" t="b">
        <f t="shared" si="9"/>
        <v>1</v>
      </c>
      <c r="L55" s="487" t="b">
        <f>IF(D55="n/a","n/a",ISNUMBER(MATCH(D55,'Measure-Level Adjustments Tab'!D:D,0)))</f>
        <v>1</v>
      </c>
      <c r="M55" s="487" t="b">
        <f t="shared" si="2"/>
        <v>0</v>
      </c>
      <c r="N55" s="487" t="b">
        <f t="shared" si="3"/>
        <v>1</v>
      </c>
      <c r="O55" s="487" t="s">
        <v>764</v>
      </c>
      <c r="P55" s="487" t="s">
        <v>1440</v>
      </c>
      <c r="Q55" s="487"/>
      <c r="R55" s="487" t="str">
        <f t="shared" si="4"/>
        <v/>
      </c>
    </row>
    <row r="56" spans="2:18">
      <c r="B56" s="485" t="s">
        <v>875</v>
      </c>
      <c r="C56" s="485" t="s">
        <v>897</v>
      </c>
      <c r="D56" s="486" t="s">
        <v>266</v>
      </c>
      <c r="E56" s="485" t="s">
        <v>1175</v>
      </c>
      <c r="F56" s="485" t="s">
        <v>1176</v>
      </c>
      <c r="G56" s="485" t="s">
        <v>873</v>
      </c>
      <c r="H56" s="485" t="s">
        <v>1179</v>
      </c>
      <c r="I56" s="485" t="s">
        <v>880</v>
      </c>
      <c r="J56" s="487" t="b">
        <f t="shared" si="1"/>
        <v>1</v>
      </c>
      <c r="K56" s="487" t="b">
        <f t="shared" si="9"/>
        <v>1</v>
      </c>
      <c r="L56" s="487" t="b">
        <f>IF(D56="n/a","n/a",ISNUMBER(MATCH(D56,'Measure-Level Adjustments Tab'!D:D,0)))</f>
        <v>1</v>
      </c>
      <c r="M56" s="487" t="b">
        <f t="shared" si="2"/>
        <v>0</v>
      </c>
      <c r="N56" s="487" t="b">
        <f t="shared" si="3"/>
        <v>1</v>
      </c>
      <c r="O56" s="487" t="s">
        <v>764</v>
      </c>
      <c r="P56" s="487" t="s">
        <v>1439</v>
      </c>
      <c r="Q56" s="487"/>
      <c r="R56" s="487" t="str">
        <f t="shared" si="4"/>
        <v/>
      </c>
    </row>
    <row r="57" spans="2:18" hidden="1">
      <c r="B57" s="485" t="s">
        <v>875</v>
      </c>
      <c r="C57" s="485" t="s">
        <v>897</v>
      </c>
      <c r="D57" s="486" t="s">
        <v>913</v>
      </c>
      <c r="E57" s="485" t="s">
        <v>912</v>
      </c>
      <c r="F57" s="485" t="s">
        <v>1180</v>
      </c>
      <c r="G57" s="485" t="s">
        <v>900</v>
      </c>
      <c r="H57" s="485" t="s">
        <v>1181</v>
      </c>
      <c r="I57" s="485" t="s">
        <v>1182</v>
      </c>
      <c r="J57" s="487" t="b">
        <f t="shared" si="1"/>
        <v>1</v>
      </c>
      <c r="K57" s="487" t="b">
        <f t="shared" si="9"/>
        <v>1</v>
      </c>
      <c r="L57" s="487" t="b">
        <f>IF(D57="n/a","n/a",ISNUMBER(MATCH(D57,'Measure-Level Adjustments Tab'!D:D,0)))</f>
        <v>0</v>
      </c>
      <c r="M57" s="487" t="b">
        <f t="shared" si="2"/>
        <v>0</v>
      </c>
      <c r="N57" s="487" t="b">
        <f t="shared" si="3"/>
        <v>0</v>
      </c>
      <c r="O57" s="487" t="s">
        <v>764</v>
      </c>
      <c r="P57" s="487"/>
      <c r="Q57" s="487"/>
      <c r="R57" s="487" t="str">
        <f t="shared" si="4"/>
        <v/>
      </c>
    </row>
    <row r="58" spans="2:18" hidden="1">
      <c r="B58" s="485" t="s">
        <v>875</v>
      </c>
      <c r="C58" s="485" t="s">
        <v>897</v>
      </c>
      <c r="D58" s="486" t="s">
        <v>913</v>
      </c>
      <c r="E58" s="485" t="s">
        <v>912</v>
      </c>
      <c r="F58" s="485" t="s">
        <v>1183</v>
      </c>
      <c r="G58" s="485" t="s">
        <v>873</v>
      </c>
      <c r="H58" s="488" t="s">
        <v>1153</v>
      </c>
      <c r="I58" s="485" t="s">
        <v>1184</v>
      </c>
      <c r="J58" s="487" t="b">
        <f t="shared" si="1"/>
        <v>1</v>
      </c>
      <c r="K58" s="487" t="b">
        <f t="shared" si="9"/>
        <v>1</v>
      </c>
      <c r="L58" s="487" t="b">
        <f>IF(D58="n/a","n/a",ISNUMBER(MATCH(D58,'Measure-Level Adjustments Tab'!D:D,0)))</f>
        <v>0</v>
      </c>
      <c r="M58" s="487" t="b">
        <f t="shared" si="2"/>
        <v>0</v>
      </c>
      <c r="N58" s="487" t="b">
        <f t="shared" si="3"/>
        <v>0</v>
      </c>
      <c r="O58" s="487" t="s">
        <v>764</v>
      </c>
      <c r="P58" s="487"/>
      <c r="Q58" s="487"/>
      <c r="R58" s="487" t="str">
        <f t="shared" si="4"/>
        <v/>
      </c>
    </row>
    <row r="59" spans="2:18" hidden="1">
      <c r="B59" s="485" t="s">
        <v>875</v>
      </c>
      <c r="C59" s="485" t="s">
        <v>897</v>
      </c>
      <c r="D59" s="486" t="s">
        <v>913</v>
      </c>
      <c r="E59" s="485" t="s">
        <v>912</v>
      </c>
      <c r="F59" s="485" t="s">
        <v>1183</v>
      </c>
      <c r="G59" s="485" t="s">
        <v>873</v>
      </c>
      <c r="H59" s="488" t="s">
        <v>1185</v>
      </c>
      <c r="I59" s="485" t="s">
        <v>1184</v>
      </c>
      <c r="J59" s="487" t="b">
        <f t="shared" si="1"/>
        <v>1</v>
      </c>
      <c r="K59" s="487" t="b">
        <f t="shared" si="9"/>
        <v>1</v>
      </c>
      <c r="L59" s="487" t="b">
        <f>IF(D59="n/a","n/a",ISNUMBER(MATCH(D59,'Measure-Level Adjustments Tab'!D:D,0)))</f>
        <v>0</v>
      </c>
      <c r="M59" s="487" t="b">
        <f t="shared" si="2"/>
        <v>0</v>
      </c>
      <c r="N59" s="487" t="b">
        <f t="shared" si="3"/>
        <v>0</v>
      </c>
      <c r="O59" s="487" t="s">
        <v>764</v>
      </c>
      <c r="P59" s="487"/>
      <c r="Q59" s="487"/>
      <c r="R59" s="487" t="str">
        <f t="shared" si="4"/>
        <v/>
      </c>
    </row>
    <row r="60" spans="2:18" hidden="1">
      <c r="B60" s="485" t="s">
        <v>875</v>
      </c>
      <c r="C60" s="485" t="s">
        <v>897</v>
      </c>
      <c r="D60" s="486" t="s">
        <v>225</v>
      </c>
      <c r="E60" s="485" t="s">
        <v>1186</v>
      </c>
      <c r="F60" s="485" t="s">
        <v>1187</v>
      </c>
      <c r="G60" s="485" t="s">
        <v>1146</v>
      </c>
      <c r="H60" s="489" t="s">
        <v>1188</v>
      </c>
      <c r="I60" s="485" t="s">
        <v>872</v>
      </c>
      <c r="J60" s="487" t="b">
        <f t="shared" si="1"/>
        <v>0</v>
      </c>
      <c r="K60" s="487" t="b">
        <f t="shared" si="9"/>
        <v>0</v>
      </c>
      <c r="L60" s="487" t="b">
        <f>IF(D60="n/a","n/a",ISNUMBER(MATCH(D60,'Measure-Level Adjustments Tab'!D:D,0)))</f>
        <v>1</v>
      </c>
      <c r="M60" s="487" t="b">
        <f t="shared" si="2"/>
        <v>0</v>
      </c>
      <c r="N60" s="487" t="b">
        <f t="shared" si="3"/>
        <v>0</v>
      </c>
      <c r="O60" s="487" t="s">
        <v>764</v>
      </c>
      <c r="P60" s="487"/>
      <c r="Q60" s="487"/>
      <c r="R60" s="487" t="str">
        <f t="shared" si="4"/>
        <v/>
      </c>
    </row>
    <row r="61" spans="2:18" hidden="1">
      <c r="B61" s="485" t="s">
        <v>875</v>
      </c>
      <c r="C61" s="485" t="s">
        <v>897</v>
      </c>
      <c r="D61" s="486" t="s">
        <v>1189</v>
      </c>
      <c r="E61" s="488" t="s">
        <v>1190</v>
      </c>
      <c r="F61" s="485" t="s">
        <v>1191</v>
      </c>
      <c r="G61" s="485" t="s">
        <v>873</v>
      </c>
      <c r="H61" s="488" t="s">
        <v>1192</v>
      </c>
      <c r="I61" s="485" t="s">
        <v>872</v>
      </c>
      <c r="J61" s="487" t="b">
        <f t="shared" si="1"/>
        <v>0</v>
      </c>
      <c r="K61" s="487" t="b">
        <f t="shared" si="9"/>
        <v>0</v>
      </c>
      <c r="L61" s="487" t="b">
        <f>IF(D61="n/a","n/a",ISNUMBER(MATCH(D61,'Measure-Level Adjustments Tab'!D:D,0)))</f>
        <v>0</v>
      </c>
      <c r="M61" s="487" t="b">
        <f t="shared" si="2"/>
        <v>0</v>
      </c>
      <c r="N61" s="487" t="b">
        <f t="shared" si="3"/>
        <v>0</v>
      </c>
      <c r="O61" s="487" t="s">
        <v>764</v>
      </c>
      <c r="P61" s="487"/>
      <c r="Q61" s="487"/>
      <c r="R61" s="487" t="str">
        <f t="shared" si="4"/>
        <v/>
      </c>
    </row>
    <row r="62" spans="2:18" hidden="1">
      <c r="B62" s="485" t="s">
        <v>875</v>
      </c>
      <c r="C62" s="485" t="s">
        <v>897</v>
      </c>
      <c r="D62" s="486" t="s">
        <v>1193</v>
      </c>
      <c r="E62" s="485" t="s">
        <v>1194</v>
      </c>
      <c r="F62" s="485" t="s">
        <v>1195</v>
      </c>
      <c r="G62" s="485" t="s">
        <v>873</v>
      </c>
      <c r="H62" s="488" t="s">
        <v>1196</v>
      </c>
      <c r="I62" s="485" t="s">
        <v>872</v>
      </c>
      <c r="J62" s="487" t="b">
        <f t="shared" si="1"/>
        <v>0</v>
      </c>
      <c r="K62" s="487" t="b">
        <f t="shared" si="9"/>
        <v>0</v>
      </c>
      <c r="L62" s="487" t="b">
        <f>IF(D62="n/a","n/a",ISNUMBER(MATCH(D62,'Measure-Level Adjustments Tab'!D:D,0)))</f>
        <v>0</v>
      </c>
      <c r="M62" s="487" t="b">
        <f t="shared" si="2"/>
        <v>0</v>
      </c>
      <c r="N62" s="487" t="b">
        <f t="shared" si="3"/>
        <v>0</v>
      </c>
      <c r="O62" s="487" t="s">
        <v>764</v>
      </c>
      <c r="P62" s="487"/>
      <c r="Q62" s="487"/>
      <c r="R62" s="487" t="str">
        <f t="shared" si="4"/>
        <v/>
      </c>
    </row>
    <row r="63" spans="2:18" hidden="1">
      <c r="B63" s="485" t="s">
        <v>875</v>
      </c>
      <c r="C63" s="485" t="s">
        <v>897</v>
      </c>
      <c r="D63" s="486" t="s">
        <v>915</v>
      </c>
      <c r="E63" s="485" t="s">
        <v>1197</v>
      </c>
      <c r="F63" s="485" t="s">
        <v>916</v>
      </c>
      <c r="G63" s="485" t="s">
        <v>1146</v>
      </c>
      <c r="H63" s="488" t="s">
        <v>1198</v>
      </c>
      <c r="I63" s="485" t="s">
        <v>872</v>
      </c>
      <c r="J63" s="487" t="b">
        <f t="shared" si="1"/>
        <v>0</v>
      </c>
      <c r="K63" s="487" t="b">
        <f t="shared" si="9"/>
        <v>0</v>
      </c>
      <c r="L63" s="487" t="b">
        <f>IF(D63="n/a","n/a",ISNUMBER(MATCH(D63,'Measure-Level Adjustments Tab'!D:D,0)))</f>
        <v>0</v>
      </c>
      <c r="M63" s="487" t="b">
        <f t="shared" si="2"/>
        <v>0</v>
      </c>
      <c r="N63" s="487" t="b">
        <f t="shared" si="3"/>
        <v>0</v>
      </c>
      <c r="O63" s="487" t="s">
        <v>764</v>
      </c>
      <c r="P63" s="487"/>
      <c r="Q63" s="487"/>
      <c r="R63" s="487" t="str">
        <f t="shared" si="4"/>
        <v/>
      </c>
    </row>
    <row r="64" spans="2:18" hidden="1">
      <c r="B64" s="485" t="s">
        <v>875</v>
      </c>
      <c r="C64" s="485" t="s">
        <v>897</v>
      </c>
      <c r="D64" s="486" t="s">
        <v>917</v>
      </c>
      <c r="E64" s="485" t="s">
        <v>1199</v>
      </c>
      <c r="F64" s="485" t="s">
        <v>1200</v>
      </c>
      <c r="G64" s="485" t="s">
        <v>900</v>
      </c>
      <c r="H64" s="485" t="s">
        <v>1201</v>
      </c>
      <c r="I64" s="485" t="s">
        <v>904</v>
      </c>
      <c r="J64" s="487" t="b">
        <f t="shared" si="1"/>
        <v>1</v>
      </c>
      <c r="K64" s="487" t="b">
        <f t="shared" si="9"/>
        <v>1</v>
      </c>
      <c r="L64" s="487" t="b">
        <f>IF(D64="n/a","n/a",ISNUMBER(MATCH(D64,'Measure-Level Adjustments Tab'!D:D,0)))</f>
        <v>0</v>
      </c>
      <c r="M64" s="487" t="b">
        <f t="shared" si="2"/>
        <v>0</v>
      </c>
      <c r="N64" s="487" t="b">
        <f t="shared" si="3"/>
        <v>0</v>
      </c>
      <c r="O64" s="487" t="s">
        <v>764</v>
      </c>
      <c r="P64" s="487"/>
      <c r="Q64" s="487"/>
      <c r="R64" s="487" t="str">
        <f t="shared" si="4"/>
        <v/>
      </c>
    </row>
    <row r="65" spans="2:18" hidden="1">
      <c r="B65" s="485" t="s">
        <v>875</v>
      </c>
      <c r="C65" s="485" t="s">
        <v>897</v>
      </c>
      <c r="D65" s="486" t="s">
        <v>917</v>
      </c>
      <c r="E65" s="485" t="s">
        <v>1199</v>
      </c>
      <c r="F65" s="485" t="s">
        <v>1202</v>
      </c>
      <c r="G65" s="485" t="s">
        <v>873</v>
      </c>
      <c r="H65" s="488" t="s">
        <v>1153</v>
      </c>
      <c r="I65" s="485" t="s">
        <v>1184</v>
      </c>
      <c r="J65" s="487" t="b">
        <f t="shared" si="1"/>
        <v>1</v>
      </c>
      <c r="K65" s="487" t="b">
        <f t="shared" si="9"/>
        <v>1</v>
      </c>
      <c r="L65" s="487" t="b">
        <f>IF(D65="n/a","n/a",ISNUMBER(MATCH(D65,'Measure-Level Adjustments Tab'!D:D,0)))</f>
        <v>0</v>
      </c>
      <c r="M65" s="487" t="b">
        <f t="shared" si="2"/>
        <v>0</v>
      </c>
      <c r="N65" s="487" t="b">
        <f t="shared" si="3"/>
        <v>0</v>
      </c>
      <c r="O65" s="487" t="s">
        <v>764</v>
      </c>
      <c r="P65" s="487"/>
      <c r="Q65" s="487"/>
      <c r="R65" s="487" t="str">
        <f t="shared" si="4"/>
        <v/>
      </c>
    </row>
    <row r="66" spans="2:18" hidden="1">
      <c r="B66" s="485" t="s">
        <v>875</v>
      </c>
      <c r="C66" s="485" t="s">
        <v>897</v>
      </c>
      <c r="D66" s="486" t="s">
        <v>917</v>
      </c>
      <c r="E66" s="485" t="s">
        <v>1199</v>
      </c>
      <c r="F66" s="485" t="s">
        <v>1202</v>
      </c>
      <c r="G66" s="485" t="s">
        <v>873</v>
      </c>
      <c r="H66" s="488" t="s">
        <v>1203</v>
      </c>
      <c r="I66" s="485" t="s">
        <v>1184</v>
      </c>
      <c r="J66" s="487" t="b">
        <f t="shared" si="1"/>
        <v>1</v>
      </c>
      <c r="K66" s="487" t="b">
        <f t="shared" si="9"/>
        <v>1</v>
      </c>
      <c r="L66" s="487" t="b">
        <f>IF(D66="n/a","n/a",ISNUMBER(MATCH(D66,'Measure-Level Adjustments Tab'!D:D,0)))</f>
        <v>0</v>
      </c>
      <c r="M66" s="487" t="b">
        <f t="shared" si="2"/>
        <v>0</v>
      </c>
      <c r="N66" s="487" t="b">
        <f t="shared" si="3"/>
        <v>0</v>
      </c>
      <c r="O66" s="487" t="s">
        <v>764</v>
      </c>
      <c r="P66" s="487"/>
      <c r="Q66" s="487"/>
      <c r="R66" s="487" t="str">
        <f t="shared" si="4"/>
        <v/>
      </c>
    </row>
    <row r="67" spans="2:18" hidden="1">
      <c r="B67" s="485" t="s">
        <v>875</v>
      </c>
      <c r="C67" s="485" t="s">
        <v>897</v>
      </c>
      <c r="D67" s="486" t="s">
        <v>920</v>
      </c>
      <c r="E67" s="485" t="s">
        <v>919</v>
      </c>
      <c r="F67" s="485" t="s">
        <v>1204</v>
      </c>
      <c r="G67" s="485" t="s">
        <v>873</v>
      </c>
      <c r="H67" s="488" t="s">
        <v>1153</v>
      </c>
      <c r="I67" s="485" t="s">
        <v>872</v>
      </c>
      <c r="J67" s="487" t="b">
        <f t="shared" si="1"/>
        <v>0</v>
      </c>
      <c r="K67" s="487" t="b">
        <f t="shared" si="9"/>
        <v>0</v>
      </c>
      <c r="L67" s="487" t="b">
        <f>IF(D67="n/a","n/a",ISNUMBER(MATCH(D67,'Measure-Level Adjustments Tab'!D:D,0)))</f>
        <v>0</v>
      </c>
      <c r="M67" s="487" t="b">
        <f t="shared" si="2"/>
        <v>0</v>
      </c>
      <c r="N67" s="487" t="b">
        <f t="shared" si="3"/>
        <v>0</v>
      </c>
      <c r="O67" s="487" t="s">
        <v>764</v>
      </c>
      <c r="P67" s="487"/>
      <c r="Q67" s="487"/>
      <c r="R67" s="487" t="str">
        <f t="shared" si="4"/>
        <v/>
      </c>
    </row>
    <row r="68" spans="2:18" hidden="1">
      <c r="B68" s="485" t="s">
        <v>875</v>
      </c>
      <c r="C68" s="485" t="s">
        <v>897</v>
      </c>
      <c r="D68" s="486" t="s">
        <v>920</v>
      </c>
      <c r="E68" s="485" t="s">
        <v>919</v>
      </c>
      <c r="F68" s="485" t="s">
        <v>1204</v>
      </c>
      <c r="G68" s="485" t="s">
        <v>873</v>
      </c>
      <c r="H68" s="485" t="s">
        <v>1205</v>
      </c>
      <c r="I68" s="485" t="s">
        <v>872</v>
      </c>
      <c r="J68" s="487" t="b">
        <f t="shared" si="1"/>
        <v>0</v>
      </c>
      <c r="K68" s="487" t="b">
        <f t="shared" si="9"/>
        <v>0</v>
      </c>
      <c r="L68" s="487" t="b">
        <f>IF(D68="n/a","n/a",ISNUMBER(MATCH(D68,'Measure-Level Adjustments Tab'!D:D,0)))</f>
        <v>0</v>
      </c>
      <c r="M68" s="487" t="b">
        <f t="shared" si="2"/>
        <v>0</v>
      </c>
      <c r="N68" s="487" t="b">
        <f t="shared" si="3"/>
        <v>0</v>
      </c>
      <c r="O68" s="487" t="s">
        <v>764</v>
      </c>
      <c r="P68" s="487"/>
      <c r="Q68" s="487"/>
      <c r="R68" s="487" t="str">
        <f t="shared" si="4"/>
        <v/>
      </c>
    </row>
    <row r="69" spans="2:18" hidden="1">
      <c r="B69" s="485" t="s">
        <v>875</v>
      </c>
      <c r="C69" s="485" t="s">
        <v>897</v>
      </c>
      <c r="D69" s="486" t="s">
        <v>922</v>
      </c>
      <c r="E69" s="485" t="s">
        <v>921</v>
      </c>
      <c r="F69" s="485" t="s">
        <v>1206</v>
      </c>
      <c r="G69" s="485" t="s">
        <v>873</v>
      </c>
      <c r="H69" s="488" t="s">
        <v>1203</v>
      </c>
      <c r="I69" s="485" t="s">
        <v>1184</v>
      </c>
      <c r="J69" s="487" t="b">
        <f t="shared" si="1"/>
        <v>1</v>
      </c>
      <c r="K69" s="487" t="b">
        <f t="shared" si="9"/>
        <v>1</v>
      </c>
      <c r="L69" s="487" t="b">
        <f>IF(D69="n/a","n/a",ISNUMBER(MATCH(D69,'Measure-Level Adjustments Tab'!D:D,0)))</f>
        <v>0</v>
      </c>
      <c r="M69" s="487" t="b">
        <f t="shared" si="2"/>
        <v>0</v>
      </c>
      <c r="N69" s="487" t="b">
        <f t="shared" si="3"/>
        <v>0</v>
      </c>
      <c r="O69" s="487" t="s">
        <v>764</v>
      </c>
      <c r="P69" s="487"/>
      <c r="Q69" s="487"/>
      <c r="R69" s="487" t="str">
        <f t="shared" si="4"/>
        <v/>
      </c>
    </row>
    <row r="70" spans="2:18" hidden="1">
      <c r="B70" s="485" t="s">
        <v>875</v>
      </c>
      <c r="C70" s="485" t="s">
        <v>897</v>
      </c>
      <c r="D70" s="486" t="s">
        <v>1207</v>
      </c>
      <c r="E70" s="488" t="s">
        <v>1208</v>
      </c>
      <c r="F70" s="485" t="s">
        <v>1209</v>
      </c>
      <c r="G70" s="485" t="s">
        <v>873</v>
      </c>
      <c r="H70" s="488" t="s">
        <v>1210</v>
      </c>
      <c r="I70" s="485" t="s">
        <v>904</v>
      </c>
      <c r="J70" s="487" t="b">
        <f t="shared" si="1"/>
        <v>1</v>
      </c>
      <c r="K70" s="487" t="b">
        <f t="shared" si="9"/>
        <v>1</v>
      </c>
      <c r="L70" s="487" t="b">
        <f>IF(D70="n/a","n/a",ISNUMBER(MATCH(D70,'Measure-Level Adjustments Tab'!D:D,0)))</f>
        <v>0</v>
      </c>
      <c r="M70" s="487" t="b">
        <f t="shared" si="2"/>
        <v>0</v>
      </c>
      <c r="N70" s="487" t="b">
        <f t="shared" si="3"/>
        <v>0</v>
      </c>
      <c r="O70" s="487" t="s">
        <v>764</v>
      </c>
      <c r="P70" s="487"/>
      <c r="Q70" s="487"/>
      <c r="R70" s="487" t="str">
        <f t="shared" si="4"/>
        <v/>
      </c>
    </row>
    <row r="71" spans="2:18" hidden="1">
      <c r="B71" s="485" t="s">
        <v>875</v>
      </c>
      <c r="C71" s="485" t="s">
        <v>897</v>
      </c>
      <c r="D71" s="486" t="s">
        <v>924</v>
      </c>
      <c r="E71" s="488" t="s">
        <v>923</v>
      </c>
      <c r="F71" s="485" t="s">
        <v>1211</v>
      </c>
      <c r="G71" s="485" t="s">
        <v>873</v>
      </c>
      <c r="H71" s="488" t="s">
        <v>1212</v>
      </c>
      <c r="I71" s="485" t="s">
        <v>872</v>
      </c>
      <c r="J71" s="487" t="b">
        <f t="shared" si="1"/>
        <v>0</v>
      </c>
      <c r="K71" s="487" t="b">
        <f t="shared" ref="K71:K102" si="10">COUNTIFS(D:D,D71,J:J,TRUE)&gt;0</f>
        <v>0</v>
      </c>
      <c r="L71" s="487" t="b">
        <f>IF(D71="n/a","n/a",ISNUMBER(MATCH(D71,'Measure-Level Adjustments Tab'!D:D,0)))</f>
        <v>0</v>
      </c>
      <c r="M71" s="487" t="b">
        <f t="shared" si="2"/>
        <v>0</v>
      </c>
      <c r="N71" s="487" t="b">
        <f t="shared" si="3"/>
        <v>0</v>
      </c>
      <c r="O71" s="487" t="s">
        <v>764</v>
      </c>
      <c r="P71" s="487"/>
      <c r="Q71" s="487"/>
      <c r="R71" s="487" t="str">
        <f t="shared" si="4"/>
        <v/>
      </c>
    </row>
    <row r="72" spans="2:18" hidden="1">
      <c r="B72" s="485" t="s">
        <v>875</v>
      </c>
      <c r="C72" s="485" t="s">
        <v>897</v>
      </c>
      <c r="D72" s="486" t="s">
        <v>925</v>
      </c>
      <c r="E72" s="485" t="s">
        <v>1213</v>
      </c>
      <c r="F72" s="485" t="s">
        <v>1214</v>
      </c>
      <c r="G72" s="485" t="s">
        <v>873</v>
      </c>
      <c r="H72" s="488" t="s">
        <v>1153</v>
      </c>
      <c r="I72" s="485" t="s">
        <v>872</v>
      </c>
      <c r="J72" s="487" t="b">
        <f t="shared" ref="J72:J139" si="11">I72&lt;&gt;"N/A"</f>
        <v>0</v>
      </c>
      <c r="K72" s="487" t="b">
        <f t="shared" si="10"/>
        <v>0</v>
      </c>
      <c r="L72" s="487" t="b">
        <f>IF(D72="n/a","n/a",ISNUMBER(MATCH(D72,'Measure-Level Adjustments Tab'!D:D,0)))</f>
        <v>0</v>
      </c>
      <c r="M72" s="487" t="b">
        <f t="shared" ref="M72:M135" si="12">AND(G72="Errata",J72,L72)</f>
        <v>0</v>
      </c>
      <c r="N72" s="487" t="b">
        <f t="shared" ref="N72:N135" si="13">AND(G72="Revision",J72,L72)</f>
        <v>0</v>
      </c>
      <c r="O72" s="487" t="s">
        <v>764</v>
      </c>
      <c r="P72" s="487"/>
      <c r="Q72" s="487"/>
      <c r="R72" s="487" t="str">
        <f t="shared" ref="R72:R135" si="14">IF(Q72="","",HYPERLINK("#'"&amp;Q72,"Go To Update"))</f>
        <v/>
      </c>
    </row>
    <row r="73" spans="2:18" hidden="1">
      <c r="B73" s="485" t="s">
        <v>875</v>
      </c>
      <c r="C73" s="485" t="s">
        <v>897</v>
      </c>
      <c r="D73" s="486" t="s">
        <v>925</v>
      </c>
      <c r="E73" s="485" t="s">
        <v>1213</v>
      </c>
      <c r="F73" s="485" t="s">
        <v>1214</v>
      </c>
      <c r="G73" s="485" t="s">
        <v>873</v>
      </c>
      <c r="H73" s="488" t="s">
        <v>1215</v>
      </c>
      <c r="I73" s="485" t="s">
        <v>872</v>
      </c>
      <c r="J73" s="487" t="b">
        <f t="shared" si="11"/>
        <v>0</v>
      </c>
      <c r="K73" s="487" t="b">
        <f t="shared" si="10"/>
        <v>0</v>
      </c>
      <c r="L73" s="487" t="b">
        <f>IF(D73="n/a","n/a",ISNUMBER(MATCH(D73,'Measure-Level Adjustments Tab'!D:D,0)))</f>
        <v>0</v>
      </c>
      <c r="M73" s="487" t="b">
        <f t="shared" si="12"/>
        <v>0</v>
      </c>
      <c r="N73" s="487" t="b">
        <f t="shared" si="13"/>
        <v>0</v>
      </c>
      <c r="O73" s="487" t="s">
        <v>764</v>
      </c>
      <c r="P73" s="487"/>
      <c r="Q73" s="487"/>
      <c r="R73" s="487" t="str">
        <f t="shared" si="14"/>
        <v/>
      </c>
    </row>
    <row r="74" spans="2:18" hidden="1">
      <c r="B74" s="485" t="s">
        <v>875</v>
      </c>
      <c r="C74" s="485" t="s">
        <v>897</v>
      </c>
      <c r="D74" s="486" t="s">
        <v>927</v>
      </c>
      <c r="E74" s="485" t="s">
        <v>926</v>
      </c>
      <c r="F74" s="485" t="s">
        <v>1216</v>
      </c>
      <c r="G74" s="485" t="s">
        <v>873</v>
      </c>
      <c r="H74" s="488" t="s">
        <v>1217</v>
      </c>
      <c r="I74" s="485" t="s">
        <v>872</v>
      </c>
      <c r="J74" s="487" t="b">
        <f t="shared" si="11"/>
        <v>0</v>
      </c>
      <c r="K74" s="487" t="b">
        <f t="shared" si="10"/>
        <v>0</v>
      </c>
      <c r="L74" s="487" t="b">
        <f>IF(D74="n/a","n/a",ISNUMBER(MATCH(D74,'Measure-Level Adjustments Tab'!D:D,0)))</f>
        <v>0</v>
      </c>
      <c r="M74" s="487" t="b">
        <f t="shared" si="12"/>
        <v>0</v>
      </c>
      <c r="N74" s="487" t="b">
        <f t="shared" si="13"/>
        <v>0</v>
      </c>
      <c r="O74" s="487" t="s">
        <v>764</v>
      </c>
      <c r="P74" s="487"/>
      <c r="Q74" s="487"/>
      <c r="R74" s="487" t="str">
        <f t="shared" si="14"/>
        <v/>
      </c>
    </row>
    <row r="75" spans="2:18" hidden="1">
      <c r="B75" s="485" t="s">
        <v>875</v>
      </c>
      <c r="C75" s="485" t="s">
        <v>897</v>
      </c>
      <c r="D75" s="486" t="s">
        <v>931</v>
      </c>
      <c r="E75" s="485" t="s">
        <v>930</v>
      </c>
      <c r="F75" s="485" t="s">
        <v>1218</v>
      </c>
      <c r="G75" s="485" t="s">
        <v>873</v>
      </c>
      <c r="H75" s="485" t="s">
        <v>1219</v>
      </c>
      <c r="I75" s="485" t="s">
        <v>872</v>
      </c>
      <c r="J75" s="487" t="b">
        <f t="shared" si="11"/>
        <v>0</v>
      </c>
      <c r="K75" s="487" t="b">
        <f t="shared" si="10"/>
        <v>0</v>
      </c>
      <c r="L75" s="487" t="b">
        <f>IF(D75="n/a","n/a",ISNUMBER(MATCH(D75,'Measure-Level Adjustments Tab'!D:D,0)))</f>
        <v>0</v>
      </c>
      <c r="M75" s="487" t="b">
        <f t="shared" si="12"/>
        <v>0</v>
      </c>
      <c r="N75" s="487" t="b">
        <f t="shared" si="13"/>
        <v>0</v>
      </c>
      <c r="O75" s="487" t="s">
        <v>764</v>
      </c>
      <c r="P75" s="487"/>
      <c r="Q75" s="487"/>
      <c r="R75" s="487" t="str">
        <f t="shared" si="14"/>
        <v/>
      </c>
    </row>
    <row r="76" spans="2:18" hidden="1">
      <c r="B76" s="485" t="s">
        <v>875</v>
      </c>
      <c r="C76" s="485" t="s">
        <v>897</v>
      </c>
      <c r="D76" s="486" t="s">
        <v>932</v>
      </c>
      <c r="E76" s="485" t="s">
        <v>1423</v>
      </c>
      <c r="F76" s="485" t="s">
        <v>1220</v>
      </c>
      <c r="G76" s="485" t="s">
        <v>1146</v>
      </c>
      <c r="H76" s="485" t="s">
        <v>1188</v>
      </c>
      <c r="I76" s="485" t="s">
        <v>872</v>
      </c>
      <c r="J76" s="487" t="b">
        <f t="shared" si="11"/>
        <v>0</v>
      </c>
      <c r="K76" s="487" t="b">
        <f t="shared" si="10"/>
        <v>0</v>
      </c>
      <c r="L76" s="487" t="b">
        <f>IF(D76="n/a","n/a",ISNUMBER(MATCH(D76,'Measure-Level Adjustments Tab'!D:D,0)))</f>
        <v>0</v>
      </c>
      <c r="M76" s="487" t="b">
        <f t="shared" si="12"/>
        <v>0</v>
      </c>
      <c r="N76" s="487" t="b">
        <f t="shared" si="13"/>
        <v>0</v>
      </c>
      <c r="O76" s="487" t="s">
        <v>764</v>
      </c>
      <c r="P76" s="487"/>
      <c r="Q76" s="487"/>
      <c r="R76" s="487" t="str">
        <f t="shared" si="14"/>
        <v/>
      </c>
    </row>
    <row r="77" spans="2:18" hidden="1">
      <c r="B77" s="485" t="s">
        <v>875</v>
      </c>
      <c r="C77" s="485" t="s">
        <v>897</v>
      </c>
      <c r="D77" s="486" t="s">
        <v>933</v>
      </c>
      <c r="E77" s="485" t="s">
        <v>1221</v>
      </c>
      <c r="F77" s="485" t="s">
        <v>1222</v>
      </c>
      <c r="G77" s="485" t="s">
        <v>873</v>
      </c>
      <c r="H77" s="488" t="s">
        <v>1153</v>
      </c>
      <c r="I77" s="485" t="s">
        <v>872</v>
      </c>
      <c r="J77" s="487" t="b">
        <f t="shared" si="11"/>
        <v>0</v>
      </c>
      <c r="K77" s="487" t="b">
        <f t="shared" si="10"/>
        <v>0</v>
      </c>
      <c r="L77" s="487" t="b">
        <f>IF(D77="n/a","n/a",ISNUMBER(MATCH(D77,'Measure-Level Adjustments Tab'!D:D,0)))</f>
        <v>0</v>
      </c>
      <c r="M77" s="487" t="b">
        <f t="shared" si="12"/>
        <v>0</v>
      </c>
      <c r="N77" s="487" t="b">
        <f t="shared" si="13"/>
        <v>0</v>
      </c>
      <c r="O77" s="487" t="s">
        <v>764</v>
      </c>
      <c r="P77" s="487"/>
      <c r="Q77" s="487"/>
      <c r="R77" s="487" t="str">
        <f t="shared" si="14"/>
        <v/>
      </c>
    </row>
    <row r="78" spans="2:18" hidden="1">
      <c r="B78" s="485" t="s">
        <v>875</v>
      </c>
      <c r="C78" s="485" t="s">
        <v>897</v>
      </c>
      <c r="D78" s="486" t="s">
        <v>934</v>
      </c>
      <c r="E78" s="485" t="s">
        <v>1223</v>
      </c>
      <c r="F78" s="485" t="s">
        <v>1224</v>
      </c>
      <c r="G78" s="485" t="s">
        <v>873</v>
      </c>
      <c r="H78" s="485" t="s">
        <v>1225</v>
      </c>
      <c r="I78" s="485" t="s">
        <v>872</v>
      </c>
      <c r="J78" s="487" t="b">
        <f t="shared" si="11"/>
        <v>0</v>
      </c>
      <c r="K78" s="487" t="b">
        <f t="shared" si="10"/>
        <v>0</v>
      </c>
      <c r="L78" s="487" t="b">
        <f>IF(D78="n/a","n/a",ISNUMBER(MATCH(D78,'Measure-Level Adjustments Tab'!D:D,0)))</f>
        <v>0</v>
      </c>
      <c r="M78" s="487" t="b">
        <f t="shared" si="12"/>
        <v>0</v>
      </c>
      <c r="N78" s="487" t="b">
        <f t="shared" si="13"/>
        <v>0</v>
      </c>
      <c r="O78" s="487" t="s">
        <v>764</v>
      </c>
      <c r="P78" s="487"/>
      <c r="Q78" s="487"/>
      <c r="R78" s="487" t="str">
        <f t="shared" si="14"/>
        <v/>
      </c>
    </row>
    <row r="79" spans="2:18" hidden="1">
      <c r="B79" s="485" t="s">
        <v>875</v>
      </c>
      <c r="C79" s="485" t="s">
        <v>897</v>
      </c>
      <c r="D79" s="486" t="s">
        <v>934</v>
      </c>
      <c r="E79" s="485" t="s">
        <v>1223</v>
      </c>
      <c r="F79" s="485" t="s">
        <v>1224</v>
      </c>
      <c r="G79" s="485" t="s">
        <v>873</v>
      </c>
      <c r="H79" s="485" t="s">
        <v>1226</v>
      </c>
      <c r="I79" s="485" t="s">
        <v>872</v>
      </c>
      <c r="J79" s="487" t="b">
        <f t="shared" si="11"/>
        <v>0</v>
      </c>
      <c r="K79" s="487" t="b">
        <f t="shared" si="10"/>
        <v>0</v>
      </c>
      <c r="L79" s="487" t="b">
        <f>IF(D79="n/a","n/a",ISNUMBER(MATCH(D79,'Measure-Level Adjustments Tab'!D:D,0)))</f>
        <v>0</v>
      </c>
      <c r="M79" s="487" t="b">
        <f t="shared" si="12"/>
        <v>0</v>
      </c>
      <c r="N79" s="487" t="b">
        <f t="shared" si="13"/>
        <v>0</v>
      </c>
      <c r="O79" s="487" t="s">
        <v>764</v>
      </c>
      <c r="P79" s="487"/>
      <c r="Q79" s="487"/>
      <c r="R79" s="487" t="str">
        <f t="shared" si="14"/>
        <v/>
      </c>
    </row>
    <row r="80" spans="2:18" hidden="1">
      <c r="B80" s="485" t="s">
        <v>875</v>
      </c>
      <c r="C80" s="485" t="s">
        <v>897</v>
      </c>
      <c r="D80" s="486" t="s">
        <v>934</v>
      </c>
      <c r="E80" s="485" t="s">
        <v>1223</v>
      </c>
      <c r="F80" s="485" t="s">
        <v>1224</v>
      </c>
      <c r="G80" s="485" t="s">
        <v>873</v>
      </c>
      <c r="H80" s="485" t="s">
        <v>1227</v>
      </c>
      <c r="I80" s="485" t="s">
        <v>872</v>
      </c>
      <c r="J80" s="487" t="b">
        <f t="shared" si="11"/>
        <v>0</v>
      </c>
      <c r="K80" s="487" t="b">
        <f t="shared" si="10"/>
        <v>0</v>
      </c>
      <c r="L80" s="487" t="b">
        <f>IF(D80="n/a","n/a",ISNUMBER(MATCH(D80,'Measure-Level Adjustments Tab'!D:D,0)))</f>
        <v>0</v>
      </c>
      <c r="M80" s="487" t="b">
        <f t="shared" si="12"/>
        <v>0</v>
      </c>
      <c r="N80" s="487" t="b">
        <f t="shared" si="13"/>
        <v>0</v>
      </c>
      <c r="O80" s="487" t="s">
        <v>764</v>
      </c>
      <c r="P80" s="487"/>
      <c r="Q80" s="487"/>
      <c r="R80" s="487" t="str">
        <f t="shared" si="14"/>
        <v/>
      </c>
    </row>
    <row r="81" spans="2:18" hidden="1">
      <c r="B81" s="485" t="s">
        <v>875</v>
      </c>
      <c r="C81" s="485" t="s">
        <v>897</v>
      </c>
      <c r="D81" s="486" t="s">
        <v>1228</v>
      </c>
      <c r="E81" s="485" t="s">
        <v>1229</v>
      </c>
      <c r="F81" s="485" t="s">
        <v>1230</v>
      </c>
      <c r="G81" s="485" t="s">
        <v>874</v>
      </c>
      <c r="H81" s="485" t="s">
        <v>955</v>
      </c>
      <c r="I81" s="485" t="s">
        <v>872</v>
      </c>
      <c r="J81" s="487" t="b">
        <f t="shared" si="11"/>
        <v>0</v>
      </c>
      <c r="K81" s="487" t="b">
        <f t="shared" si="10"/>
        <v>0</v>
      </c>
      <c r="L81" s="487" t="b">
        <f>IF(D81="n/a","n/a",ISNUMBER(MATCH(D81,'Measure-Level Adjustments Tab'!D:D,0)))</f>
        <v>0</v>
      </c>
      <c r="M81" s="487" t="b">
        <f t="shared" si="12"/>
        <v>0</v>
      </c>
      <c r="N81" s="487" t="b">
        <f t="shared" si="13"/>
        <v>0</v>
      </c>
      <c r="O81" s="487" t="s">
        <v>764</v>
      </c>
      <c r="P81" s="487"/>
      <c r="Q81" s="487"/>
      <c r="R81" s="487" t="str">
        <f t="shared" si="14"/>
        <v/>
      </c>
    </row>
    <row r="82" spans="2:18" hidden="1">
      <c r="B82" s="485" t="s">
        <v>875</v>
      </c>
      <c r="C82" s="485" t="s">
        <v>897</v>
      </c>
      <c r="D82" s="486" t="s">
        <v>1231</v>
      </c>
      <c r="E82" s="485" t="s">
        <v>1232</v>
      </c>
      <c r="F82" s="485" t="s">
        <v>1233</v>
      </c>
      <c r="G82" s="485" t="s">
        <v>874</v>
      </c>
      <c r="H82" s="485" t="s">
        <v>955</v>
      </c>
      <c r="I82" s="485" t="s">
        <v>872</v>
      </c>
      <c r="J82" s="487" t="b">
        <f t="shared" si="11"/>
        <v>0</v>
      </c>
      <c r="K82" s="487" t="b">
        <f t="shared" si="10"/>
        <v>0</v>
      </c>
      <c r="L82" s="487" t="b">
        <f>IF(D82="n/a","n/a",ISNUMBER(MATCH(D82,'Measure-Level Adjustments Tab'!D:D,0)))</f>
        <v>0</v>
      </c>
      <c r="M82" s="487" t="b">
        <f t="shared" si="12"/>
        <v>0</v>
      </c>
      <c r="N82" s="487" t="b">
        <f t="shared" si="13"/>
        <v>0</v>
      </c>
      <c r="O82" s="487" t="s">
        <v>764</v>
      </c>
      <c r="P82" s="487"/>
      <c r="Q82" s="487"/>
      <c r="R82" s="487" t="str">
        <f t="shared" si="14"/>
        <v/>
      </c>
    </row>
    <row r="83" spans="2:18" hidden="1">
      <c r="B83" s="485" t="s">
        <v>875</v>
      </c>
      <c r="C83" s="485" t="s">
        <v>897</v>
      </c>
      <c r="D83" s="486" t="s">
        <v>1234</v>
      </c>
      <c r="E83" s="485" t="s">
        <v>1235</v>
      </c>
      <c r="F83" s="485" t="s">
        <v>1236</v>
      </c>
      <c r="G83" s="485" t="s">
        <v>874</v>
      </c>
      <c r="H83" s="485" t="s">
        <v>955</v>
      </c>
      <c r="I83" s="485" t="s">
        <v>872</v>
      </c>
      <c r="J83" s="487" t="b">
        <f t="shared" si="11"/>
        <v>0</v>
      </c>
      <c r="K83" s="487" t="b">
        <f t="shared" si="10"/>
        <v>0</v>
      </c>
      <c r="L83" s="487" t="b">
        <f>IF(D83="n/a","n/a",ISNUMBER(MATCH(D83,'Measure-Level Adjustments Tab'!D:D,0)))</f>
        <v>0</v>
      </c>
      <c r="M83" s="487" t="b">
        <f t="shared" si="12"/>
        <v>0</v>
      </c>
      <c r="N83" s="487" t="b">
        <f t="shared" si="13"/>
        <v>0</v>
      </c>
      <c r="O83" s="487" t="s">
        <v>764</v>
      </c>
      <c r="P83" s="487"/>
      <c r="Q83" s="487"/>
      <c r="R83" s="487" t="str">
        <f t="shared" si="14"/>
        <v/>
      </c>
    </row>
    <row r="84" spans="2:18" hidden="1">
      <c r="B84" s="485" t="s">
        <v>875</v>
      </c>
      <c r="C84" s="485" t="s">
        <v>935</v>
      </c>
      <c r="D84" s="486">
        <v>4.5</v>
      </c>
      <c r="E84" s="485" t="s">
        <v>1237</v>
      </c>
      <c r="F84" s="485" t="s">
        <v>872</v>
      </c>
      <c r="G84" s="485" t="s">
        <v>873</v>
      </c>
      <c r="H84" s="485" t="s">
        <v>1238</v>
      </c>
      <c r="I84" s="485" t="s">
        <v>872</v>
      </c>
      <c r="J84" s="487" t="b">
        <f t="shared" si="11"/>
        <v>0</v>
      </c>
      <c r="K84" s="487" t="b">
        <f t="shared" si="10"/>
        <v>0</v>
      </c>
      <c r="L84" s="487" t="b">
        <f>IF(D84="n/a","n/a",ISNUMBER(MATCH(D84,'Measure-Level Adjustments Tab'!D:D,0)))</f>
        <v>0</v>
      </c>
      <c r="M84" s="487" t="b">
        <f t="shared" si="12"/>
        <v>0</v>
      </c>
      <c r="N84" s="487" t="b">
        <f t="shared" si="13"/>
        <v>0</v>
      </c>
      <c r="O84" s="487" t="s">
        <v>764</v>
      </c>
      <c r="P84" s="487"/>
      <c r="Q84" s="487"/>
      <c r="R84" s="487" t="str">
        <f t="shared" si="14"/>
        <v/>
      </c>
    </row>
    <row r="85" spans="2:18" hidden="1">
      <c r="B85" s="485" t="s">
        <v>875</v>
      </c>
      <c r="C85" s="485" t="s">
        <v>935</v>
      </c>
      <c r="D85" s="486">
        <v>4.5</v>
      </c>
      <c r="E85" s="485" t="s">
        <v>1237</v>
      </c>
      <c r="F85" s="485" t="s">
        <v>872</v>
      </c>
      <c r="G85" s="485" t="s">
        <v>873</v>
      </c>
      <c r="H85" s="485" t="s">
        <v>1239</v>
      </c>
      <c r="I85" s="485" t="s">
        <v>872</v>
      </c>
      <c r="J85" s="487" t="b">
        <f t="shared" si="11"/>
        <v>0</v>
      </c>
      <c r="K85" s="487" t="b">
        <f t="shared" si="10"/>
        <v>0</v>
      </c>
      <c r="L85" s="487" t="b">
        <f>IF(D85="n/a","n/a",ISNUMBER(MATCH(D85,'Measure-Level Adjustments Tab'!D:D,0)))</f>
        <v>0</v>
      </c>
      <c r="M85" s="487" t="b">
        <f t="shared" si="12"/>
        <v>0</v>
      </c>
      <c r="N85" s="487" t="b">
        <f t="shared" si="13"/>
        <v>0</v>
      </c>
      <c r="O85" s="487" t="s">
        <v>764</v>
      </c>
      <c r="P85" s="487"/>
      <c r="Q85" s="487"/>
      <c r="R85" s="487" t="str">
        <f t="shared" si="14"/>
        <v/>
      </c>
    </row>
    <row r="86" spans="2:18" hidden="1">
      <c r="B86" s="485" t="s">
        <v>875</v>
      </c>
      <c r="C86" s="485" t="s">
        <v>935</v>
      </c>
      <c r="D86" s="486" t="s">
        <v>937</v>
      </c>
      <c r="E86" s="485" t="s">
        <v>936</v>
      </c>
      <c r="F86" s="485" t="s">
        <v>872</v>
      </c>
      <c r="G86" s="485" t="s">
        <v>1240</v>
      </c>
      <c r="H86" s="485" t="s">
        <v>1241</v>
      </c>
      <c r="I86" s="485" t="s">
        <v>872</v>
      </c>
      <c r="J86" s="487" t="b">
        <f t="shared" si="11"/>
        <v>0</v>
      </c>
      <c r="K86" s="487" t="b">
        <f t="shared" si="10"/>
        <v>0</v>
      </c>
      <c r="L86" s="487" t="b">
        <f>IF(D86="n/a","n/a",ISNUMBER(MATCH(D86,'Measure-Level Adjustments Tab'!D:D,0)))</f>
        <v>0</v>
      </c>
      <c r="M86" s="487" t="b">
        <f t="shared" si="12"/>
        <v>0</v>
      </c>
      <c r="N86" s="487" t="b">
        <f t="shared" si="13"/>
        <v>0</v>
      </c>
      <c r="O86" s="487" t="s">
        <v>764</v>
      </c>
      <c r="P86" s="487"/>
      <c r="Q86" s="487"/>
      <c r="R86" s="487" t="str">
        <f t="shared" si="14"/>
        <v/>
      </c>
    </row>
    <row r="87" spans="2:18" hidden="1">
      <c r="B87" s="485" t="s">
        <v>875</v>
      </c>
      <c r="C87" s="485" t="s">
        <v>935</v>
      </c>
      <c r="D87" s="486" t="s">
        <v>939</v>
      </c>
      <c r="E87" s="485" t="s">
        <v>938</v>
      </c>
      <c r="F87" s="485" t="s">
        <v>1242</v>
      </c>
      <c r="G87" s="485" t="s">
        <v>900</v>
      </c>
      <c r="H87" s="485" t="s">
        <v>1243</v>
      </c>
      <c r="I87" s="485" t="s">
        <v>872</v>
      </c>
      <c r="J87" s="487" t="b">
        <f t="shared" si="11"/>
        <v>0</v>
      </c>
      <c r="K87" s="487" t="b">
        <f t="shared" si="10"/>
        <v>1</v>
      </c>
      <c r="L87" s="487" t="b">
        <f>IF(D87="n/a","n/a",ISNUMBER(MATCH(D87,'Measure-Level Adjustments Tab'!D:D,0)))</f>
        <v>0</v>
      </c>
      <c r="M87" s="487" t="b">
        <f t="shared" si="12"/>
        <v>0</v>
      </c>
      <c r="N87" s="487" t="b">
        <f t="shared" si="13"/>
        <v>0</v>
      </c>
      <c r="O87" s="487" t="s">
        <v>764</v>
      </c>
      <c r="P87" s="487"/>
      <c r="Q87" s="487"/>
      <c r="R87" s="487" t="str">
        <f t="shared" si="14"/>
        <v/>
      </c>
    </row>
    <row r="88" spans="2:18" hidden="1">
      <c r="B88" s="485" t="s">
        <v>875</v>
      </c>
      <c r="C88" s="485" t="s">
        <v>935</v>
      </c>
      <c r="D88" s="486" t="s">
        <v>939</v>
      </c>
      <c r="E88" s="485" t="s">
        <v>938</v>
      </c>
      <c r="F88" s="485" t="s">
        <v>1244</v>
      </c>
      <c r="G88" s="485" t="s">
        <v>873</v>
      </c>
      <c r="H88" s="485" t="s">
        <v>1424</v>
      </c>
      <c r="I88" s="485" t="s">
        <v>1245</v>
      </c>
      <c r="J88" s="487" t="b">
        <f t="shared" si="11"/>
        <v>1</v>
      </c>
      <c r="K88" s="487" t="b">
        <f t="shared" si="10"/>
        <v>1</v>
      </c>
      <c r="L88" s="487" t="b">
        <f>IF(D88="n/a","n/a",ISNUMBER(MATCH(D88,'Measure-Level Adjustments Tab'!D:D,0)))</f>
        <v>0</v>
      </c>
      <c r="M88" s="487" t="b">
        <f t="shared" si="12"/>
        <v>0</v>
      </c>
      <c r="N88" s="487" t="b">
        <f t="shared" si="13"/>
        <v>0</v>
      </c>
      <c r="O88" s="487" t="s">
        <v>764</v>
      </c>
      <c r="P88" s="487"/>
      <c r="Q88" s="487"/>
      <c r="R88" s="487" t="str">
        <f t="shared" si="14"/>
        <v/>
      </c>
    </row>
    <row r="89" spans="2:18" hidden="1">
      <c r="B89" s="485" t="s">
        <v>875</v>
      </c>
      <c r="C89" s="485" t="s">
        <v>935</v>
      </c>
      <c r="D89" s="486" t="s">
        <v>941</v>
      </c>
      <c r="E89" s="488" t="s">
        <v>940</v>
      </c>
      <c r="F89" s="485" t="s">
        <v>1246</v>
      </c>
      <c r="G89" s="485" t="s">
        <v>900</v>
      </c>
      <c r="H89" s="485" t="s">
        <v>1247</v>
      </c>
      <c r="I89" s="485" t="s">
        <v>872</v>
      </c>
      <c r="J89" s="487" t="b">
        <f t="shared" si="11"/>
        <v>0</v>
      </c>
      <c r="K89" s="487" t="b">
        <f t="shared" si="10"/>
        <v>1</v>
      </c>
      <c r="L89" s="487" t="b">
        <f>IF(D89="n/a","n/a",ISNUMBER(MATCH(D89,'Measure-Level Adjustments Tab'!D:D,0)))</f>
        <v>0</v>
      </c>
      <c r="M89" s="487" t="b">
        <f t="shared" si="12"/>
        <v>0</v>
      </c>
      <c r="N89" s="487" t="b">
        <f t="shared" si="13"/>
        <v>0</v>
      </c>
      <c r="O89" s="487" t="s">
        <v>764</v>
      </c>
      <c r="P89" s="487"/>
      <c r="Q89" s="487"/>
      <c r="R89" s="487" t="str">
        <f t="shared" si="14"/>
        <v/>
      </c>
    </row>
    <row r="90" spans="2:18" hidden="1">
      <c r="B90" s="485" t="s">
        <v>875</v>
      </c>
      <c r="C90" s="485" t="s">
        <v>935</v>
      </c>
      <c r="D90" s="486" t="s">
        <v>941</v>
      </c>
      <c r="E90" s="488" t="s">
        <v>940</v>
      </c>
      <c r="F90" s="485" t="s">
        <v>1246</v>
      </c>
      <c r="G90" s="485" t="s">
        <v>1248</v>
      </c>
      <c r="H90" s="485" t="s">
        <v>1425</v>
      </c>
      <c r="I90" s="485" t="s">
        <v>1249</v>
      </c>
      <c r="J90" s="487" t="b">
        <f t="shared" si="11"/>
        <v>1</v>
      </c>
      <c r="K90" s="487" t="b">
        <f t="shared" si="10"/>
        <v>1</v>
      </c>
      <c r="L90" s="487" t="b">
        <f>IF(D90="n/a","n/a",ISNUMBER(MATCH(D90,'Measure-Level Adjustments Tab'!D:D,0)))</f>
        <v>0</v>
      </c>
      <c r="M90" s="487" t="b">
        <f t="shared" si="12"/>
        <v>0</v>
      </c>
      <c r="N90" s="487" t="b">
        <f t="shared" si="13"/>
        <v>0</v>
      </c>
      <c r="O90" s="487" t="s">
        <v>764</v>
      </c>
      <c r="P90" s="487"/>
      <c r="Q90" s="487"/>
      <c r="R90" s="487" t="str">
        <f t="shared" si="14"/>
        <v/>
      </c>
    </row>
    <row r="91" spans="2:18" hidden="1">
      <c r="B91" s="485" t="s">
        <v>875</v>
      </c>
      <c r="C91" s="485" t="s">
        <v>935</v>
      </c>
      <c r="D91" s="486" t="s">
        <v>1250</v>
      </c>
      <c r="E91" s="485" t="s">
        <v>1251</v>
      </c>
      <c r="F91" s="485" t="s">
        <v>1252</v>
      </c>
      <c r="G91" s="485" t="s">
        <v>873</v>
      </c>
      <c r="H91" s="485" t="s">
        <v>1253</v>
      </c>
      <c r="I91" s="485" t="s">
        <v>872</v>
      </c>
      <c r="J91" s="487" t="b">
        <f t="shared" si="11"/>
        <v>0</v>
      </c>
      <c r="K91" s="487" t="b">
        <f t="shared" si="10"/>
        <v>0</v>
      </c>
      <c r="L91" s="487" t="b">
        <f>IF(D91="n/a","n/a",ISNUMBER(MATCH(D91,'Measure-Level Adjustments Tab'!D:D,0)))</f>
        <v>0</v>
      </c>
      <c r="M91" s="487" t="b">
        <f t="shared" si="12"/>
        <v>0</v>
      </c>
      <c r="N91" s="487" t="b">
        <f t="shared" si="13"/>
        <v>0</v>
      </c>
      <c r="O91" s="487" t="s">
        <v>764</v>
      </c>
      <c r="P91" s="487"/>
      <c r="Q91" s="487"/>
      <c r="R91" s="487" t="str">
        <f t="shared" si="14"/>
        <v/>
      </c>
    </row>
    <row r="92" spans="2:18" hidden="1">
      <c r="B92" s="485" t="s">
        <v>875</v>
      </c>
      <c r="C92" s="485" t="s">
        <v>935</v>
      </c>
      <c r="D92" s="486" t="s">
        <v>944</v>
      </c>
      <c r="E92" s="488" t="s">
        <v>943</v>
      </c>
      <c r="F92" s="485" t="s">
        <v>1254</v>
      </c>
      <c r="G92" s="485" t="s">
        <v>900</v>
      </c>
      <c r="H92" s="488" t="s">
        <v>1255</v>
      </c>
      <c r="I92" s="485" t="s">
        <v>872</v>
      </c>
      <c r="J92" s="487" t="b">
        <f t="shared" si="11"/>
        <v>0</v>
      </c>
      <c r="K92" s="487" t="b">
        <f t="shared" si="10"/>
        <v>0</v>
      </c>
      <c r="L92" s="487" t="b">
        <f>IF(D92="n/a","n/a",ISNUMBER(MATCH(D92,'Measure-Level Adjustments Tab'!D:D,0)))</f>
        <v>0</v>
      </c>
      <c r="M92" s="487" t="b">
        <f t="shared" si="12"/>
        <v>0</v>
      </c>
      <c r="N92" s="487" t="b">
        <f t="shared" si="13"/>
        <v>0</v>
      </c>
      <c r="O92" s="487" t="s">
        <v>764</v>
      </c>
      <c r="P92" s="487"/>
      <c r="Q92" s="487"/>
      <c r="R92" s="487" t="str">
        <f t="shared" si="14"/>
        <v/>
      </c>
    </row>
    <row r="93" spans="2:18" hidden="1">
      <c r="B93" s="485" t="s">
        <v>875</v>
      </c>
      <c r="C93" s="485" t="s">
        <v>935</v>
      </c>
      <c r="D93" s="486" t="s">
        <v>1256</v>
      </c>
      <c r="E93" s="485" t="s">
        <v>1257</v>
      </c>
      <c r="F93" s="485" t="s">
        <v>1258</v>
      </c>
      <c r="G93" s="485" t="s">
        <v>873</v>
      </c>
      <c r="H93" s="485" t="s">
        <v>945</v>
      </c>
      <c r="I93" s="485" t="s">
        <v>872</v>
      </c>
      <c r="J93" s="487" t="b">
        <f t="shared" si="11"/>
        <v>0</v>
      </c>
      <c r="K93" s="487" t="b">
        <f t="shared" si="10"/>
        <v>0</v>
      </c>
      <c r="L93" s="487" t="b">
        <f>IF(D93="n/a","n/a",ISNUMBER(MATCH(D93,'Measure-Level Adjustments Tab'!D:D,0)))</f>
        <v>0</v>
      </c>
      <c r="M93" s="487" t="b">
        <f t="shared" si="12"/>
        <v>0</v>
      </c>
      <c r="N93" s="487" t="b">
        <f t="shared" si="13"/>
        <v>0</v>
      </c>
      <c r="O93" s="487" t="s">
        <v>764</v>
      </c>
      <c r="P93" s="487"/>
      <c r="Q93" s="487"/>
      <c r="R93" s="487" t="str">
        <f t="shared" si="14"/>
        <v/>
      </c>
    </row>
    <row r="94" spans="2:18" hidden="1">
      <c r="B94" s="485" t="s">
        <v>875</v>
      </c>
      <c r="C94" s="485" t="s">
        <v>935</v>
      </c>
      <c r="D94" s="486" t="s">
        <v>947</v>
      </c>
      <c r="E94" s="485" t="s">
        <v>946</v>
      </c>
      <c r="F94" s="485" t="s">
        <v>1259</v>
      </c>
      <c r="G94" s="485" t="s">
        <v>900</v>
      </c>
      <c r="H94" s="485" t="s">
        <v>1260</v>
      </c>
      <c r="I94" s="485" t="s">
        <v>904</v>
      </c>
      <c r="J94" s="487" t="b">
        <f t="shared" si="11"/>
        <v>1</v>
      </c>
      <c r="K94" s="487" t="b">
        <f t="shared" si="10"/>
        <v>1</v>
      </c>
      <c r="L94" s="487" t="b">
        <f>IF(D94="n/a","n/a",ISNUMBER(MATCH(D94,'Measure-Level Adjustments Tab'!D:D,0)))</f>
        <v>0</v>
      </c>
      <c r="M94" s="487" t="b">
        <f t="shared" si="12"/>
        <v>0</v>
      </c>
      <c r="N94" s="487" t="b">
        <f t="shared" si="13"/>
        <v>0</v>
      </c>
      <c r="O94" s="487" t="s">
        <v>764</v>
      </c>
      <c r="P94" s="487"/>
      <c r="Q94" s="487"/>
      <c r="R94" s="487" t="str">
        <f t="shared" si="14"/>
        <v/>
      </c>
    </row>
    <row r="95" spans="2:18" hidden="1">
      <c r="B95" s="485" t="s">
        <v>875</v>
      </c>
      <c r="C95" s="485" t="s">
        <v>935</v>
      </c>
      <c r="D95" s="486" t="s">
        <v>947</v>
      </c>
      <c r="E95" s="485" t="s">
        <v>946</v>
      </c>
      <c r="F95" s="485" t="s">
        <v>1259</v>
      </c>
      <c r="G95" s="485" t="s">
        <v>1248</v>
      </c>
      <c r="H95" s="485" t="s">
        <v>1261</v>
      </c>
      <c r="I95" s="485" t="s">
        <v>872</v>
      </c>
      <c r="J95" s="487" t="b">
        <f>I95&lt;&gt;"N/A"</f>
        <v>0</v>
      </c>
      <c r="K95" s="487" t="b">
        <f t="shared" si="10"/>
        <v>1</v>
      </c>
      <c r="L95" s="487" t="b">
        <f>IF(D95="n/a","n/a",ISNUMBER(MATCH(D95,'Measure-Level Adjustments Tab'!D:D,0)))</f>
        <v>0</v>
      </c>
      <c r="M95" s="487" t="b">
        <f t="shared" si="12"/>
        <v>0</v>
      </c>
      <c r="N95" s="487" t="b">
        <f t="shared" si="13"/>
        <v>0</v>
      </c>
      <c r="O95" s="487" t="s">
        <v>764</v>
      </c>
      <c r="P95" s="487"/>
      <c r="Q95" s="487"/>
      <c r="R95" s="487" t="str">
        <f t="shared" si="14"/>
        <v/>
      </c>
    </row>
    <row r="96" spans="2:18" hidden="1">
      <c r="B96" s="485" t="s">
        <v>875</v>
      </c>
      <c r="C96" s="485" t="s">
        <v>935</v>
      </c>
      <c r="D96" s="486" t="s">
        <v>949</v>
      </c>
      <c r="E96" s="488" t="s">
        <v>948</v>
      </c>
      <c r="F96" s="485" t="s">
        <v>872</v>
      </c>
      <c r="G96" s="485" t="s">
        <v>1240</v>
      </c>
      <c r="H96" s="485" t="s">
        <v>1241</v>
      </c>
      <c r="I96" s="485" t="s">
        <v>872</v>
      </c>
      <c r="J96" s="487" t="b">
        <f t="shared" si="11"/>
        <v>0</v>
      </c>
      <c r="K96" s="487" t="b">
        <f t="shared" si="10"/>
        <v>0</v>
      </c>
      <c r="L96" s="487" t="b">
        <f>IF(D96="n/a","n/a",ISNUMBER(MATCH(D96,'Measure-Level Adjustments Tab'!D:D,0)))</f>
        <v>0</v>
      </c>
      <c r="M96" s="487" t="b">
        <f t="shared" si="12"/>
        <v>0</v>
      </c>
      <c r="N96" s="487" t="b">
        <f t="shared" si="13"/>
        <v>0</v>
      </c>
      <c r="O96" s="487" t="s">
        <v>764</v>
      </c>
      <c r="P96" s="487"/>
      <c r="Q96" s="487"/>
      <c r="R96" s="487" t="str">
        <f t="shared" si="14"/>
        <v/>
      </c>
    </row>
    <row r="97" spans="2:18" hidden="1">
      <c r="B97" s="485" t="s">
        <v>875</v>
      </c>
      <c r="C97" s="485" t="s">
        <v>950</v>
      </c>
      <c r="D97" s="486" t="s">
        <v>952</v>
      </c>
      <c r="E97" s="485" t="s">
        <v>951</v>
      </c>
      <c r="F97" s="485" t="s">
        <v>1262</v>
      </c>
      <c r="G97" s="485" t="s">
        <v>873</v>
      </c>
      <c r="H97" s="485" t="s">
        <v>1263</v>
      </c>
      <c r="I97" s="485" t="s">
        <v>872</v>
      </c>
      <c r="J97" s="487" t="b">
        <f t="shared" si="11"/>
        <v>0</v>
      </c>
      <c r="K97" s="487" t="b">
        <f t="shared" si="10"/>
        <v>0</v>
      </c>
      <c r="L97" s="487" t="b">
        <f>IF(D97="n/a","n/a",ISNUMBER(MATCH(D97,'Measure-Level Adjustments Tab'!D:D,0)))</f>
        <v>0</v>
      </c>
      <c r="M97" s="487" t="b">
        <f t="shared" si="12"/>
        <v>0</v>
      </c>
      <c r="N97" s="487" t="b">
        <f t="shared" si="13"/>
        <v>0</v>
      </c>
      <c r="O97" s="487" t="s">
        <v>764</v>
      </c>
      <c r="P97" s="487"/>
      <c r="Q97" s="487"/>
      <c r="R97" s="487" t="str">
        <f t="shared" si="14"/>
        <v/>
      </c>
    </row>
    <row r="98" spans="2:18" hidden="1">
      <c r="B98" s="485" t="s">
        <v>875</v>
      </c>
      <c r="C98" s="485" t="s">
        <v>950</v>
      </c>
      <c r="D98" s="486" t="s">
        <v>1264</v>
      </c>
      <c r="E98" s="485" t="s">
        <v>1265</v>
      </c>
      <c r="F98" s="485" t="s">
        <v>1266</v>
      </c>
      <c r="G98" s="485" t="s">
        <v>873</v>
      </c>
      <c r="H98" s="485" t="s">
        <v>1267</v>
      </c>
      <c r="I98" s="485" t="s">
        <v>872</v>
      </c>
      <c r="J98" s="487" t="b">
        <f t="shared" si="11"/>
        <v>0</v>
      </c>
      <c r="K98" s="487" t="b">
        <f t="shared" si="10"/>
        <v>0</v>
      </c>
      <c r="L98" s="487" t="b">
        <f>IF(D98="n/a","n/a",ISNUMBER(MATCH(D98,'Measure-Level Adjustments Tab'!D:D,0)))</f>
        <v>0</v>
      </c>
      <c r="M98" s="487" t="b">
        <f t="shared" si="12"/>
        <v>0</v>
      </c>
      <c r="N98" s="487" t="b">
        <f t="shared" si="13"/>
        <v>0</v>
      </c>
      <c r="O98" s="487" t="s">
        <v>764</v>
      </c>
      <c r="P98" s="487"/>
      <c r="Q98" s="487"/>
      <c r="R98" s="487" t="str">
        <f t="shared" si="14"/>
        <v/>
      </c>
    </row>
    <row r="99" spans="2:18" hidden="1">
      <c r="B99" s="485" t="s">
        <v>875</v>
      </c>
      <c r="C99" s="485" t="s">
        <v>950</v>
      </c>
      <c r="D99" s="486" t="s">
        <v>1264</v>
      </c>
      <c r="E99" s="485" t="s">
        <v>1265</v>
      </c>
      <c r="F99" s="485" t="s">
        <v>1266</v>
      </c>
      <c r="G99" s="485" t="s">
        <v>873</v>
      </c>
      <c r="H99" s="485" t="s">
        <v>1009</v>
      </c>
      <c r="I99" s="485" t="s">
        <v>872</v>
      </c>
      <c r="J99" s="487" t="b">
        <f t="shared" si="11"/>
        <v>0</v>
      </c>
      <c r="K99" s="487" t="b">
        <f t="shared" si="10"/>
        <v>0</v>
      </c>
      <c r="L99" s="487" t="b">
        <f>IF(D99="n/a","n/a",ISNUMBER(MATCH(D99,'Measure-Level Adjustments Tab'!D:D,0)))</f>
        <v>0</v>
      </c>
      <c r="M99" s="487" t="b">
        <f t="shared" si="12"/>
        <v>0</v>
      </c>
      <c r="N99" s="487" t="b">
        <f t="shared" si="13"/>
        <v>0</v>
      </c>
      <c r="O99" s="487" t="s">
        <v>764</v>
      </c>
      <c r="P99" s="487"/>
      <c r="Q99" s="487"/>
      <c r="R99" s="487" t="str">
        <f t="shared" si="14"/>
        <v/>
      </c>
    </row>
    <row r="100" spans="2:18" hidden="1">
      <c r="B100" s="485" t="s">
        <v>875</v>
      </c>
      <c r="C100" s="485" t="s">
        <v>950</v>
      </c>
      <c r="D100" s="486" t="s">
        <v>954</v>
      </c>
      <c r="E100" s="485" t="s">
        <v>953</v>
      </c>
      <c r="F100" s="485" t="s">
        <v>1268</v>
      </c>
      <c r="G100" s="485" t="s">
        <v>873</v>
      </c>
      <c r="H100" s="485" t="s">
        <v>1269</v>
      </c>
      <c r="I100" s="485" t="s">
        <v>872</v>
      </c>
      <c r="J100" s="487" t="b">
        <f t="shared" si="11"/>
        <v>0</v>
      </c>
      <c r="K100" s="487" t="b">
        <f t="shared" si="10"/>
        <v>0</v>
      </c>
      <c r="L100" s="487" t="b">
        <f>IF(D100="n/a","n/a",ISNUMBER(MATCH(D100,'Measure-Level Adjustments Tab'!D:D,0)))</f>
        <v>0</v>
      </c>
      <c r="M100" s="487" t="b">
        <f t="shared" si="12"/>
        <v>0</v>
      </c>
      <c r="N100" s="487" t="b">
        <f t="shared" si="13"/>
        <v>0</v>
      </c>
      <c r="O100" s="487" t="s">
        <v>764</v>
      </c>
      <c r="P100" s="487"/>
      <c r="Q100" s="487"/>
      <c r="R100" s="487" t="str">
        <f t="shared" si="14"/>
        <v/>
      </c>
    </row>
    <row r="101" spans="2:18" hidden="1">
      <c r="B101" s="485" t="s">
        <v>875</v>
      </c>
      <c r="C101" s="485" t="s">
        <v>950</v>
      </c>
      <c r="D101" s="486" t="s">
        <v>956</v>
      </c>
      <c r="E101" s="485" t="s">
        <v>1270</v>
      </c>
      <c r="F101" s="485" t="s">
        <v>1271</v>
      </c>
      <c r="G101" s="485" t="s">
        <v>873</v>
      </c>
      <c r="H101" s="485" t="s">
        <v>1272</v>
      </c>
      <c r="I101" s="485" t="s">
        <v>1143</v>
      </c>
      <c r="J101" s="487" t="b">
        <f t="shared" si="11"/>
        <v>1</v>
      </c>
      <c r="K101" s="487" t="b">
        <f t="shared" si="10"/>
        <v>1</v>
      </c>
      <c r="L101" s="487" t="b">
        <f>IF(D101="n/a","n/a",ISNUMBER(MATCH(D101,'Measure-Level Adjustments Tab'!D:D,0)))</f>
        <v>0</v>
      </c>
      <c r="M101" s="487" t="b">
        <f t="shared" si="12"/>
        <v>0</v>
      </c>
      <c r="N101" s="487" t="b">
        <f t="shared" si="13"/>
        <v>0</v>
      </c>
      <c r="O101" s="487" t="s">
        <v>764</v>
      </c>
      <c r="P101" s="487"/>
      <c r="Q101" s="487"/>
      <c r="R101" s="487" t="str">
        <f t="shared" si="14"/>
        <v/>
      </c>
    </row>
    <row r="102" spans="2:18" hidden="1">
      <c r="B102" s="485" t="s">
        <v>875</v>
      </c>
      <c r="C102" s="485" t="s">
        <v>950</v>
      </c>
      <c r="D102" s="486" t="s">
        <v>956</v>
      </c>
      <c r="E102" s="485" t="s">
        <v>1270</v>
      </c>
      <c r="F102" s="485" t="s">
        <v>1271</v>
      </c>
      <c r="G102" s="485" t="s">
        <v>873</v>
      </c>
      <c r="H102" s="485" t="s">
        <v>1273</v>
      </c>
      <c r="I102" s="485" t="s">
        <v>1143</v>
      </c>
      <c r="J102" s="487" t="b">
        <f t="shared" si="11"/>
        <v>1</v>
      </c>
      <c r="K102" s="487" t="b">
        <f t="shared" si="10"/>
        <v>1</v>
      </c>
      <c r="L102" s="487" t="b">
        <f>IF(D102="n/a","n/a",ISNUMBER(MATCH(D102,'Measure-Level Adjustments Tab'!D:D,0)))</f>
        <v>0</v>
      </c>
      <c r="M102" s="487" t="b">
        <f t="shared" si="12"/>
        <v>0</v>
      </c>
      <c r="N102" s="487" t="b">
        <f t="shared" si="13"/>
        <v>0</v>
      </c>
      <c r="O102" s="487" t="s">
        <v>764</v>
      </c>
      <c r="P102" s="487"/>
      <c r="Q102" s="487"/>
      <c r="R102" s="487" t="str">
        <f t="shared" si="14"/>
        <v/>
      </c>
    </row>
    <row r="103" spans="2:18" hidden="1">
      <c r="B103" s="485" t="s">
        <v>875</v>
      </c>
      <c r="C103" s="485" t="s">
        <v>957</v>
      </c>
      <c r="D103" s="486" t="s">
        <v>959</v>
      </c>
      <c r="E103" s="485" t="s">
        <v>958</v>
      </c>
      <c r="F103" s="485" t="s">
        <v>1274</v>
      </c>
      <c r="G103" s="485" t="s">
        <v>873</v>
      </c>
      <c r="H103" s="485" t="s">
        <v>1275</v>
      </c>
      <c r="I103" s="485" t="s">
        <v>872</v>
      </c>
      <c r="J103" s="487" t="b">
        <f t="shared" si="11"/>
        <v>0</v>
      </c>
      <c r="K103" s="487" t="b">
        <f t="shared" ref="K103:K134" si="15">COUNTIFS(D:D,D103,J:J,TRUE)&gt;0</f>
        <v>0</v>
      </c>
      <c r="L103" s="487" t="b">
        <f>IF(D103="n/a","n/a",ISNUMBER(MATCH(D103,'Measure-Level Adjustments Tab'!D:D,0)))</f>
        <v>0</v>
      </c>
      <c r="M103" s="487" t="b">
        <f t="shared" si="12"/>
        <v>0</v>
      </c>
      <c r="N103" s="487" t="b">
        <f t="shared" si="13"/>
        <v>0</v>
      </c>
      <c r="O103" s="487" t="s">
        <v>764</v>
      </c>
      <c r="P103" s="487"/>
      <c r="Q103" s="487"/>
      <c r="R103" s="487" t="str">
        <f t="shared" si="14"/>
        <v/>
      </c>
    </row>
    <row r="104" spans="2:18" hidden="1">
      <c r="B104" s="485" t="s">
        <v>875</v>
      </c>
      <c r="C104" s="485" t="s">
        <v>957</v>
      </c>
      <c r="D104" s="486" t="s">
        <v>959</v>
      </c>
      <c r="E104" s="485" t="s">
        <v>958</v>
      </c>
      <c r="F104" s="485" t="s">
        <v>1274</v>
      </c>
      <c r="G104" s="485" t="s">
        <v>873</v>
      </c>
      <c r="H104" s="485" t="s">
        <v>1276</v>
      </c>
      <c r="I104" s="485" t="s">
        <v>872</v>
      </c>
      <c r="J104" s="487" t="b">
        <f t="shared" si="11"/>
        <v>0</v>
      </c>
      <c r="K104" s="487" t="b">
        <f t="shared" si="15"/>
        <v>0</v>
      </c>
      <c r="L104" s="487" t="b">
        <f>IF(D104="n/a","n/a",ISNUMBER(MATCH(D104,'Measure-Level Adjustments Tab'!D:D,0)))</f>
        <v>0</v>
      </c>
      <c r="M104" s="487" t="b">
        <f t="shared" si="12"/>
        <v>0</v>
      </c>
      <c r="N104" s="487" t="b">
        <f t="shared" si="13"/>
        <v>0</v>
      </c>
      <c r="O104" s="487" t="s">
        <v>764</v>
      </c>
      <c r="P104" s="487"/>
      <c r="Q104" s="487"/>
      <c r="R104" s="487" t="str">
        <f t="shared" si="14"/>
        <v/>
      </c>
    </row>
    <row r="105" spans="2:18" hidden="1">
      <c r="B105" s="485" t="s">
        <v>875</v>
      </c>
      <c r="C105" s="485" t="s">
        <v>957</v>
      </c>
      <c r="D105" s="486" t="s">
        <v>959</v>
      </c>
      <c r="E105" s="485" t="s">
        <v>958</v>
      </c>
      <c r="F105" s="485" t="s">
        <v>1274</v>
      </c>
      <c r="G105" s="485" t="s">
        <v>873</v>
      </c>
      <c r="H105" s="485" t="s">
        <v>1277</v>
      </c>
      <c r="I105" s="485" t="s">
        <v>872</v>
      </c>
      <c r="J105" s="487" t="b">
        <f t="shared" si="11"/>
        <v>0</v>
      </c>
      <c r="K105" s="487" t="b">
        <f t="shared" si="15"/>
        <v>0</v>
      </c>
      <c r="L105" s="487" t="b">
        <f>IF(D105="n/a","n/a",ISNUMBER(MATCH(D105,'Measure-Level Adjustments Tab'!D:D,0)))</f>
        <v>0</v>
      </c>
      <c r="M105" s="487" t="b">
        <f t="shared" si="12"/>
        <v>0</v>
      </c>
      <c r="N105" s="487" t="b">
        <f t="shared" si="13"/>
        <v>0</v>
      </c>
      <c r="O105" s="487" t="s">
        <v>764</v>
      </c>
      <c r="P105" s="487"/>
      <c r="Q105" s="487"/>
      <c r="R105" s="487" t="str">
        <f t="shared" si="14"/>
        <v/>
      </c>
    </row>
    <row r="106" spans="2:18" hidden="1">
      <c r="B106" s="485" t="s">
        <v>875</v>
      </c>
      <c r="C106" s="485" t="s">
        <v>957</v>
      </c>
      <c r="D106" s="486" t="s">
        <v>961</v>
      </c>
      <c r="E106" s="488" t="s">
        <v>960</v>
      </c>
      <c r="F106" s="485" t="s">
        <v>1278</v>
      </c>
      <c r="G106" s="485" t="s">
        <v>873</v>
      </c>
      <c r="H106" s="488" t="s">
        <v>1279</v>
      </c>
      <c r="I106" s="485" t="s">
        <v>872</v>
      </c>
      <c r="J106" s="487" t="b">
        <f t="shared" si="11"/>
        <v>0</v>
      </c>
      <c r="K106" s="487" t="b">
        <f t="shared" si="15"/>
        <v>0</v>
      </c>
      <c r="L106" s="487" t="b">
        <f>IF(D106="n/a","n/a",ISNUMBER(MATCH(D106,'Measure-Level Adjustments Tab'!D:D,0)))</f>
        <v>0</v>
      </c>
      <c r="M106" s="487" t="b">
        <f t="shared" si="12"/>
        <v>0</v>
      </c>
      <c r="N106" s="487" t="b">
        <f t="shared" si="13"/>
        <v>0</v>
      </c>
      <c r="O106" s="487" t="s">
        <v>764</v>
      </c>
      <c r="P106" s="487"/>
      <c r="Q106" s="487"/>
      <c r="R106" s="487" t="str">
        <f t="shared" si="14"/>
        <v/>
      </c>
    </row>
    <row r="107" spans="2:18" hidden="1">
      <c r="B107" s="485" t="s">
        <v>875</v>
      </c>
      <c r="C107" s="485" t="s">
        <v>957</v>
      </c>
      <c r="D107" s="486" t="s">
        <v>963</v>
      </c>
      <c r="E107" s="488" t="s">
        <v>962</v>
      </c>
      <c r="F107" s="485" t="s">
        <v>1280</v>
      </c>
      <c r="G107" s="485" t="s">
        <v>873</v>
      </c>
      <c r="H107" s="488" t="s">
        <v>1281</v>
      </c>
      <c r="I107" s="485" t="s">
        <v>872</v>
      </c>
      <c r="J107" s="487" t="b">
        <f t="shared" si="11"/>
        <v>0</v>
      </c>
      <c r="K107" s="487" t="b">
        <f t="shared" si="15"/>
        <v>0</v>
      </c>
      <c r="L107" s="487" t="b">
        <f>IF(D107="n/a","n/a",ISNUMBER(MATCH(D107,'Measure-Level Adjustments Tab'!D:D,0)))</f>
        <v>0</v>
      </c>
      <c r="M107" s="487" t="b">
        <f t="shared" si="12"/>
        <v>0</v>
      </c>
      <c r="N107" s="487" t="b">
        <f t="shared" si="13"/>
        <v>0</v>
      </c>
      <c r="O107" s="487" t="s">
        <v>764</v>
      </c>
      <c r="P107" s="487"/>
      <c r="Q107" s="487"/>
      <c r="R107" s="487" t="str">
        <f t="shared" si="14"/>
        <v/>
      </c>
    </row>
    <row r="108" spans="2:18" hidden="1">
      <c r="B108" s="485" t="s">
        <v>875</v>
      </c>
      <c r="C108" s="485" t="s">
        <v>957</v>
      </c>
      <c r="D108" s="486" t="s">
        <v>1282</v>
      </c>
      <c r="E108" s="488" t="s">
        <v>1283</v>
      </c>
      <c r="F108" s="485" t="s">
        <v>1284</v>
      </c>
      <c r="G108" s="485" t="s">
        <v>874</v>
      </c>
      <c r="H108" s="485" t="s">
        <v>955</v>
      </c>
      <c r="I108" s="485" t="s">
        <v>872</v>
      </c>
      <c r="J108" s="487" t="b">
        <f t="shared" si="11"/>
        <v>0</v>
      </c>
      <c r="K108" s="487" t="b">
        <f t="shared" si="15"/>
        <v>0</v>
      </c>
      <c r="L108" s="487" t="b">
        <f>IF(D108="n/a","n/a",ISNUMBER(MATCH(D108,'Measure-Level Adjustments Tab'!D:D,0)))</f>
        <v>0</v>
      </c>
      <c r="M108" s="487" t="b">
        <f t="shared" si="12"/>
        <v>0</v>
      </c>
      <c r="N108" s="487" t="b">
        <f t="shared" si="13"/>
        <v>0</v>
      </c>
      <c r="O108" s="487" t="s">
        <v>764</v>
      </c>
      <c r="P108" s="487"/>
      <c r="Q108" s="487"/>
      <c r="R108" s="487" t="str">
        <f t="shared" si="14"/>
        <v/>
      </c>
    </row>
    <row r="109" spans="2:18" hidden="1">
      <c r="B109" s="485" t="s">
        <v>875</v>
      </c>
      <c r="C109" s="485" t="s">
        <v>957</v>
      </c>
      <c r="D109" s="486" t="s">
        <v>1285</v>
      </c>
      <c r="E109" s="485" t="s">
        <v>1286</v>
      </c>
      <c r="F109" s="485" t="s">
        <v>1287</v>
      </c>
      <c r="G109" s="485" t="s">
        <v>874</v>
      </c>
      <c r="H109" s="485" t="s">
        <v>955</v>
      </c>
      <c r="I109" s="485" t="s">
        <v>872</v>
      </c>
      <c r="J109" s="487" t="b">
        <f t="shared" si="11"/>
        <v>0</v>
      </c>
      <c r="K109" s="487" t="b">
        <f t="shared" si="15"/>
        <v>0</v>
      </c>
      <c r="L109" s="487" t="b">
        <f>IF(D109="n/a","n/a",ISNUMBER(MATCH(D109,'Measure-Level Adjustments Tab'!D:D,0)))</f>
        <v>0</v>
      </c>
      <c r="M109" s="487" t="b">
        <f t="shared" si="12"/>
        <v>0</v>
      </c>
      <c r="N109" s="487" t="b">
        <f t="shared" si="13"/>
        <v>0</v>
      </c>
      <c r="O109" s="487" t="s">
        <v>764</v>
      </c>
      <c r="P109" s="487"/>
      <c r="Q109" s="487"/>
      <c r="R109" s="487" t="str">
        <f t="shared" si="14"/>
        <v/>
      </c>
    </row>
    <row r="110" spans="2:18" hidden="1">
      <c r="B110" s="485" t="s">
        <v>875</v>
      </c>
      <c r="C110" s="485" t="s">
        <v>964</v>
      </c>
      <c r="D110" s="486" t="s">
        <v>966</v>
      </c>
      <c r="E110" s="485" t="s">
        <v>965</v>
      </c>
      <c r="F110" s="485" t="s">
        <v>1288</v>
      </c>
      <c r="G110" s="485" t="s">
        <v>873</v>
      </c>
      <c r="H110" s="488" t="s">
        <v>1153</v>
      </c>
      <c r="I110" s="485" t="s">
        <v>872</v>
      </c>
      <c r="J110" s="487" t="b">
        <f t="shared" si="11"/>
        <v>0</v>
      </c>
      <c r="K110" s="487" t="b">
        <f t="shared" si="15"/>
        <v>0</v>
      </c>
      <c r="L110" s="487" t="b">
        <f>IF(D110="n/a","n/a",ISNUMBER(MATCH(D110,'Measure-Level Adjustments Tab'!D:D,0)))</f>
        <v>0</v>
      </c>
      <c r="M110" s="487" t="b">
        <f t="shared" si="12"/>
        <v>0</v>
      </c>
      <c r="N110" s="487" t="b">
        <f t="shared" si="13"/>
        <v>0</v>
      </c>
      <c r="O110" s="487" t="s">
        <v>764</v>
      </c>
      <c r="P110" s="487"/>
      <c r="Q110" s="487"/>
      <c r="R110" s="487" t="str">
        <f t="shared" si="14"/>
        <v/>
      </c>
    </row>
    <row r="111" spans="2:18" hidden="1">
      <c r="B111" s="485" t="s">
        <v>875</v>
      </c>
      <c r="C111" s="485" t="s">
        <v>964</v>
      </c>
      <c r="D111" s="486" t="s">
        <v>1289</v>
      </c>
      <c r="E111" s="488" t="s">
        <v>1290</v>
      </c>
      <c r="F111" s="485" t="s">
        <v>1291</v>
      </c>
      <c r="G111" s="485" t="s">
        <v>873</v>
      </c>
      <c r="H111" s="488" t="s">
        <v>1292</v>
      </c>
      <c r="I111" s="485" t="s">
        <v>901</v>
      </c>
      <c r="J111" s="487" t="b">
        <f t="shared" si="11"/>
        <v>1</v>
      </c>
      <c r="K111" s="487" t="b">
        <f t="shared" si="15"/>
        <v>1</v>
      </c>
      <c r="L111" s="487" t="b">
        <f>IF(D111="n/a","n/a",ISNUMBER(MATCH(D111,'Measure-Level Adjustments Tab'!D:D,0)))</f>
        <v>0</v>
      </c>
      <c r="M111" s="487" t="b">
        <f t="shared" si="12"/>
        <v>0</v>
      </c>
      <c r="N111" s="487" t="b">
        <f t="shared" si="13"/>
        <v>0</v>
      </c>
      <c r="O111" s="487" t="s">
        <v>764</v>
      </c>
      <c r="P111" s="487"/>
      <c r="Q111" s="487"/>
      <c r="R111" s="487" t="str">
        <f t="shared" si="14"/>
        <v/>
      </c>
    </row>
    <row r="112" spans="2:18" hidden="1">
      <c r="B112" s="485" t="s">
        <v>875</v>
      </c>
      <c r="C112" s="485" t="s">
        <v>964</v>
      </c>
      <c r="D112" s="486" t="s">
        <v>1293</v>
      </c>
      <c r="E112" s="485" t="s">
        <v>1294</v>
      </c>
      <c r="F112" s="485" t="s">
        <v>1295</v>
      </c>
      <c r="G112" s="485" t="s">
        <v>873</v>
      </c>
      <c r="H112" s="485" t="s">
        <v>1296</v>
      </c>
      <c r="I112" s="485" t="s">
        <v>880</v>
      </c>
      <c r="J112" s="487" t="b">
        <f t="shared" si="11"/>
        <v>1</v>
      </c>
      <c r="K112" s="487" t="b">
        <f t="shared" si="15"/>
        <v>1</v>
      </c>
      <c r="L112" s="487" t="b">
        <f>IF(D112="n/a","n/a",ISNUMBER(MATCH(D112,'Measure-Level Adjustments Tab'!D:D,0)))</f>
        <v>0</v>
      </c>
      <c r="M112" s="487" t="b">
        <f t="shared" si="12"/>
        <v>0</v>
      </c>
      <c r="N112" s="487" t="b">
        <f t="shared" si="13"/>
        <v>0</v>
      </c>
      <c r="O112" s="487" t="s">
        <v>764</v>
      </c>
      <c r="P112" s="487"/>
      <c r="Q112" s="487"/>
      <c r="R112" s="487" t="str">
        <f t="shared" si="14"/>
        <v/>
      </c>
    </row>
    <row r="113" spans="2:18" hidden="1">
      <c r="B113" s="485" t="s">
        <v>875</v>
      </c>
      <c r="C113" s="485" t="s">
        <v>964</v>
      </c>
      <c r="D113" s="486" t="s">
        <v>968</v>
      </c>
      <c r="E113" s="485" t="s">
        <v>967</v>
      </c>
      <c r="F113" s="485" t="s">
        <v>1297</v>
      </c>
      <c r="G113" s="485" t="s">
        <v>873</v>
      </c>
      <c r="H113" s="485" t="s">
        <v>1298</v>
      </c>
      <c r="I113" s="485" t="s">
        <v>872</v>
      </c>
      <c r="J113" s="487" t="b">
        <f t="shared" si="11"/>
        <v>0</v>
      </c>
      <c r="K113" s="487" t="b">
        <f t="shared" si="15"/>
        <v>0</v>
      </c>
      <c r="L113" s="487" t="b">
        <f>IF(D113="n/a","n/a",ISNUMBER(MATCH(D113,'Measure-Level Adjustments Tab'!D:D,0)))</f>
        <v>0</v>
      </c>
      <c r="M113" s="487" t="b">
        <f t="shared" si="12"/>
        <v>0</v>
      </c>
      <c r="N113" s="487" t="b">
        <f t="shared" si="13"/>
        <v>0</v>
      </c>
      <c r="O113" s="487" t="s">
        <v>764</v>
      </c>
      <c r="P113" s="487"/>
      <c r="Q113" s="487"/>
      <c r="R113" s="487" t="str">
        <f t="shared" si="14"/>
        <v/>
      </c>
    </row>
    <row r="114" spans="2:18" hidden="1">
      <c r="B114" s="485" t="s">
        <v>875</v>
      </c>
      <c r="C114" s="485" t="s">
        <v>964</v>
      </c>
      <c r="D114" s="486" t="s">
        <v>1299</v>
      </c>
      <c r="E114" s="485" t="s">
        <v>1300</v>
      </c>
      <c r="F114" s="485" t="s">
        <v>1301</v>
      </c>
      <c r="G114" s="485" t="s">
        <v>874</v>
      </c>
      <c r="H114" s="485" t="s">
        <v>955</v>
      </c>
      <c r="I114" s="485" t="s">
        <v>872</v>
      </c>
      <c r="J114" s="487" t="b">
        <f t="shared" si="11"/>
        <v>0</v>
      </c>
      <c r="K114" s="487" t="b">
        <f t="shared" si="15"/>
        <v>0</v>
      </c>
      <c r="L114" s="487" t="b">
        <f>IF(D114="n/a","n/a",ISNUMBER(MATCH(D114,'Measure-Level Adjustments Tab'!D:D,0)))</f>
        <v>0</v>
      </c>
      <c r="M114" s="487" t="b">
        <f t="shared" si="12"/>
        <v>0</v>
      </c>
      <c r="N114" s="487" t="b">
        <f t="shared" si="13"/>
        <v>0</v>
      </c>
      <c r="O114" s="487" t="s">
        <v>764</v>
      </c>
      <c r="P114" s="487"/>
      <c r="Q114" s="487"/>
      <c r="R114" s="487" t="str">
        <f t="shared" si="14"/>
        <v/>
      </c>
    </row>
    <row r="115" spans="2:18" hidden="1">
      <c r="B115" s="485" t="s">
        <v>875</v>
      </c>
      <c r="C115" s="485" t="s">
        <v>964</v>
      </c>
      <c r="D115" s="486" t="s">
        <v>1302</v>
      </c>
      <c r="E115" s="485" t="s">
        <v>1303</v>
      </c>
      <c r="F115" s="485" t="s">
        <v>1304</v>
      </c>
      <c r="G115" s="485" t="s">
        <v>874</v>
      </c>
      <c r="H115" s="485" t="s">
        <v>955</v>
      </c>
      <c r="I115" s="485" t="s">
        <v>872</v>
      </c>
      <c r="J115" s="487" t="b">
        <f t="shared" si="11"/>
        <v>0</v>
      </c>
      <c r="K115" s="487" t="b">
        <f t="shared" si="15"/>
        <v>0</v>
      </c>
      <c r="L115" s="487" t="b">
        <f>IF(D115="n/a","n/a",ISNUMBER(MATCH(D115,'Measure-Level Adjustments Tab'!D:D,0)))</f>
        <v>0</v>
      </c>
      <c r="M115" s="487" t="b">
        <f t="shared" si="12"/>
        <v>0</v>
      </c>
      <c r="N115" s="487" t="b">
        <f t="shared" si="13"/>
        <v>0</v>
      </c>
      <c r="O115" s="487" t="s">
        <v>764</v>
      </c>
      <c r="P115" s="487"/>
      <c r="Q115" s="487"/>
      <c r="R115" s="487" t="str">
        <f t="shared" si="14"/>
        <v/>
      </c>
    </row>
    <row r="116" spans="2:18" hidden="1">
      <c r="B116" s="485" t="s">
        <v>875</v>
      </c>
      <c r="C116" s="485" t="s">
        <v>964</v>
      </c>
      <c r="D116" s="486" t="s">
        <v>1305</v>
      </c>
      <c r="E116" s="485" t="s">
        <v>1306</v>
      </c>
      <c r="F116" s="485" t="s">
        <v>1307</v>
      </c>
      <c r="G116" s="485" t="s">
        <v>874</v>
      </c>
      <c r="H116" s="485" t="s">
        <v>955</v>
      </c>
      <c r="I116" s="485" t="s">
        <v>872</v>
      </c>
      <c r="J116" s="487" t="b">
        <f t="shared" si="11"/>
        <v>0</v>
      </c>
      <c r="K116" s="487" t="b">
        <f t="shared" si="15"/>
        <v>0</v>
      </c>
      <c r="L116" s="487" t="b">
        <f>IF(D116="n/a","n/a",ISNUMBER(MATCH(D116,'Measure-Level Adjustments Tab'!D:D,0)))</f>
        <v>0</v>
      </c>
      <c r="M116" s="487" t="b">
        <f t="shared" si="12"/>
        <v>0</v>
      </c>
      <c r="N116" s="487" t="b">
        <f t="shared" si="13"/>
        <v>0</v>
      </c>
      <c r="O116" s="487" t="s">
        <v>764</v>
      </c>
      <c r="P116" s="487"/>
      <c r="Q116" s="487"/>
      <c r="R116" s="487" t="str">
        <f t="shared" si="14"/>
        <v/>
      </c>
    </row>
    <row r="117" spans="2:18" hidden="1">
      <c r="B117" s="485" t="s">
        <v>875</v>
      </c>
      <c r="C117" s="485" t="s">
        <v>964</v>
      </c>
      <c r="D117" s="486" t="s">
        <v>1308</v>
      </c>
      <c r="E117" s="485" t="s">
        <v>1309</v>
      </c>
      <c r="F117" s="485" t="s">
        <v>1310</v>
      </c>
      <c r="G117" s="485" t="s">
        <v>874</v>
      </c>
      <c r="H117" s="485" t="s">
        <v>955</v>
      </c>
      <c r="I117" s="485" t="s">
        <v>872</v>
      </c>
      <c r="J117" s="487" t="b">
        <f t="shared" si="11"/>
        <v>0</v>
      </c>
      <c r="K117" s="487" t="b">
        <f t="shared" si="15"/>
        <v>0</v>
      </c>
      <c r="L117" s="487" t="b">
        <f>IF(D117="n/a","n/a",ISNUMBER(MATCH(D117,'Measure-Level Adjustments Tab'!D:D,0)))</f>
        <v>0</v>
      </c>
      <c r="M117" s="487" t="b">
        <f t="shared" si="12"/>
        <v>0</v>
      </c>
      <c r="N117" s="487" t="b">
        <f t="shared" si="13"/>
        <v>0</v>
      </c>
      <c r="O117" s="487" t="s">
        <v>764</v>
      </c>
      <c r="P117" s="487"/>
      <c r="Q117" s="487"/>
      <c r="R117" s="487" t="str">
        <f t="shared" si="14"/>
        <v/>
      </c>
    </row>
    <row r="118" spans="2:18" hidden="1">
      <c r="B118" s="485" t="s">
        <v>875</v>
      </c>
      <c r="C118" s="485" t="s">
        <v>964</v>
      </c>
      <c r="D118" s="486" t="s">
        <v>1311</v>
      </c>
      <c r="E118" s="485" t="s">
        <v>1312</v>
      </c>
      <c r="F118" s="485" t="s">
        <v>1313</v>
      </c>
      <c r="G118" s="485" t="s">
        <v>874</v>
      </c>
      <c r="H118" s="485" t="s">
        <v>955</v>
      </c>
      <c r="I118" s="485" t="s">
        <v>872</v>
      </c>
      <c r="J118" s="487" t="b">
        <f t="shared" si="11"/>
        <v>0</v>
      </c>
      <c r="K118" s="487" t="b">
        <f t="shared" si="15"/>
        <v>0</v>
      </c>
      <c r="L118" s="487" t="b">
        <f>IF(D118="n/a","n/a",ISNUMBER(MATCH(D118,'Measure-Level Adjustments Tab'!D:D,0)))</f>
        <v>0</v>
      </c>
      <c r="M118" s="487" t="b">
        <f t="shared" si="12"/>
        <v>0</v>
      </c>
      <c r="N118" s="487" t="b">
        <f t="shared" si="13"/>
        <v>0</v>
      </c>
      <c r="O118" s="487" t="s">
        <v>764</v>
      </c>
      <c r="P118" s="487"/>
      <c r="Q118" s="487"/>
      <c r="R118" s="487" t="str">
        <f t="shared" si="14"/>
        <v/>
      </c>
    </row>
    <row r="119" spans="2:18" hidden="1">
      <c r="B119" s="485" t="s">
        <v>969</v>
      </c>
      <c r="C119" s="485" t="s">
        <v>970</v>
      </c>
      <c r="D119" s="486" t="s">
        <v>1314</v>
      </c>
      <c r="E119" s="485" t="s">
        <v>1315</v>
      </c>
      <c r="F119" s="485" t="s">
        <v>1316</v>
      </c>
      <c r="G119" s="485" t="s">
        <v>873</v>
      </c>
      <c r="H119" s="485" t="s">
        <v>1317</v>
      </c>
      <c r="I119" s="485" t="s">
        <v>872</v>
      </c>
      <c r="J119" s="487" t="b">
        <f t="shared" si="11"/>
        <v>0</v>
      </c>
      <c r="K119" s="487" t="b">
        <f t="shared" si="15"/>
        <v>0</v>
      </c>
      <c r="L119" s="487" t="b">
        <f>IF(D119="n/a","n/a",ISNUMBER(MATCH(D119,'Measure-Level Adjustments Tab'!D:D,0)))</f>
        <v>0</v>
      </c>
      <c r="M119" s="487" t="b">
        <f t="shared" si="12"/>
        <v>0</v>
      </c>
      <c r="N119" s="487" t="b">
        <f t="shared" si="13"/>
        <v>0</v>
      </c>
      <c r="O119" s="487" t="s">
        <v>764</v>
      </c>
      <c r="P119" s="487"/>
      <c r="Q119" s="487"/>
      <c r="R119" s="487" t="str">
        <f t="shared" si="14"/>
        <v/>
      </c>
    </row>
    <row r="120" spans="2:18" hidden="1">
      <c r="B120" s="485" t="s">
        <v>969</v>
      </c>
      <c r="C120" s="485" t="s">
        <v>970</v>
      </c>
      <c r="D120" s="486" t="s">
        <v>972</v>
      </c>
      <c r="E120" s="488" t="s">
        <v>971</v>
      </c>
      <c r="F120" s="485" t="s">
        <v>1318</v>
      </c>
      <c r="G120" s="485" t="s">
        <v>900</v>
      </c>
      <c r="H120" s="485" t="s">
        <v>1120</v>
      </c>
      <c r="I120" s="485" t="s">
        <v>1121</v>
      </c>
      <c r="J120" s="487" t="b">
        <f t="shared" si="11"/>
        <v>1</v>
      </c>
      <c r="K120" s="487" t="b">
        <f t="shared" si="15"/>
        <v>1</v>
      </c>
      <c r="L120" s="487" t="b">
        <f>IF(D120="n/a","n/a",ISNUMBER(MATCH(D120,'Measure-Level Adjustments Tab'!D:D,0)))</f>
        <v>0</v>
      </c>
      <c r="M120" s="487" t="b">
        <f t="shared" si="12"/>
        <v>0</v>
      </c>
      <c r="N120" s="487" t="b">
        <f t="shared" si="13"/>
        <v>0</v>
      </c>
      <c r="O120" s="487" t="s">
        <v>764</v>
      </c>
      <c r="P120" s="487"/>
      <c r="Q120" s="487"/>
      <c r="R120" s="487" t="str">
        <f t="shared" si="14"/>
        <v/>
      </c>
    </row>
    <row r="121" spans="2:18" hidden="1">
      <c r="B121" s="485" t="s">
        <v>969</v>
      </c>
      <c r="C121" s="485" t="s">
        <v>970</v>
      </c>
      <c r="D121" s="486" t="s">
        <v>972</v>
      </c>
      <c r="E121" s="488" t="s">
        <v>971</v>
      </c>
      <c r="F121" s="485" t="s">
        <v>1319</v>
      </c>
      <c r="G121" s="485" t="s">
        <v>873</v>
      </c>
      <c r="H121" s="485" t="s">
        <v>1320</v>
      </c>
      <c r="I121" s="485" t="s">
        <v>880</v>
      </c>
      <c r="J121" s="487" t="b">
        <f t="shared" si="11"/>
        <v>1</v>
      </c>
      <c r="K121" s="487" t="b">
        <f t="shared" si="15"/>
        <v>1</v>
      </c>
      <c r="L121" s="487" t="b">
        <f>IF(D121="n/a","n/a",ISNUMBER(MATCH(D121,'Measure-Level Adjustments Tab'!D:D,0)))</f>
        <v>0</v>
      </c>
      <c r="M121" s="487" t="b">
        <f t="shared" si="12"/>
        <v>0</v>
      </c>
      <c r="N121" s="487" t="b">
        <f t="shared" si="13"/>
        <v>0</v>
      </c>
      <c r="O121" s="487" t="s">
        <v>764</v>
      </c>
      <c r="P121" s="487"/>
      <c r="Q121" s="487"/>
      <c r="R121" s="487" t="str">
        <f t="shared" si="14"/>
        <v/>
      </c>
    </row>
    <row r="122" spans="2:18" hidden="1">
      <c r="B122" s="485" t="s">
        <v>969</v>
      </c>
      <c r="C122" s="485" t="s">
        <v>970</v>
      </c>
      <c r="D122" s="486" t="s">
        <v>974</v>
      </c>
      <c r="E122" s="485" t="s">
        <v>973</v>
      </c>
      <c r="F122" s="485" t="s">
        <v>1321</v>
      </c>
      <c r="G122" s="485" t="s">
        <v>900</v>
      </c>
      <c r="H122" s="485" t="s">
        <v>1322</v>
      </c>
      <c r="I122" s="485" t="s">
        <v>1323</v>
      </c>
      <c r="J122" s="487" t="b">
        <f t="shared" si="11"/>
        <v>1</v>
      </c>
      <c r="K122" s="487" t="b">
        <f t="shared" si="15"/>
        <v>1</v>
      </c>
      <c r="L122" s="487" t="b">
        <f>IF(D122="n/a","n/a",ISNUMBER(MATCH(D122,'Measure-Level Adjustments Tab'!D:D,0)))</f>
        <v>0</v>
      </c>
      <c r="M122" s="487" t="b">
        <f t="shared" si="12"/>
        <v>0</v>
      </c>
      <c r="N122" s="487" t="b">
        <f t="shared" si="13"/>
        <v>0</v>
      </c>
      <c r="O122" s="487" t="s">
        <v>764</v>
      </c>
      <c r="P122" s="487"/>
      <c r="Q122" s="487"/>
      <c r="R122" s="487" t="str">
        <f t="shared" si="14"/>
        <v/>
      </c>
    </row>
    <row r="123" spans="2:18" hidden="1">
      <c r="B123" s="485" t="s">
        <v>969</v>
      </c>
      <c r="C123" s="485" t="s">
        <v>970</v>
      </c>
      <c r="D123" s="486" t="s">
        <v>974</v>
      </c>
      <c r="E123" s="485" t="s">
        <v>973</v>
      </c>
      <c r="F123" s="485" t="s">
        <v>1324</v>
      </c>
      <c r="G123" s="485" t="s">
        <v>873</v>
      </c>
      <c r="H123" s="485" t="s">
        <v>1325</v>
      </c>
      <c r="I123" s="485" t="s">
        <v>1323</v>
      </c>
      <c r="J123" s="487" t="b">
        <f t="shared" si="11"/>
        <v>1</v>
      </c>
      <c r="K123" s="487" t="b">
        <f t="shared" si="15"/>
        <v>1</v>
      </c>
      <c r="L123" s="487" t="b">
        <f>IF(D123="n/a","n/a",ISNUMBER(MATCH(D123,'Measure-Level Adjustments Tab'!D:D,0)))</f>
        <v>0</v>
      </c>
      <c r="M123" s="487" t="b">
        <f t="shared" si="12"/>
        <v>0</v>
      </c>
      <c r="N123" s="487" t="b">
        <f t="shared" si="13"/>
        <v>0</v>
      </c>
      <c r="O123" s="487" t="s">
        <v>764</v>
      </c>
      <c r="P123" s="487"/>
      <c r="Q123" s="487"/>
      <c r="R123" s="487" t="str">
        <f t="shared" si="14"/>
        <v/>
      </c>
    </row>
    <row r="124" spans="2:18" hidden="1">
      <c r="B124" s="485" t="s">
        <v>969</v>
      </c>
      <c r="C124" s="485" t="s">
        <v>970</v>
      </c>
      <c r="D124" s="486" t="s">
        <v>974</v>
      </c>
      <c r="E124" s="485" t="s">
        <v>973</v>
      </c>
      <c r="F124" s="485" t="s">
        <v>1324</v>
      </c>
      <c r="G124" s="485" t="s">
        <v>873</v>
      </c>
      <c r="H124" s="485" t="s">
        <v>918</v>
      </c>
      <c r="I124" s="485" t="s">
        <v>1323</v>
      </c>
      <c r="J124" s="487" t="b">
        <f t="shared" si="11"/>
        <v>1</v>
      </c>
      <c r="K124" s="487" t="b">
        <f t="shared" si="15"/>
        <v>1</v>
      </c>
      <c r="L124" s="487" t="b">
        <f>IF(D124="n/a","n/a",ISNUMBER(MATCH(D124,'Measure-Level Adjustments Tab'!D:D,0)))</f>
        <v>0</v>
      </c>
      <c r="M124" s="487" t="b">
        <f t="shared" si="12"/>
        <v>0</v>
      </c>
      <c r="N124" s="487" t="b">
        <f t="shared" si="13"/>
        <v>0</v>
      </c>
      <c r="O124" s="487" t="s">
        <v>764</v>
      </c>
      <c r="P124" s="487"/>
      <c r="Q124" s="487"/>
      <c r="R124" s="487" t="str">
        <f t="shared" si="14"/>
        <v/>
      </c>
    </row>
    <row r="125" spans="2:18" hidden="1">
      <c r="B125" s="485" t="s">
        <v>969</v>
      </c>
      <c r="C125" s="485" t="s">
        <v>970</v>
      </c>
      <c r="D125" s="486" t="s">
        <v>976</v>
      </c>
      <c r="E125" s="485" t="s">
        <v>975</v>
      </c>
      <c r="F125" s="485" t="s">
        <v>1326</v>
      </c>
      <c r="G125" s="485" t="s">
        <v>900</v>
      </c>
      <c r="H125" s="485" t="s">
        <v>1120</v>
      </c>
      <c r="I125" s="485" t="s">
        <v>1121</v>
      </c>
      <c r="J125" s="487" t="b">
        <f t="shared" si="11"/>
        <v>1</v>
      </c>
      <c r="K125" s="487" t="b">
        <f t="shared" si="15"/>
        <v>1</v>
      </c>
      <c r="L125" s="487" t="b">
        <f>IF(D125="n/a","n/a",ISNUMBER(MATCH(D125,'Measure-Level Adjustments Tab'!D:D,0)))</f>
        <v>0</v>
      </c>
      <c r="M125" s="487" t="b">
        <f t="shared" si="12"/>
        <v>0</v>
      </c>
      <c r="N125" s="487" t="b">
        <f t="shared" si="13"/>
        <v>0</v>
      </c>
      <c r="O125" s="487" t="s">
        <v>764</v>
      </c>
      <c r="P125" s="487"/>
      <c r="Q125" s="487"/>
      <c r="R125" s="487" t="str">
        <f t="shared" si="14"/>
        <v/>
      </c>
    </row>
    <row r="126" spans="2:18" hidden="1">
      <c r="B126" s="485" t="s">
        <v>969</v>
      </c>
      <c r="C126" s="485" t="s">
        <v>970</v>
      </c>
      <c r="D126" s="486" t="s">
        <v>978</v>
      </c>
      <c r="E126" s="485" t="s">
        <v>977</v>
      </c>
      <c r="F126" s="485" t="s">
        <v>1327</v>
      </c>
      <c r="G126" s="485" t="s">
        <v>873</v>
      </c>
      <c r="H126" s="485" t="s">
        <v>1328</v>
      </c>
      <c r="I126" s="485" t="s">
        <v>872</v>
      </c>
      <c r="J126" s="487" t="b">
        <f t="shared" si="11"/>
        <v>0</v>
      </c>
      <c r="K126" s="487" t="b">
        <f t="shared" si="15"/>
        <v>0</v>
      </c>
      <c r="L126" s="487" t="b">
        <f>IF(D126="n/a","n/a",ISNUMBER(MATCH(D126,'Measure-Level Adjustments Tab'!D:D,0)))</f>
        <v>0</v>
      </c>
      <c r="M126" s="487" t="b">
        <f t="shared" si="12"/>
        <v>0</v>
      </c>
      <c r="N126" s="487" t="b">
        <f t="shared" si="13"/>
        <v>0</v>
      </c>
      <c r="O126" s="487" t="s">
        <v>764</v>
      </c>
      <c r="P126" s="487"/>
      <c r="Q126" s="487"/>
      <c r="R126" s="487" t="str">
        <f t="shared" si="14"/>
        <v/>
      </c>
    </row>
    <row r="127" spans="2:18" hidden="1">
      <c r="B127" s="485" t="s">
        <v>969</v>
      </c>
      <c r="C127" s="485" t="s">
        <v>970</v>
      </c>
      <c r="D127" s="486" t="s">
        <v>980</v>
      </c>
      <c r="E127" s="485" t="s">
        <v>979</v>
      </c>
      <c r="F127" s="485" t="s">
        <v>1329</v>
      </c>
      <c r="G127" s="485" t="s">
        <v>873</v>
      </c>
      <c r="H127" s="485" t="s">
        <v>1330</v>
      </c>
      <c r="I127" s="485" t="s">
        <v>872</v>
      </c>
      <c r="J127" s="487" t="b">
        <f t="shared" si="11"/>
        <v>0</v>
      </c>
      <c r="K127" s="487" t="b">
        <f t="shared" si="15"/>
        <v>0</v>
      </c>
      <c r="L127" s="487" t="b">
        <f>IF(D127="n/a","n/a",ISNUMBER(MATCH(D127,'Measure-Level Adjustments Tab'!D:D,0)))</f>
        <v>0</v>
      </c>
      <c r="M127" s="487" t="b">
        <f t="shared" si="12"/>
        <v>0</v>
      </c>
      <c r="N127" s="487" t="b">
        <f t="shared" si="13"/>
        <v>0</v>
      </c>
      <c r="O127" s="487" t="s">
        <v>764</v>
      </c>
      <c r="P127" s="487"/>
      <c r="Q127" s="487"/>
      <c r="R127" s="487" t="str">
        <f t="shared" si="14"/>
        <v/>
      </c>
    </row>
    <row r="128" spans="2:18" hidden="1">
      <c r="B128" s="485" t="s">
        <v>969</v>
      </c>
      <c r="C128" s="485" t="s">
        <v>970</v>
      </c>
      <c r="D128" s="486" t="s">
        <v>982</v>
      </c>
      <c r="E128" s="485" t="s">
        <v>981</v>
      </c>
      <c r="F128" s="485" t="s">
        <v>1331</v>
      </c>
      <c r="G128" s="485" t="s">
        <v>873</v>
      </c>
      <c r="H128" s="485" t="s">
        <v>1332</v>
      </c>
      <c r="I128" s="485" t="s">
        <v>872</v>
      </c>
      <c r="J128" s="487" t="b">
        <f t="shared" si="11"/>
        <v>0</v>
      </c>
      <c r="K128" s="487" t="b">
        <f t="shared" si="15"/>
        <v>0</v>
      </c>
      <c r="L128" s="487" t="b">
        <f>IF(D128="n/a","n/a",ISNUMBER(MATCH(D128,'Measure-Level Adjustments Tab'!D:D,0)))</f>
        <v>1</v>
      </c>
      <c r="M128" s="487" t="b">
        <f t="shared" si="12"/>
        <v>0</v>
      </c>
      <c r="N128" s="487" t="b">
        <f t="shared" si="13"/>
        <v>0</v>
      </c>
      <c r="O128" s="487" t="s">
        <v>764</v>
      </c>
      <c r="P128" s="487"/>
      <c r="Q128" s="487"/>
      <c r="R128" s="487" t="str">
        <f t="shared" si="14"/>
        <v/>
      </c>
    </row>
    <row r="129" spans="2:18" hidden="1">
      <c r="B129" s="485" t="s">
        <v>969</v>
      </c>
      <c r="C129" s="485" t="s">
        <v>983</v>
      </c>
      <c r="D129" s="486" t="s">
        <v>985</v>
      </c>
      <c r="E129" s="488" t="s">
        <v>984</v>
      </c>
      <c r="F129" s="485" t="s">
        <v>1333</v>
      </c>
      <c r="G129" s="485" t="s">
        <v>873</v>
      </c>
      <c r="H129" s="485" t="s">
        <v>1334</v>
      </c>
      <c r="I129" s="485" t="s">
        <v>872</v>
      </c>
      <c r="J129" s="487" t="b">
        <f t="shared" si="11"/>
        <v>0</v>
      </c>
      <c r="K129" s="487" t="b">
        <f t="shared" si="15"/>
        <v>0</v>
      </c>
      <c r="L129" s="487" t="b">
        <f>IF(D129="n/a","n/a",ISNUMBER(MATCH(D129,'Measure-Level Adjustments Tab'!D:D,0)))</f>
        <v>0</v>
      </c>
      <c r="M129" s="487" t="b">
        <f t="shared" si="12"/>
        <v>0</v>
      </c>
      <c r="N129" s="487" t="b">
        <f t="shared" si="13"/>
        <v>0</v>
      </c>
      <c r="O129" s="487" t="s">
        <v>764</v>
      </c>
      <c r="P129" s="487"/>
      <c r="Q129" s="487"/>
      <c r="R129" s="487" t="str">
        <f t="shared" si="14"/>
        <v/>
      </c>
    </row>
    <row r="130" spans="2:18" hidden="1">
      <c r="B130" s="485" t="s">
        <v>969</v>
      </c>
      <c r="C130" s="485" t="s">
        <v>983</v>
      </c>
      <c r="D130" s="486" t="s">
        <v>987</v>
      </c>
      <c r="E130" s="488" t="s">
        <v>986</v>
      </c>
      <c r="F130" s="485" t="s">
        <v>1335</v>
      </c>
      <c r="G130" s="485" t="s">
        <v>873</v>
      </c>
      <c r="H130" s="485" t="s">
        <v>1336</v>
      </c>
      <c r="I130" s="485" t="s">
        <v>1323</v>
      </c>
      <c r="J130" s="487" t="b">
        <f t="shared" si="11"/>
        <v>1</v>
      </c>
      <c r="K130" s="487" t="b">
        <f t="shared" si="15"/>
        <v>1</v>
      </c>
      <c r="L130" s="487" t="b">
        <f>IF(D130="n/a","n/a",ISNUMBER(MATCH(D130,'Measure-Level Adjustments Tab'!D:D,0)))</f>
        <v>0</v>
      </c>
      <c r="M130" s="487" t="b">
        <f t="shared" si="12"/>
        <v>0</v>
      </c>
      <c r="N130" s="487" t="b">
        <f t="shared" si="13"/>
        <v>0</v>
      </c>
      <c r="O130" s="487" t="s">
        <v>764</v>
      </c>
      <c r="P130" s="487"/>
      <c r="Q130" s="487"/>
      <c r="R130" s="487" t="str">
        <f t="shared" si="14"/>
        <v/>
      </c>
    </row>
    <row r="131" spans="2:18" hidden="1">
      <c r="B131" s="485" t="s">
        <v>969</v>
      </c>
      <c r="C131" s="485" t="s">
        <v>983</v>
      </c>
      <c r="D131" s="486" t="s">
        <v>987</v>
      </c>
      <c r="E131" s="488" t="s">
        <v>986</v>
      </c>
      <c r="F131" s="485" t="s">
        <v>1335</v>
      </c>
      <c r="G131" s="485" t="s">
        <v>873</v>
      </c>
      <c r="H131" s="485" t="s">
        <v>1337</v>
      </c>
      <c r="I131" s="485" t="s">
        <v>1323</v>
      </c>
      <c r="J131" s="487" t="b">
        <f t="shared" si="11"/>
        <v>1</v>
      </c>
      <c r="K131" s="487" t="b">
        <f t="shared" si="15"/>
        <v>1</v>
      </c>
      <c r="L131" s="487" t="b">
        <f>IF(D131="n/a","n/a",ISNUMBER(MATCH(D131,'Measure-Level Adjustments Tab'!D:D,0)))</f>
        <v>0</v>
      </c>
      <c r="M131" s="487" t="b">
        <f t="shared" si="12"/>
        <v>0</v>
      </c>
      <c r="N131" s="487" t="b">
        <f t="shared" si="13"/>
        <v>0</v>
      </c>
      <c r="O131" s="487" t="s">
        <v>764</v>
      </c>
      <c r="P131" s="487"/>
      <c r="Q131" s="487"/>
      <c r="R131" s="487" t="str">
        <f t="shared" si="14"/>
        <v/>
      </c>
    </row>
    <row r="132" spans="2:18" hidden="1">
      <c r="B132" s="485" t="s">
        <v>969</v>
      </c>
      <c r="C132" s="485" t="s">
        <v>988</v>
      </c>
      <c r="D132" s="486" t="s">
        <v>990</v>
      </c>
      <c r="E132" s="485" t="s">
        <v>989</v>
      </c>
      <c r="F132" s="485" t="s">
        <v>1338</v>
      </c>
      <c r="G132" s="485" t="s">
        <v>873</v>
      </c>
      <c r="H132" s="485" t="s">
        <v>1339</v>
      </c>
      <c r="I132" s="485" t="s">
        <v>872</v>
      </c>
      <c r="J132" s="487" t="b">
        <f t="shared" si="11"/>
        <v>0</v>
      </c>
      <c r="K132" s="487" t="b">
        <f t="shared" si="15"/>
        <v>0</v>
      </c>
      <c r="L132" s="487" t="b">
        <f>IF(D132="n/a","n/a",ISNUMBER(MATCH(D132,'Measure-Level Adjustments Tab'!D:D,0)))</f>
        <v>0</v>
      </c>
      <c r="M132" s="487" t="b">
        <f t="shared" si="12"/>
        <v>0</v>
      </c>
      <c r="N132" s="487" t="b">
        <f t="shared" si="13"/>
        <v>0</v>
      </c>
      <c r="O132" s="487" t="s">
        <v>764</v>
      </c>
      <c r="P132" s="487"/>
      <c r="Q132" s="487"/>
      <c r="R132" s="487" t="str">
        <f t="shared" si="14"/>
        <v/>
      </c>
    </row>
    <row r="133" spans="2:18" hidden="1">
      <c r="B133" s="485" t="s">
        <v>969</v>
      </c>
      <c r="C133" s="485" t="s">
        <v>988</v>
      </c>
      <c r="D133" s="486" t="s">
        <v>428</v>
      </c>
      <c r="E133" s="488" t="s">
        <v>991</v>
      </c>
      <c r="F133" s="485" t="s">
        <v>1340</v>
      </c>
      <c r="G133" s="485" t="s">
        <v>873</v>
      </c>
      <c r="H133" s="488" t="s">
        <v>1341</v>
      </c>
      <c r="I133" s="485" t="s">
        <v>872</v>
      </c>
      <c r="J133" s="487" t="b">
        <f t="shared" si="11"/>
        <v>0</v>
      </c>
      <c r="K133" s="487" t="b">
        <f t="shared" si="15"/>
        <v>0</v>
      </c>
      <c r="L133" s="487" t="b">
        <f>IF(D133="n/a","n/a",ISNUMBER(MATCH(D133,'Measure-Level Adjustments Tab'!D:D,0)))</f>
        <v>1</v>
      </c>
      <c r="M133" s="487" t="b">
        <f t="shared" si="12"/>
        <v>0</v>
      </c>
      <c r="N133" s="487" t="b">
        <f t="shared" si="13"/>
        <v>0</v>
      </c>
      <c r="O133" s="487" t="s">
        <v>764</v>
      </c>
      <c r="P133" s="487"/>
      <c r="Q133" s="487"/>
      <c r="R133" s="487" t="str">
        <f t="shared" si="14"/>
        <v/>
      </c>
    </row>
    <row r="134" spans="2:18" hidden="1">
      <c r="B134" s="485" t="s">
        <v>969</v>
      </c>
      <c r="C134" s="485" t="s">
        <v>988</v>
      </c>
      <c r="D134" s="486" t="s">
        <v>993</v>
      </c>
      <c r="E134" s="485" t="s">
        <v>992</v>
      </c>
      <c r="F134" s="485" t="s">
        <v>1342</v>
      </c>
      <c r="G134" s="485" t="s">
        <v>873</v>
      </c>
      <c r="H134" s="485" t="s">
        <v>1343</v>
      </c>
      <c r="I134" s="485" t="s">
        <v>872</v>
      </c>
      <c r="J134" s="487" t="b">
        <f t="shared" si="11"/>
        <v>0</v>
      </c>
      <c r="K134" s="487" t="b">
        <f t="shared" si="15"/>
        <v>0</v>
      </c>
      <c r="L134" s="487" t="b">
        <f>IF(D134="n/a","n/a",ISNUMBER(MATCH(D134,'Measure-Level Adjustments Tab'!D:D,0)))</f>
        <v>0</v>
      </c>
      <c r="M134" s="487" t="b">
        <f t="shared" si="12"/>
        <v>0</v>
      </c>
      <c r="N134" s="487" t="b">
        <f t="shared" si="13"/>
        <v>0</v>
      </c>
      <c r="O134" s="487" t="s">
        <v>764</v>
      </c>
      <c r="P134" s="487"/>
      <c r="Q134" s="487"/>
      <c r="R134" s="487" t="str">
        <f t="shared" si="14"/>
        <v/>
      </c>
    </row>
    <row r="135" spans="2:18" hidden="1">
      <c r="B135" s="485" t="s">
        <v>969</v>
      </c>
      <c r="C135" s="485" t="s">
        <v>988</v>
      </c>
      <c r="D135" s="486" t="s">
        <v>993</v>
      </c>
      <c r="E135" s="485" t="s">
        <v>992</v>
      </c>
      <c r="F135" s="485" t="s">
        <v>1342</v>
      </c>
      <c r="G135" s="485" t="s">
        <v>873</v>
      </c>
      <c r="H135" s="485" t="s">
        <v>1344</v>
      </c>
      <c r="I135" s="485" t="s">
        <v>872</v>
      </c>
      <c r="J135" s="487" t="b">
        <f t="shared" si="11"/>
        <v>0</v>
      </c>
      <c r="K135" s="487" t="b">
        <f t="shared" ref="K135:K166" si="16">COUNTIFS(D:D,D135,J:J,TRUE)&gt;0</f>
        <v>0</v>
      </c>
      <c r="L135" s="487" t="b">
        <f>IF(D135="n/a","n/a",ISNUMBER(MATCH(D135,'Measure-Level Adjustments Tab'!D:D,0)))</f>
        <v>0</v>
      </c>
      <c r="M135" s="487" t="b">
        <f t="shared" si="12"/>
        <v>0</v>
      </c>
      <c r="N135" s="487" t="b">
        <f t="shared" si="13"/>
        <v>0</v>
      </c>
      <c r="O135" s="487" t="s">
        <v>764</v>
      </c>
      <c r="P135" s="487"/>
      <c r="Q135" s="487"/>
      <c r="R135" s="487" t="str">
        <f t="shared" si="14"/>
        <v/>
      </c>
    </row>
    <row r="136" spans="2:18" hidden="1">
      <c r="B136" s="485" t="s">
        <v>969</v>
      </c>
      <c r="C136" s="485" t="s">
        <v>988</v>
      </c>
      <c r="D136" s="486" t="s">
        <v>401</v>
      </c>
      <c r="E136" s="485" t="s">
        <v>995</v>
      </c>
      <c r="F136" s="485" t="s">
        <v>1345</v>
      </c>
      <c r="G136" s="485" t="s">
        <v>873</v>
      </c>
      <c r="H136" s="485" t="s">
        <v>1346</v>
      </c>
      <c r="I136" s="485" t="s">
        <v>872</v>
      </c>
      <c r="J136" s="487" t="b">
        <f>I136&lt;&gt;"N/A"</f>
        <v>0</v>
      </c>
      <c r="K136" s="487" t="b">
        <f t="shared" si="16"/>
        <v>0</v>
      </c>
      <c r="L136" s="487" t="b">
        <f>IF(D136="n/a","n/a",ISNUMBER(MATCH(D136,'Measure-Level Adjustments Tab'!D:D,0)))</f>
        <v>1</v>
      </c>
      <c r="M136" s="487" t="b">
        <f t="shared" ref="M136:M184" si="17">AND(G136="Errata",J136,L136)</f>
        <v>0</v>
      </c>
      <c r="N136" s="487" t="b">
        <f t="shared" ref="N136:N184" si="18">AND(G136="Revision",J136,L136)</f>
        <v>0</v>
      </c>
      <c r="O136" s="487" t="s">
        <v>764</v>
      </c>
      <c r="P136" s="487"/>
      <c r="Q136" s="487"/>
      <c r="R136" s="487" t="str">
        <f t="shared" ref="R136:R184" si="19">IF(Q136="","",HYPERLINK("#'"&amp;Q136,"Go To Update"))</f>
        <v/>
      </c>
    </row>
    <row r="137" spans="2:18" hidden="1">
      <c r="B137" s="485" t="s">
        <v>969</v>
      </c>
      <c r="C137" s="485" t="s">
        <v>988</v>
      </c>
      <c r="D137" s="486" t="s">
        <v>997</v>
      </c>
      <c r="E137" s="485" t="s">
        <v>996</v>
      </c>
      <c r="F137" s="485" t="s">
        <v>1347</v>
      </c>
      <c r="G137" s="485" t="s">
        <v>873</v>
      </c>
      <c r="H137" s="485" t="s">
        <v>1346</v>
      </c>
      <c r="I137" s="485" t="s">
        <v>872</v>
      </c>
      <c r="J137" s="487" t="b">
        <f>I137&lt;&gt;"N/A"</f>
        <v>0</v>
      </c>
      <c r="K137" s="487" t="b">
        <f t="shared" si="16"/>
        <v>0</v>
      </c>
      <c r="L137" s="487" t="b">
        <f>IF(D137="n/a","n/a",ISNUMBER(MATCH(D137,'Measure-Level Adjustments Tab'!D:D,0)))</f>
        <v>0</v>
      </c>
      <c r="M137" s="487" t="b">
        <f t="shared" si="17"/>
        <v>0</v>
      </c>
      <c r="N137" s="487" t="b">
        <f t="shared" si="18"/>
        <v>0</v>
      </c>
      <c r="O137" s="487" t="s">
        <v>764</v>
      </c>
      <c r="P137" s="487"/>
      <c r="Q137" s="487"/>
      <c r="R137" s="487" t="str">
        <f t="shared" si="19"/>
        <v/>
      </c>
    </row>
    <row r="138" spans="2:18" hidden="1">
      <c r="B138" s="485" t="s">
        <v>969</v>
      </c>
      <c r="C138" s="485" t="s">
        <v>988</v>
      </c>
      <c r="D138" s="486" t="s">
        <v>998</v>
      </c>
      <c r="E138" s="488" t="s">
        <v>1348</v>
      </c>
      <c r="F138" s="485" t="s">
        <v>1349</v>
      </c>
      <c r="G138" s="485" t="s">
        <v>873</v>
      </c>
      <c r="H138" s="488" t="s">
        <v>1350</v>
      </c>
      <c r="I138" s="485" t="s">
        <v>872</v>
      </c>
      <c r="J138" s="487" t="b">
        <f t="shared" si="11"/>
        <v>0</v>
      </c>
      <c r="K138" s="487" t="b">
        <f t="shared" si="16"/>
        <v>0</v>
      </c>
      <c r="L138" s="487" t="b">
        <f>IF(D138="n/a","n/a",ISNUMBER(MATCH(D138,'Measure-Level Adjustments Tab'!D:D,0)))</f>
        <v>0</v>
      </c>
      <c r="M138" s="487" t="b">
        <f t="shared" si="17"/>
        <v>0</v>
      </c>
      <c r="N138" s="487" t="b">
        <f t="shared" si="18"/>
        <v>0</v>
      </c>
      <c r="O138" s="487" t="s">
        <v>764</v>
      </c>
      <c r="P138" s="487"/>
      <c r="Q138" s="487"/>
      <c r="R138" s="487" t="str">
        <f t="shared" si="19"/>
        <v/>
      </c>
    </row>
    <row r="139" spans="2:18" hidden="1">
      <c r="B139" s="485" t="s">
        <v>969</v>
      </c>
      <c r="C139" s="485" t="s">
        <v>988</v>
      </c>
      <c r="D139" s="486" t="s">
        <v>447</v>
      </c>
      <c r="E139" s="485" t="s">
        <v>999</v>
      </c>
      <c r="F139" s="485" t="s">
        <v>1351</v>
      </c>
      <c r="G139" s="485" t="s">
        <v>873</v>
      </c>
      <c r="H139" s="485" t="s">
        <v>1352</v>
      </c>
      <c r="I139" s="485" t="s">
        <v>872</v>
      </c>
      <c r="J139" s="487" t="b">
        <f t="shared" si="11"/>
        <v>0</v>
      </c>
      <c r="K139" s="487" t="b">
        <f t="shared" si="16"/>
        <v>0</v>
      </c>
      <c r="L139" s="487" t="b">
        <f>IF(D139="n/a","n/a",ISNUMBER(MATCH(D139,'Measure-Level Adjustments Tab'!D:D,0)))</f>
        <v>1</v>
      </c>
      <c r="M139" s="487" t="b">
        <f t="shared" si="17"/>
        <v>0</v>
      </c>
      <c r="N139" s="487" t="b">
        <f t="shared" si="18"/>
        <v>0</v>
      </c>
      <c r="O139" s="487" t="s">
        <v>764</v>
      </c>
      <c r="P139" s="487"/>
      <c r="Q139" s="487"/>
      <c r="R139" s="487" t="str">
        <f t="shared" si="19"/>
        <v/>
      </c>
    </row>
    <row r="140" spans="2:18" hidden="1">
      <c r="B140" s="485" t="s">
        <v>969</v>
      </c>
      <c r="C140" s="485" t="s">
        <v>988</v>
      </c>
      <c r="D140" s="486" t="s">
        <v>447</v>
      </c>
      <c r="E140" s="485" t="s">
        <v>999</v>
      </c>
      <c r="F140" s="485" t="s">
        <v>1351</v>
      </c>
      <c r="G140" s="485" t="s">
        <v>873</v>
      </c>
      <c r="H140" s="485" t="s">
        <v>1353</v>
      </c>
      <c r="I140" s="485" t="s">
        <v>872</v>
      </c>
      <c r="J140" s="487" t="b">
        <f t="shared" ref="J140:J184" si="20">I140&lt;&gt;"N/A"</f>
        <v>0</v>
      </c>
      <c r="K140" s="487" t="b">
        <f t="shared" si="16"/>
        <v>0</v>
      </c>
      <c r="L140" s="487" t="b">
        <f>IF(D140="n/a","n/a",ISNUMBER(MATCH(D140,'Measure-Level Adjustments Tab'!D:D,0)))</f>
        <v>1</v>
      </c>
      <c r="M140" s="487" t="b">
        <f t="shared" si="17"/>
        <v>0</v>
      </c>
      <c r="N140" s="487" t="b">
        <f t="shared" si="18"/>
        <v>0</v>
      </c>
      <c r="O140" s="487" t="s">
        <v>764</v>
      </c>
      <c r="P140" s="487"/>
      <c r="Q140" s="487"/>
      <c r="R140" s="487" t="str">
        <f t="shared" si="19"/>
        <v/>
      </c>
    </row>
    <row r="141" spans="2:18" hidden="1">
      <c r="B141" s="485" t="s">
        <v>969</v>
      </c>
      <c r="C141" s="485" t="s">
        <v>988</v>
      </c>
      <c r="D141" s="486" t="s">
        <v>1001</v>
      </c>
      <c r="E141" s="485" t="s">
        <v>1000</v>
      </c>
      <c r="F141" s="485" t="s">
        <v>1354</v>
      </c>
      <c r="G141" s="485" t="s">
        <v>900</v>
      </c>
      <c r="H141" s="485" t="s">
        <v>1355</v>
      </c>
      <c r="I141" s="485" t="s">
        <v>872</v>
      </c>
      <c r="J141" s="487" t="b">
        <f t="shared" si="20"/>
        <v>0</v>
      </c>
      <c r="K141" s="487" t="b">
        <f t="shared" si="16"/>
        <v>0</v>
      </c>
      <c r="L141" s="487" t="b">
        <f>IF(D141="n/a","n/a",ISNUMBER(MATCH(D141,'Measure-Level Adjustments Tab'!D:D,0)))</f>
        <v>0</v>
      </c>
      <c r="M141" s="487" t="b">
        <f t="shared" si="17"/>
        <v>0</v>
      </c>
      <c r="N141" s="487" t="b">
        <f t="shared" si="18"/>
        <v>0</v>
      </c>
      <c r="O141" s="487" t="s">
        <v>764</v>
      </c>
      <c r="P141" s="487"/>
      <c r="Q141" s="487"/>
      <c r="R141" s="487" t="str">
        <f t="shared" si="19"/>
        <v/>
      </c>
    </row>
    <row r="142" spans="2:18" hidden="1">
      <c r="B142" s="485" t="s">
        <v>969</v>
      </c>
      <c r="C142" s="485" t="s">
        <v>988</v>
      </c>
      <c r="D142" s="486" t="s">
        <v>394</v>
      </c>
      <c r="E142" s="485" t="s">
        <v>1002</v>
      </c>
      <c r="F142" s="485" t="s">
        <v>1356</v>
      </c>
      <c r="G142" s="485" t="s">
        <v>873</v>
      </c>
      <c r="H142" s="485" t="s">
        <v>1357</v>
      </c>
      <c r="I142" s="485" t="s">
        <v>872</v>
      </c>
      <c r="J142" s="487" t="b">
        <f t="shared" si="20"/>
        <v>0</v>
      </c>
      <c r="K142" s="487" t="b">
        <f t="shared" si="16"/>
        <v>0</v>
      </c>
      <c r="L142" s="487" t="b">
        <f>IF(D142="n/a","n/a",ISNUMBER(MATCH(D142,'Measure-Level Adjustments Tab'!D:D,0)))</f>
        <v>1</v>
      </c>
      <c r="M142" s="487" t="b">
        <f t="shared" si="17"/>
        <v>0</v>
      </c>
      <c r="N142" s="487" t="b">
        <f t="shared" si="18"/>
        <v>0</v>
      </c>
      <c r="O142" s="487" t="s">
        <v>764</v>
      </c>
      <c r="P142" s="487"/>
      <c r="Q142" s="487"/>
      <c r="R142" s="487" t="str">
        <f t="shared" si="19"/>
        <v/>
      </c>
    </row>
    <row r="143" spans="2:18" hidden="1">
      <c r="B143" s="485" t="s">
        <v>969</v>
      </c>
      <c r="C143" s="485" t="s">
        <v>988</v>
      </c>
      <c r="D143" s="486" t="s">
        <v>394</v>
      </c>
      <c r="E143" s="485" t="s">
        <v>1002</v>
      </c>
      <c r="F143" s="485" t="s">
        <v>1356</v>
      </c>
      <c r="G143" s="485" t="s">
        <v>873</v>
      </c>
      <c r="H143" s="485" t="s">
        <v>1358</v>
      </c>
      <c r="I143" s="485" t="s">
        <v>872</v>
      </c>
      <c r="J143" s="487" t="b">
        <f t="shared" si="20"/>
        <v>0</v>
      </c>
      <c r="K143" s="487" t="b">
        <f t="shared" si="16"/>
        <v>0</v>
      </c>
      <c r="L143" s="487" t="b">
        <f>IF(D143="n/a","n/a",ISNUMBER(MATCH(D143,'Measure-Level Adjustments Tab'!D:D,0)))</f>
        <v>1</v>
      </c>
      <c r="M143" s="487" t="b">
        <f t="shared" si="17"/>
        <v>0</v>
      </c>
      <c r="N143" s="487" t="b">
        <f t="shared" si="18"/>
        <v>0</v>
      </c>
      <c r="O143" s="487" t="s">
        <v>764</v>
      </c>
      <c r="P143" s="487"/>
      <c r="Q143" s="487"/>
      <c r="R143" s="487" t="str">
        <f t="shared" si="19"/>
        <v/>
      </c>
    </row>
    <row r="144" spans="2:18" hidden="1">
      <c r="B144" s="485" t="s">
        <v>969</v>
      </c>
      <c r="C144" s="485" t="s">
        <v>988</v>
      </c>
      <c r="D144" s="486" t="s">
        <v>1359</v>
      </c>
      <c r="E144" s="485" t="s">
        <v>1360</v>
      </c>
      <c r="F144" s="485" t="s">
        <v>1361</v>
      </c>
      <c r="G144" s="485" t="s">
        <v>873</v>
      </c>
      <c r="H144" s="485" t="s">
        <v>1362</v>
      </c>
      <c r="I144" s="485" t="s">
        <v>901</v>
      </c>
      <c r="J144" s="487" t="b">
        <f t="shared" si="20"/>
        <v>1</v>
      </c>
      <c r="K144" s="487" t="b">
        <f t="shared" si="16"/>
        <v>1</v>
      </c>
      <c r="L144" s="487" t="b">
        <f>IF(D144="n/a","n/a",ISNUMBER(MATCH(D144,'Measure-Level Adjustments Tab'!D:D,0)))</f>
        <v>0</v>
      </c>
      <c r="M144" s="487" t="b">
        <f t="shared" si="17"/>
        <v>0</v>
      </c>
      <c r="N144" s="487" t="b">
        <f t="shared" si="18"/>
        <v>0</v>
      </c>
      <c r="O144" s="487" t="s">
        <v>764</v>
      </c>
      <c r="P144" s="487"/>
      <c r="Q144" s="487"/>
      <c r="R144" s="487" t="str">
        <f t="shared" si="19"/>
        <v/>
      </c>
    </row>
    <row r="145" spans="2:18" hidden="1">
      <c r="B145" s="485" t="s">
        <v>969</v>
      </c>
      <c r="C145" s="485" t="s">
        <v>988</v>
      </c>
      <c r="D145" s="486" t="s">
        <v>49</v>
      </c>
      <c r="E145" s="485" t="s">
        <v>1003</v>
      </c>
      <c r="F145" s="485" t="s">
        <v>1363</v>
      </c>
      <c r="G145" s="485" t="s">
        <v>873</v>
      </c>
      <c r="H145" s="485" t="s">
        <v>1352</v>
      </c>
      <c r="I145" s="485" t="s">
        <v>872</v>
      </c>
      <c r="J145" s="487" t="b">
        <f t="shared" si="20"/>
        <v>0</v>
      </c>
      <c r="K145" s="487" t="b">
        <f t="shared" si="16"/>
        <v>0</v>
      </c>
      <c r="L145" s="487" t="b">
        <f>IF(D145="n/a","n/a",ISNUMBER(MATCH(D145,'Measure-Level Adjustments Tab'!D:D,0)))</f>
        <v>1</v>
      </c>
      <c r="M145" s="487" t="b">
        <f t="shared" si="17"/>
        <v>0</v>
      </c>
      <c r="N145" s="487" t="b">
        <f t="shared" si="18"/>
        <v>0</v>
      </c>
      <c r="O145" s="487" t="s">
        <v>764</v>
      </c>
      <c r="P145" s="487"/>
      <c r="Q145" s="487"/>
      <c r="R145" s="487" t="str">
        <f t="shared" si="19"/>
        <v/>
      </c>
    </row>
    <row r="146" spans="2:18" hidden="1">
      <c r="B146" s="485" t="s">
        <v>969</v>
      </c>
      <c r="C146" s="485" t="s">
        <v>988</v>
      </c>
      <c r="D146" s="486" t="s">
        <v>49</v>
      </c>
      <c r="E146" s="485" t="s">
        <v>1003</v>
      </c>
      <c r="F146" s="485" t="s">
        <v>1363</v>
      </c>
      <c r="G146" s="485" t="s">
        <v>873</v>
      </c>
      <c r="H146" s="485" t="s">
        <v>1353</v>
      </c>
      <c r="I146" s="485" t="s">
        <v>872</v>
      </c>
      <c r="J146" s="487" t="b">
        <f t="shared" si="20"/>
        <v>0</v>
      </c>
      <c r="K146" s="487" t="b">
        <f t="shared" si="16"/>
        <v>0</v>
      </c>
      <c r="L146" s="487" t="b">
        <f>IF(D146="n/a","n/a",ISNUMBER(MATCH(D146,'Measure-Level Adjustments Tab'!D:D,0)))</f>
        <v>1</v>
      </c>
      <c r="M146" s="487" t="b">
        <f t="shared" si="17"/>
        <v>0</v>
      </c>
      <c r="N146" s="487" t="b">
        <f t="shared" si="18"/>
        <v>0</v>
      </c>
      <c r="O146" s="487" t="s">
        <v>764</v>
      </c>
      <c r="P146" s="487"/>
      <c r="Q146" s="487"/>
      <c r="R146" s="487" t="str">
        <f t="shared" si="19"/>
        <v/>
      </c>
    </row>
    <row r="147" spans="2:18" hidden="1">
      <c r="B147" s="485" t="s">
        <v>969</v>
      </c>
      <c r="C147" s="485" t="s">
        <v>988</v>
      </c>
      <c r="D147" s="486" t="s">
        <v>1364</v>
      </c>
      <c r="E147" s="488" t="s">
        <v>1365</v>
      </c>
      <c r="F147" s="485" t="s">
        <v>1366</v>
      </c>
      <c r="G147" s="485" t="s">
        <v>874</v>
      </c>
      <c r="H147" s="488" t="s">
        <v>955</v>
      </c>
      <c r="I147" s="485" t="s">
        <v>872</v>
      </c>
      <c r="J147" s="487" t="b">
        <f t="shared" si="20"/>
        <v>0</v>
      </c>
      <c r="K147" s="487" t="b">
        <f t="shared" si="16"/>
        <v>0</v>
      </c>
      <c r="L147" s="487" t="b">
        <f>IF(D147="n/a","n/a",ISNUMBER(MATCH(D147,'Measure-Level Adjustments Tab'!D:D,0)))</f>
        <v>0</v>
      </c>
      <c r="M147" s="487" t="b">
        <f t="shared" si="17"/>
        <v>0</v>
      </c>
      <c r="N147" s="487" t="b">
        <f t="shared" si="18"/>
        <v>0</v>
      </c>
      <c r="O147" s="487" t="s">
        <v>764</v>
      </c>
      <c r="P147" s="487"/>
      <c r="Q147" s="487"/>
      <c r="R147" s="487" t="str">
        <f t="shared" si="19"/>
        <v/>
      </c>
    </row>
    <row r="148" spans="2:18" hidden="1">
      <c r="B148" s="485" t="s">
        <v>969</v>
      </c>
      <c r="C148" s="485" t="s">
        <v>1004</v>
      </c>
      <c r="D148" s="486" t="s">
        <v>1008</v>
      </c>
      <c r="E148" s="485" t="s">
        <v>1007</v>
      </c>
      <c r="F148" s="485" t="s">
        <v>1367</v>
      </c>
      <c r="G148" s="485" t="s">
        <v>900</v>
      </c>
      <c r="H148" s="485" t="s">
        <v>1368</v>
      </c>
      <c r="I148" s="485" t="s">
        <v>872</v>
      </c>
      <c r="J148" s="487" t="b">
        <f t="shared" si="20"/>
        <v>0</v>
      </c>
      <c r="K148" s="487" t="b">
        <f t="shared" si="16"/>
        <v>0</v>
      </c>
      <c r="L148" s="487" t="b">
        <f>IF(D148="n/a","n/a",ISNUMBER(MATCH(D148,'Measure-Level Adjustments Tab'!D:D,0)))</f>
        <v>0</v>
      </c>
      <c r="M148" s="487" t="b">
        <f t="shared" si="17"/>
        <v>0</v>
      </c>
      <c r="N148" s="487" t="b">
        <f t="shared" si="18"/>
        <v>0</v>
      </c>
      <c r="O148" s="487" t="s">
        <v>764</v>
      </c>
      <c r="P148" s="487"/>
      <c r="Q148" s="487"/>
      <c r="R148" s="487" t="str">
        <f t="shared" si="19"/>
        <v/>
      </c>
    </row>
    <row r="149" spans="2:18" hidden="1">
      <c r="B149" s="485" t="s">
        <v>969</v>
      </c>
      <c r="C149" s="485" t="s">
        <v>1004</v>
      </c>
      <c r="D149" s="486" t="s">
        <v>1008</v>
      </c>
      <c r="E149" s="485" t="s">
        <v>1007</v>
      </c>
      <c r="F149" s="485" t="s">
        <v>1369</v>
      </c>
      <c r="G149" s="485" t="s">
        <v>873</v>
      </c>
      <c r="H149" s="485" t="s">
        <v>1426</v>
      </c>
      <c r="I149" s="485" t="s">
        <v>872</v>
      </c>
      <c r="J149" s="487" t="b">
        <f t="shared" si="20"/>
        <v>0</v>
      </c>
      <c r="K149" s="487" t="b">
        <f t="shared" si="16"/>
        <v>0</v>
      </c>
      <c r="L149" s="487" t="b">
        <f>IF(D149="n/a","n/a",ISNUMBER(MATCH(D149,'Measure-Level Adjustments Tab'!D:D,0)))</f>
        <v>0</v>
      </c>
      <c r="M149" s="487" t="b">
        <f t="shared" si="17"/>
        <v>0</v>
      </c>
      <c r="N149" s="487" t="b">
        <f t="shared" si="18"/>
        <v>0</v>
      </c>
      <c r="O149" s="487" t="s">
        <v>764</v>
      </c>
      <c r="P149" s="487"/>
      <c r="Q149" s="487"/>
      <c r="R149" s="487" t="str">
        <f t="shared" si="19"/>
        <v/>
      </c>
    </row>
    <row r="150" spans="2:18" hidden="1">
      <c r="B150" s="485" t="s">
        <v>969</v>
      </c>
      <c r="C150" s="485" t="s">
        <v>1004</v>
      </c>
      <c r="D150" s="486" t="s">
        <v>470</v>
      </c>
      <c r="E150" s="485" t="s">
        <v>1370</v>
      </c>
      <c r="F150" s="485" t="s">
        <v>1371</v>
      </c>
      <c r="G150" s="485" t="s">
        <v>900</v>
      </c>
      <c r="H150" s="485" t="s">
        <v>1120</v>
      </c>
      <c r="I150" s="485" t="s">
        <v>1121</v>
      </c>
      <c r="J150" s="487" t="b">
        <f t="shared" si="20"/>
        <v>1</v>
      </c>
      <c r="K150" s="487" t="b">
        <f t="shared" si="16"/>
        <v>1</v>
      </c>
      <c r="L150" s="487" t="b">
        <f>IF(D150="n/a","n/a",ISNUMBER(MATCH(D150,'Measure-Level Adjustments Tab'!D:D,0)))</f>
        <v>1</v>
      </c>
      <c r="M150" s="487" t="b">
        <f t="shared" si="17"/>
        <v>1</v>
      </c>
      <c r="N150" s="487" t="b">
        <f t="shared" si="18"/>
        <v>0</v>
      </c>
      <c r="O150" s="487" t="s">
        <v>764</v>
      </c>
      <c r="P150" s="487" t="s">
        <v>1455</v>
      </c>
      <c r="Q150" s="487"/>
      <c r="R150" s="487" t="str">
        <f t="shared" si="19"/>
        <v/>
      </c>
    </row>
    <row r="151" spans="2:18">
      <c r="B151" s="485" t="s">
        <v>969</v>
      </c>
      <c r="C151" s="485" t="s">
        <v>1004</v>
      </c>
      <c r="D151" s="486" t="s">
        <v>470</v>
      </c>
      <c r="E151" s="485" t="s">
        <v>1370</v>
      </c>
      <c r="F151" s="485" t="s">
        <v>1372</v>
      </c>
      <c r="G151" s="485" t="s">
        <v>873</v>
      </c>
      <c r="H151" s="485" t="s">
        <v>1334</v>
      </c>
      <c r="I151" s="485" t="s">
        <v>1373</v>
      </c>
      <c r="J151" s="487" t="b">
        <f t="shared" si="20"/>
        <v>1</v>
      </c>
      <c r="K151" s="487" t="b">
        <f t="shared" si="16"/>
        <v>1</v>
      </c>
      <c r="L151" s="487" t="b">
        <f>IF(D151="n/a","n/a",ISNUMBER(MATCH(D151,'Measure-Level Adjustments Tab'!D:D,0)))</f>
        <v>1</v>
      </c>
      <c r="M151" s="487" t="b">
        <f t="shared" si="17"/>
        <v>0</v>
      </c>
      <c r="N151" s="487" t="b">
        <f t="shared" si="18"/>
        <v>1</v>
      </c>
      <c r="O151" s="487" t="s">
        <v>764</v>
      </c>
      <c r="P151" s="487" t="s">
        <v>1441</v>
      </c>
      <c r="Q151" s="487"/>
      <c r="R151" s="487" t="str">
        <f t="shared" si="19"/>
        <v/>
      </c>
    </row>
    <row r="152" spans="2:18" hidden="1">
      <c r="B152" s="485" t="s">
        <v>969</v>
      </c>
      <c r="C152" s="485" t="s">
        <v>1004</v>
      </c>
      <c r="D152" s="486" t="s">
        <v>466</v>
      </c>
      <c r="E152" s="485" t="s">
        <v>1011</v>
      </c>
      <c r="F152" s="485" t="s">
        <v>1374</v>
      </c>
      <c r="G152" s="485" t="s">
        <v>900</v>
      </c>
      <c r="H152" s="485" t="s">
        <v>1120</v>
      </c>
      <c r="I152" s="485" t="s">
        <v>1121</v>
      </c>
      <c r="J152" s="487" t="b">
        <f t="shared" si="20"/>
        <v>1</v>
      </c>
      <c r="K152" s="487" t="b">
        <f t="shared" si="16"/>
        <v>1</v>
      </c>
      <c r="L152" s="487" t="b">
        <f>IF(D152="n/a","n/a",ISNUMBER(MATCH(D152,'Measure-Level Adjustments Tab'!D:D,0)))</f>
        <v>1</v>
      </c>
      <c r="M152" s="487" t="b">
        <f t="shared" si="17"/>
        <v>1</v>
      </c>
      <c r="N152" s="487" t="b">
        <f t="shared" si="18"/>
        <v>0</v>
      </c>
      <c r="O152" s="487" t="s">
        <v>764</v>
      </c>
      <c r="P152" s="487" t="s">
        <v>1455</v>
      </c>
      <c r="Q152" s="487"/>
      <c r="R152" s="487" t="str">
        <f t="shared" si="19"/>
        <v/>
      </c>
    </row>
    <row r="153" spans="2:18">
      <c r="B153" s="485" t="s">
        <v>969</v>
      </c>
      <c r="C153" s="485" t="s">
        <v>1004</v>
      </c>
      <c r="D153" s="486" t="s">
        <v>466</v>
      </c>
      <c r="E153" s="485" t="s">
        <v>1011</v>
      </c>
      <c r="F153" s="485" t="s">
        <v>1375</v>
      </c>
      <c r="G153" s="485" t="s">
        <v>873</v>
      </c>
      <c r="H153" s="485" t="s">
        <v>1376</v>
      </c>
      <c r="I153" s="485" t="s">
        <v>1373</v>
      </c>
      <c r="J153" s="487" t="b">
        <f t="shared" si="20"/>
        <v>1</v>
      </c>
      <c r="K153" s="487" t="b">
        <f t="shared" si="16"/>
        <v>1</v>
      </c>
      <c r="L153" s="487" t="b">
        <f>IF(D153="n/a","n/a",ISNUMBER(MATCH(D153,'Measure-Level Adjustments Tab'!D:D,0)))</f>
        <v>1</v>
      </c>
      <c r="M153" s="487" t="b">
        <f t="shared" si="17"/>
        <v>0</v>
      </c>
      <c r="N153" s="487" t="b">
        <f t="shared" si="18"/>
        <v>1</v>
      </c>
      <c r="O153" s="487" t="b">
        <v>1</v>
      </c>
      <c r="P153" s="487" t="s">
        <v>1442</v>
      </c>
      <c r="Q153" s="487" t="s">
        <v>1443</v>
      </c>
      <c r="R153" s="487" t="str">
        <f t="shared" si="19"/>
        <v>Go To Update</v>
      </c>
    </row>
    <row r="154" spans="2:18" hidden="1">
      <c r="B154" s="485" t="s">
        <v>969</v>
      </c>
      <c r="C154" s="485" t="s">
        <v>1004</v>
      </c>
      <c r="D154" s="486" t="s">
        <v>376</v>
      </c>
      <c r="E154" s="485" t="s">
        <v>1377</v>
      </c>
      <c r="F154" s="485" t="s">
        <v>1378</v>
      </c>
      <c r="G154" s="485" t="s">
        <v>873</v>
      </c>
      <c r="H154" s="485" t="s">
        <v>1379</v>
      </c>
      <c r="I154" s="485" t="s">
        <v>872</v>
      </c>
      <c r="J154" s="487" t="b">
        <f t="shared" si="20"/>
        <v>0</v>
      </c>
      <c r="K154" s="487" t="b">
        <f t="shared" si="16"/>
        <v>0</v>
      </c>
      <c r="L154" s="487" t="b">
        <f>IF(D154="n/a","n/a",ISNUMBER(MATCH(D154,'Measure-Level Adjustments Tab'!D:D,0)))</f>
        <v>1</v>
      </c>
      <c r="M154" s="487" t="b">
        <f t="shared" si="17"/>
        <v>0</v>
      </c>
      <c r="N154" s="487" t="b">
        <f t="shared" si="18"/>
        <v>0</v>
      </c>
      <c r="O154" s="487" t="s">
        <v>764</v>
      </c>
      <c r="P154" s="487"/>
      <c r="Q154" s="487"/>
      <c r="R154" s="487" t="str">
        <f t="shared" si="19"/>
        <v/>
      </c>
    </row>
    <row r="155" spans="2:18" hidden="1">
      <c r="B155" s="485" t="s">
        <v>969</v>
      </c>
      <c r="C155" s="485" t="s">
        <v>1004</v>
      </c>
      <c r="D155" s="486" t="s">
        <v>1012</v>
      </c>
      <c r="E155" s="485" t="s">
        <v>1380</v>
      </c>
      <c r="F155" s="485" t="s">
        <v>1381</v>
      </c>
      <c r="G155" s="485" t="s">
        <v>900</v>
      </c>
      <c r="H155" s="485" t="s">
        <v>1120</v>
      </c>
      <c r="I155" s="485" t="s">
        <v>1121</v>
      </c>
      <c r="J155" s="487" t="b">
        <f t="shared" si="20"/>
        <v>1</v>
      </c>
      <c r="K155" s="487" t="b">
        <f t="shared" si="16"/>
        <v>1</v>
      </c>
      <c r="L155" s="487" t="b">
        <f>IF(D155="n/a","n/a",ISNUMBER(MATCH(D155,'Measure-Level Adjustments Tab'!D:D,0)))</f>
        <v>0</v>
      </c>
      <c r="M155" s="487" t="b">
        <f t="shared" si="17"/>
        <v>0</v>
      </c>
      <c r="N155" s="487" t="b">
        <f t="shared" si="18"/>
        <v>0</v>
      </c>
      <c r="O155" s="487" t="s">
        <v>764</v>
      </c>
      <c r="P155" s="487"/>
      <c r="Q155" s="487"/>
      <c r="R155" s="487" t="str">
        <f t="shared" si="19"/>
        <v/>
      </c>
    </row>
    <row r="156" spans="2:18" hidden="1">
      <c r="B156" s="485" t="s">
        <v>969</v>
      </c>
      <c r="C156" s="485" t="s">
        <v>1004</v>
      </c>
      <c r="D156" s="486" t="s">
        <v>1012</v>
      </c>
      <c r="E156" s="485" t="s">
        <v>1380</v>
      </c>
      <c r="F156" s="485" t="s">
        <v>1381</v>
      </c>
      <c r="G156" s="485" t="s">
        <v>900</v>
      </c>
      <c r="H156" s="485" t="s">
        <v>1382</v>
      </c>
      <c r="I156" s="485" t="s">
        <v>1121</v>
      </c>
      <c r="J156" s="487" t="b">
        <f t="shared" si="20"/>
        <v>1</v>
      </c>
      <c r="K156" s="487" t="b">
        <f t="shared" si="16"/>
        <v>1</v>
      </c>
      <c r="L156" s="487" t="b">
        <f>IF(D156="n/a","n/a",ISNUMBER(MATCH(D156,'Measure-Level Adjustments Tab'!D:D,0)))</f>
        <v>0</v>
      </c>
      <c r="M156" s="487" t="b">
        <f t="shared" si="17"/>
        <v>0</v>
      </c>
      <c r="N156" s="487" t="b">
        <f t="shared" si="18"/>
        <v>0</v>
      </c>
      <c r="O156" s="487" t="s">
        <v>764</v>
      </c>
      <c r="P156" s="487"/>
      <c r="Q156" s="487"/>
      <c r="R156" s="487" t="str">
        <f t="shared" si="19"/>
        <v/>
      </c>
    </row>
    <row r="157" spans="2:18" hidden="1">
      <c r="B157" s="485" t="s">
        <v>969</v>
      </c>
      <c r="C157" s="485" t="s">
        <v>1004</v>
      </c>
      <c r="D157" s="486" t="s">
        <v>1014</v>
      </c>
      <c r="E157" s="485" t="s">
        <v>1013</v>
      </c>
      <c r="F157" s="485" t="s">
        <v>1383</v>
      </c>
      <c r="G157" s="485" t="s">
        <v>900</v>
      </c>
      <c r="H157" s="485" t="s">
        <v>1120</v>
      </c>
      <c r="I157" s="485" t="s">
        <v>1121</v>
      </c>
      <c r="J157" s="487" t="b">
        <f t="shared" si="20"/>
        <v>1</v>
      </c>
      <c r="K157" s="487" t="b">
        <f t="shared" si="16"/>
        <v>1</v>
      </c>
      <c r="L157" s="487" t="b">
        <f>IF(D157="n/a","n/a",ISNUMBER(MATCH(D157,'Measure-Level Adjustments Tab'!D:D,0)))</f>
        <v>0</v>
      </c>
      <c r="M157" s="487" t="b">
        <f t="shared" si="17"/>
        <v>0</v>
      </c>
      <c r="N157" s="487" t="b">
        <f t="shared" si="18"/>
        <v>0</v>
      </c>
      <c r="O157" s="487" t="s">
        <v>764</v>
      </c>
      <c r="P157" s="487"/>
      <c r="Q157" s="487"/>
      <c r="R157" s="487" t="str">
        <f t="shared" si="19"/>
        <v/>
      </c>
    </row>
    <row r="158" spans="2:18" hidden="1">
      <c r="B158" s="485" t="s">
        <v>969</v>
      </c>
      <c r="C158" s="485" t="s">
        <v>1004</v>
      </c>
      <c r="D158" s="486" t="s">
        <v>1384</v>
      </c>
      <c r="E158" s="485" t="s">
        <v>1385</v>
      </c>
      <c r="F158" s="485" t="s">
        <v>1386</v>
      </c>
      <c r="G158" s="485" t="s">
        <v>874</v>
      </c>
      <c r="H158" s="485" t="s">
        <v>1387</v>
      </c>
      <c r="I158" s="485" t="s">
        <v>872</v>
      </c>
      <c r="J158" s="487" t="b">
        <f t="shared" si="20"/>
        <v>0</v>
      </c>
      <c r="K158" s="487" t="b">
        <f t="shared" si="16"/>
        <v>0</v>
      </c>
      <c r="L158" s="487" t="b">
        <f>IF(D158="n/a","n/a",ISNUMBER(MATCH(D158,'Measure-Level Adjustments Tab'!D:D,0)))</f>
        <v>0</v>
      </c>
      <c r="M158" s="487" t="b">
        <f t="shared" si="17"/>
        <v>0</v>
      </c>
      <c r="N158" s="487" t="b">
        <f t="shared" si="18"/>
        <v>0</v>
      </c>
      <c r="O158" s="487" t="s">
        <v>764</v>
      </c>
      <c r="P158" s="487"/>
      <c r="Q158" s="487"/>
      <c r="R158" s="487" t="str">
        <f t="shared" si="19"/>
        <v/>
      </c>
    </row>
    <row r="159" spans="2:18" hidden="1">
      <c r="B159" s="485" t="s">
        <v>969</v>
      </c>
      <c r="C159" s="485" t="s">
        <v>1015</v>
      </c>
      <c r="D159" s="486" t="s">
        <v>1017</v>
      </c>
      <c r="E159" s="485" t="s">
        <v>1016</v>
      </c>
      <c r="F159" s="485" t="s">
        <v>872</v>
      </c>
      <c r="G159" s="485" t="s">
        <v>1240</v>
      </c>
      <c r="H159" s="485" t="s">
        <v>1241</v>
      </c>
      <c r="I159" s="485" t="s">
        <v>872</v>
      </c>
      <c r="J159" s="487" t="b">
        <f t="shared" si="20"/>
        <v>0</v>
      </c>
      <c r="K159" s="487" t="b">
        <f t="shared" si="16"/>
        <v>0</v>
      </c>
      <c r="L159" s="487" t="b">
        <f>IF(D159="n/a","n/a",ISNUMBER(MATCH(D159,'Measure-Level Adjustments Tab'!D:D,0)))</f>
        <v>0</v>
      </c>
      <c r="M159" s="487" t="b">
        <f t="shared" si="17"/>
        <v>0</v>
      </c>
      <c r="N159" s="487" t="b">
        <f t="shared" si="18"/>
        <v>0</v>
      </c>
      <c r="O159" s="487" t="s">
        <v>764</v>
      </c>
      <c r="P159" s="487"/>
      <c r="Q159" s="487"/>
      <c r="R159" s="487" t="str">
        <f t="shared" si="19"/>
        <v/>
      </c>
    </row>
    <row r="160" spans="2:18" hidden="1">
      <c r="B160" s="485" t="s">
        <v>969</v>
      </c>
      <c r="C160" s="485" t="s">
        <v>1015</v>
      </c>
      <c r="D160" s="486" t="s">
        <v>1019</v>
      </c>
      <c r="E160" s="488" t="s">
        <v>1018</v>
      </c>
      <c r="F160" s="485" t="s">
        <v>872</v>
      </c>
      <c r="G160" s="485" t="s">
        <v>1240</v>
      </c>
      <c r="H160" s="485" t="s">
        <v>1241</v>
      </c>
      <c r="I160" s="485" t="s">
        <v>872</v>
      </c>
      <c r="J160" s="487" t="b">
        <f t="shared" si="20"/>
        <v>0</v>
      </c>
      <c r="K160" s="487" t="b">
        <f t="shared" si="16"/>
        <v>0</v>
      </c>
      <c r="L160" s="487" t="b">
        <f>IF(D160="n/a","n/a",ISNUMBER(MATCH(D160,'Measure-Level Adjustments Tab'!D:D,0)))</f>
        <v>0</v>
      </c>
      <c r="M160" s="487" t="b">
        <f t="shared" si="17"/>
        <v>0</v>
      </c>
      <c r="N160" s="487" t="b">
        <f t="shared" si="18"/>
        <v>0</v>
      </c>
      <c r="O160" s="487" t="s">
        <v>764</v>
      </c>
      <c r="P160" s="487"/>
      <c r="Q160" s="487"/>
      <c r="R160" s="487" t="str">
        <f t="shared" si="19"/>
        <v/>
      </c>
    </row>
    <row r="161" spans="2:18" hidden="1">
      <c r="B161" s="485" t="s">
        <v>969</v>
      </c>
      <c r="C161" s="485" t="s">
        <v>1015</v>
      </c>
      <c r="D161" s="486" t="s">
        <v>1021</v>
      </c>
      <c r="E161" s="485" t="s">
        <v>1020</v>
      </c>
      <c r="F161" s="485" t="s">
        <v>872</v>
      </c>
      <c r="G161" s="485" t="s">
        <v>1240</v>
      </c>
      <c r="H161" s="485" t="s">
        <v>1241</v>
      </c>
      <c r="I161" s="485" t="s">
        <v>872</v>
      </c>
      <c r="J161" s="487" t="b">
        <f t="shared" si="20"/>
        <v>0</v>
      </c>
      <c r="K161" s="487" t="b">
        <f t="shared" si="16"/>
        <v>0</v>
      </c>
      <c r="L161" s="487" t="b">
        <f>IF(D161="n/a","n/a",ISNUMBER(MATCH(D161,'Measure-Level Adjustments Tab'!D:D,0)))</f>
        <v>0</v>
      </c>
      <c r="M161" s="487" t="b">
        <f t="shared" si="17"/>
        <v>0</v>
      </c>
      <c r="N161" s="487" t="b">
        <f t="shared" si="18"/>
        <v>0</v>
      </c>
      <c r="O161" s="487" t="s">
        <v>764</v>
      </c>
      <c r="P161" s="487"/>
      <c r="Q161" s="487"/>
      <c r="R161" s="487" t="str">
        <f t="shared" si="19"/>
        <v/>
      </c>
    </row>
    <row r="162" spans="2:18" hidden="1">
      <c r="B162" s="485" t="s">
        <v>969</v>
      </c>
      <c r="C162" s="485" t="s">
        <v>1015</v>
      </c>
      <c r="D162" s="486" t="s">
        <v>1022</v>
      </c>
      <c r="E162" s="485" t="s">
        <v>1388</v>
      </c>
      <c r="F162" s="485" t="s">
        <v>872</v>
      </c>
      <c r="G162" s="485" t="s">
        <v>1240</v>
      </c>
      <c r="H162" s="485" t="s">
        <v>1241</v>
      </c>
      <c r="I162" s="485" t="s">
        <v>872</v>
      </c>
      <c r="J162" s="487" t="b">
        <f t="shared" si="20"/>
        <v>0</v>
      </c>
      <c r="K162" s="487" t="b">
        <f t="shared" si="16"/>
        <v>0</v>
      </c>
      <c r="L162" s="487" t="b">
        <f>IF(D162="n/a","n/a",ISNUMBER(MATCH(D162,'Measure-Level Adjustments Tab'!D:D,0)))</f>
        <v>0</v>
      </c>
      <c r="M162" s="487" t="b">
        <f t="shared" si="17"/>
        <v>0</v>
      </c>
      <c r="N162" s="487" t="b">
        <f t="shared" si="18"/>
        <v>0</v>
      </c>
      <c r="O162" s="487" t="s">
        <v>764</v>
      </c>
      <c r="P162" s="487"/>
      <c r="Q162" s="487"/>
      <c r="R162" s="487" t="str">
        <f t="shared" si="19"/>
        <v/>
      </c>
    </row>
    <row r="163" spans="2:18" hidden="1">
      <c r="B163" s="485" t="s">
        <v>969</v>
      </c>
      <c r="C163" s="485" t="s">
        <v>1015</v>
      </c>
      <c r="D163" s="486" t="s">
        <v>1024</v>
      </c>
      <c r="E163" s="488" t="s">
        <v>1023</v>
      </c>
      <c r="F163" s="485" t="s">
        <v>872</v>
      </c>
      <c r="G163" s="485" t="s">
        <v>1240</v>
      </c>
      <c r="H163" s="485" t="s">
        <v>1241</v>
      </c>
      <c r="I163" s="485" t="s">
        <v>872</v>
      </c>
      <c r="J163" s="487" t="b">
        <f t="shared" si="20"/>
        <v>0</v>
      </c>
      <c r="K163" s="487" t="b">
        <f t="shared" si="16"/>
        <v>0</v>
      </c>
      <c r="L163" s="487" t="b">
        <f>IF(D163="n/a","n/a",ISNUMBER(MATCH(D163,'Measure-Level Adjustments Tab'!D:D,0)))</f>
        <v>0</v>
      </c>
      <c r="M163" s="487" t="b">
        <f t="shared" si="17"/>
        <v>0</v>
      </c>
      <c r="N163" s="487" t="b">
        <f t="shared" si="18"/>
        <v>0</v>
      </c>
      <c r="O163" s="487" t="s">
        <v>764</v>
      </c>
      <c r="P163" s="487"/>
      <c r="Q163" s="487"/>
      <c r="R163" s="487" t="str">
        <f t="shared" si="19"/>
        <v/>
      </c>
    </row>
    <row r="164" spans="2:18" hidden="1">
      <c r="B164" s="485" t="s">
        <v>969</v>
      </c>
      <c r="C164" s="485" t="s">
        <v>1015</v>
      </c>
      <c r="D164" s="486" t="s">
        <v>1026</v>
      </c>
      <c r="E164" s="488" t="s">
        <v>1025</v>
      </c>
      <c r="F164" s="485" t="s">
        <v>1389</v>
      </c>
      <c r="G164" s="485" t="s">
        <v>873</v>
      </c>
      <c r="H164" s="485" t="s">
        <v>1427</v>
      </c>
      <c r="I164" s="485" t="s">
        <v>1390</v>
      </c>
      <c r="J164" s="487" t="b">
        <f t="shared" si="20"/>
        <v>1</v>
      </c>
      <c r="K164" s="487" t="b">
        <f t="shared" si="16"/>
        <v>1</v>
      </c>
      <c r="L164" s="487" t="b">
        <f>IF(D164="n/a","n/a",ISNUMBER(MATCH(D164,'Measure-Level Adjustments Tab'!D:D,0)))</f>
        <v>0</v>
      </c>
      <c r="M164" s="487" t="b">
        <f t="shared" si="17"/>
        <v>0</v>
      </c>
      <c r="N164" s="487" t="b">
        <f t="shared" si="18"/>
        <v>0</v>
      </c>
      <c r="O164" s="487" t="s">
        <v>764</v>
      </c>
      <c r="P164" s="487"/>
      <c r="Q164" s="487"/>
      <c r="R164" s="487" t="str">
        <f t="shared" si="19"/>
        <v/>
      </c>
    </row>
    <row r="165" spans="2:18" hidden="1">
      <c r="B165" s="485" t="s">
        <v>969</v>
      </c>
      <c r="C165" s="485" t="s">
        <v>1015</v>
      </c>
      <c r="D165" s="486" t="s">
        <v>1028</v>
      </c>
      <c r="E165" s="488" t="s">
        <v>1027</v>
      </c>
      <c r="F165" s="485" t="s">
        <v>1391</v>
      </c>
      <c r="G165" s="485" t="s">
        <v>873</v>
      </c>
      <c r="H165" s="485" t="s">
        <v>1428</v>
      </c>
      <c r="I165" s="485" t="s">
        <v>1390</v>
      </c>
      <c r="J165" s="487" t="b">
        <f t="shared" si="20"/>
        <v>1</v>
      </c>
      <c r="K165" s="487" t="b">
        <f t="shared" si="16"/>
        <v>1</v>
      </c>
      <c r="L165" s="487" t="b">
        <f>IF(D165="n/a","n/a",ISNUMBER(MATCH(D165,'Measure-Level Adjustments Tab'!D:D,0)))</f>
        <v>0</v>
      </c>
      <c r="M165" s="487" t="b">
        <f t="shared" si="17"/>
        <v>0</v>
      </c>
      <c r="N165" s="487" t="b">
        <f t="shared" si="18"/>
        <v>0</v>
      </c>
      <c r="O165" s="487" t="s">
        <v>764</v>
      </c>
      <c r="P165" s="487"/>
      <c r="Q165" s="487"/>
      <c r="R165" s="487" t="str">
        <f t="shared" si="19"/>
        <v/>
      </c>
    </row>
    <row r="166" spans="2:18" hidden="1">
      <c r="B166" s="485" t="s">
        <v>969</v>
      </c>
      <c r="C166" s="485" t="s">
        <v>1015</v>
      </c>
      <c r="D166" s="486" t="s">
        <v>1030</v>
      </c>
      <c r="E166" s="488" t="s">
        <v>1029</v>
      </c>
      <c r="F166" s="485" t="s">
        <v>1392</v>
      </c>
      <c r="G166" s="485" t="s">
        <v>873</v>
      </c>
      <c r="H166" s="485" t="s">
        <v>1429</v>
      </c>
      <c r="I166" s="485" t="s">
        <v>1390</v>
      </c>
      <c r="J166" s="487" t="b">
        <f t="shared" si="20"/>
        <v>1</v>
      </c>
      <c r="K166" s="487" t="b">
        <f t="shared" si="16"/>
        <v>1</v>
      </c>
      <c r="L166" s="487" t="b">
        <f>IF(D166="n/a","n/a",ISNUMBER(MATCH(D166,'Measure-Level Adjustments Tab'!D:D,0)))</f>
        <v>0</v>
      </c>
      <c r="M166" s="487" t="b">
        <f t="shared" si="17"/>
        <v>0</v>
      </c>
      <c r="N166" s="487" t="b">
        <f t="shared" si="18"/>
        <v>0</v>
      </c>
      <c r="O166" s="487" t="s">
        <v>764</v>
      </c>
      <c r="P166" s="487"/>
      <c r="Q166" s="487"/>
      <c r="R166" s="487" t="str">
        <f t="shared" si="19"/>
        <v/>
      </c>
    </row>
    <row r="167" spans="2:18" hidden="1">
      <c r="B167" s="485" t="s">
        <v>969</v>
      </c>
      <c r="C167" s="485" t="s">
        <v>1015</v>
      </c>
      <c r="D167" s="486" t="s">
        <v>1032</v>
      </c>
      <c r="E167" s="488" t="s">
        <v>1031</v>
      </c>
      <c r="F167" s="485" t="s">
        <v>1393</v>
      </c>
      <c r="G167" s="485" t="s">
        <v>873</v>
      </c>
      <c r="H167" s="485" t="s">
        <v>1394</v>
      </c>
      <c r="I167" s="485" t="s">
        <v>901</v>
      </c>
      <c r="J167" s="487" t="b">
        <f t="shared" si="20"/>
        <v>1</v>
      </c>
      <c r="K167" s="487" t="b">
        <f t="shared" ref="K167:K184" si="21">COUNTIFS(D:D,D167,J:J,TRUE)&gt;0</f>
        <v>1</v>
      </c>
      <c r="L167" s="487" t="b">
        <f>IF(D167="n/a","n/a",ISNUMBER(MATCH(D167,'Measure-Level Adjustments Tab'!D:D,0)))</f>
        <v>0</v>
      </c>
      <c r="M167" s="487" t="b">
        <f t="shared" si="17"/>
        <v>0</v>
      </c>
      <c r="N167" s="487" t="b">
        <f t="shared" si="18"/>
        <v>0</v>
      </c>
      <c r="O167" s="487" t="s">
        <v>764</v>
      </c>
      <c r="P167" s="487"/>
      <c r="Q167" s="487"/>
      <c r="R167" s="487" t="str">
        <f t="shared" si="19"/>
        <v/>
      </c>
    </row>
    <row r="168" spans="2:18" hidden="1">
      <c r="B168" s="485" t="s">
        <v>969</v>
      </c>
      <c r="C168" s="485" t="s">
        <v>1015</v>
      </c>
      <c r="D168" s="486" t="s">
        <v>1395</v>
      </c>
      <c r="E168" s="488" t="s">
        <v>1396</v>
      </c>
      <c r="F168" s="485" t="s">
        <v>1397</v>
      </c>
      <c r="G168" s="485" t="s">
        <v>874</v>
      </c>
      <c r="H168" s="485" t="s">
        <v>955</v>
      </c>
      <c r="I168" s="485" t="s">
        <v>872</v>
      </c>
      <c r="J168" s="487" t="b">
        <f t="shared" si="20"/>
        <v>0</v>
      </c>
      <c r="K168" s="487" t="b">
        <f t="shared" si="21"/>
        <v>0</v>
      </c>
      <c r="L168" s="487" t="b">
        <f>IF(D168="n/a","n/a",ISNUMBER(MATCH(D168,'Measure-Level Adjustments Tab'!D:D,0)))</f>
        <v>0</v>
      </c>
      <c r="M168" s="487" t="b">
        <f t="shared" si="17"/>
        <v>0</v>
      </c>
      <c r="N168" s="487" t="b">
        <f t="shared" si="18"/>
        <v>0</v>
      </c>
      <c r="O168" s="487" t="s">
        <v>764</v>
      </c>
      <c r="P168" s="487"/>
      <c r="Q168" s="487"/>
      <c r="R168" s="487" t="str">
        <f t="shared" si="19"/>
        <v/>
      </c>
    </row>
    <row r="169" spans="2:18" hidden="1">
      <c r="B169" s="485" t="s">
        <v>969</v>
      </c>
      <c r="C169" s="485" t="s">
        <v>1033</v>
      </c>
      <c r="D169" s="486" t="s">
        <v>438</v>
      </c>
      <c r="E169" s="485" t="s">
        <v>1034</v>
      </c>
      <c r="F169" s="485" t="s">
        <v>1398</v>
      </c>
      <c r="G169" s="485" t="s">
        <v>873</v>
      </c>
      <c r="H169" s="485" t="s">
        <v>1399</v>
      </c>
      <c r="I169" s="485" t="s">
        <v>872</v>
      </c>
      <c r="J169" s="487" t="b">
        <f t="shared" si="20"/>
        <v>0</v>
      </c>
      <c r="K169" s="487" t="b">
        <f t="shared" si="21"/>
        <v>1</v>
      </c>
      <c r="L169" s="487" t="b">
        <f>IF(D169="n/a","n/a",ISNUMBER(MATCH(D169,'Measure-Level Adjustments Tab'!D:D,0)))</f>
        <v>1</v>
      </c>
      <c r="M169" s="487" t="b">
        <f t="shared" si="17"/>
        <v>0</v>
      </c>
      <c r="N169" s="487" t="b">
        <f t="shared" si="18"/>
        <v>0</v>
      </c>
      <c r="O169" s="487" t="s">
        <v>764</v>
      </c>
      <c r="P169" s="487"/>
      <c r="Q169" s="487"/>
      <c r="R169" s="487" t="str">
        <f t="shared" si="19"/>
        <v/>
      </c>
    </row>
    <row r="170" spans="2:18">
      <c r="B170" s="485" t="s">
        <v>969</v>
      </c>
      <c r="C170" s="485" t="s">
        <v>1033</v>
      </c>
      <c r="D170" s="486" t="s">
        <v>438</v>
      </c>
      <c r="E170" s="485" t="s">
        <v>1034</v>
      </c>
      <c r="F170" s="485" t="s">
        <v>1398</v>
      </c>
      <c r="G170" s="485" t="s">
        <v>873</v>
      </c>
      <c r="H170" s="485" t="s">
        <v>1400</v>
      </c>
      <c r="I170" s="485" t="s">
        <v>872</v>
      </c>
      <c r="J170" s="487" t="b">
        <v>1</v>
      </c>
      <c r="K170" s="487" t="b">
        <f t="shared" si="21"/>
        <v>1</v>
      </c>
      <c r="L170" s="487" t="b">
        <f>IF(D170="n/a","n/a",ISNUMBER(MATCH(D170,'Measure-Level Adjustments Tab'!D:D,0)))</f>
        <v>1</v>
      </c>
      <c r="M170" s="487" t="b">
        <f t="shared" si="17"/>
        <v>0</v>
      </c>
      <c r="N170" s="487" t="b">
        <f t="shared" si="18"/>
        <v>1</v>
      </c>
      <c r="O170" s="487" t="b">
        <v>1</v>
      </c>
      <c r="P170" s="487" t="s">
        <v>1447</v>
      </c>
      <c r="Q170" s="487" t="s">
        <v>1458</v>
      </c>
      <c r="R170" s="487" t="str">
        <f t="shared" si="19"/>
        <v>Go To Update</v>
      </c>
    </row>
    <row r="171" spans="2:18" hidden="1">
      <c r="B171" s="485" t="s">
        <v>969</v>
      </c>
      <c r="C171" s="485" t="s">
        <v>1033</v>
      </c>
      <c r="D171" s="486" t="s">
        <v>438</v>
      </c>
      <c r="E171" s="485" t="s">
        <v>1034</v>
      </c>
      <c r="F171" s="485" t="s">
        <v>1398</v>
      </c>
      <c r="G171" s="485" t="s">
        <v>873</v>
      </c>
      <c r="H171" s="485" t="s">
        <v>1401</v>
      </c>
      <c r="I171" s="485" t="s">
        <v>872</v>
      </c>
      <c r="J171" s="487" t="b">
        <f t="shared" si="20"/>
        <v>0</v>
      </c>
      <c r="K171" s="487" t="b">
        <f t="shared" si="21"/>
        <v>1</v>
      </c>
      <c r="L171" s="487" t="b">
        <f>IF(D171="n/a","n/a",ISNUMBER(MATCH(D171,'Measure-Level Adjustments Tab'!D:D,0)))</f>
        <v>1</v>
      </c>
      <c r="M171" s="487" t="b">
        <f t="shared" si="17"/>
        <v>0</v>
      </c>
      <c r="N171" s="487" t="b">
        <f t="shared" si="18"/>
        <v>0</v>
      </c>
      <c r="O171" s="487" t="s">
        <v>764</v>
      </c>
      <c r="P171" s="487"/>
      <c r="Q171" s="487"/>
      <c r="R171" s="487" t="str">
        <f t="shared" si="19"/>
        <v/>
      </c>
    </row>
    <row r="172" spans="2:18" hidden="1">
      <c r="B172" s="485" t="s">
        <v>969</v>
      </c>
      <c r="C172" s="485" t="s">
        <v>1033</v>
      </c>
      <c r="D172" s="486" t="s">
        <v>431</v>
      </c>
      <c r="E172" s="485" t="s">
        <v>1036</v>
      </c>
      <c r="F172" s="485" t="s">
        <v>1402</v>
      </c>
      <c r="G172" s="485" t="s">
        <v>873</v>
      </c>
      <c r="H172" s="485" t="s">
        <v>1401</v>
      </c>
      <c r="I172" s="485" t="s">
        <v>872</v>
      </c>
      <c r="J172" s="487" t="b">
        <f t="shared" si="20"/>
        <v>0</v>
      </c>
      <c r="K172" s="487" t="b">
        <f t="shared" si="21"/>
        <v>0</v>
      </c>
      <c r="L172" s="487" t="b">
        <f>IF(D172="n/a","n/a",ISNUMBER(MATCH(D172,'Measure-Level Adjustments Tab'!D:D,0)))</f>
        <v>1</v>
      </c>
      <c r="M172" s="487" t="b">
        <f t="shared" si="17"/>
        <v>0</v>
      </c>
      <c r="N172" s="487" t="b">
        <f t="shared" si="18"/>
        <v>0</v>
      </c>
      <c r="O172" s="487" t="s">
        <v>764</v>
      </c>
      <c r="P172" s="487"/>
      <c r="Q172" s="487"/>
      <c r="R172" s="487" t="str">
        <f t="shared" si="19"/>
        <v/>
      </c>
    </row>
    <row r="173" spans="2:18" hidden="1">
      <c r="B173" s="485" t="s">
        <v>969</v>
      </c>
      <c r="C173" s="485" t="s">
        <v>1033</v>
      </c>
      <c r="D173" s="486" t="s">
        <v>1037</v>
      </c>
      <c r="E173" s="485" t="s">
        <v>1403</v>
      </c>
      <c r="F173" s="485" t="s">
        <v>1404</v>
      </c>
      <c r="G173" s="485" t="s">
        <v>900</v>
      </c>
      <c r="H173" s="485" t="s">
        <v>1405</v>
      </c>
      <c r="I173" s="485" t="s">
        <v>880</v>
      </c>
      <c r="J173" s="487" t="b">
        <f t="shared" si="20"/>
        <v>1</v>
      </c>
      <c r="K173" s="487" t="b">
        <f t="shared" si="21"/>
        <v>1</v>
      </c>
      <c r="L173" s="487" t="b">
        <f>IF(D173="n/a","n/a",ISNUMBER(MATCH(D173,'Measure-Level Adjustments Tab'!D:D,0)))</f>
        <v>0</v>
      </c>
      <c r="M173" s="487" t="b">
        <f t="shared" si="17"/>
        <v>0</v>
      </c>
      <c r="N173" s="487" t="b">
        <f t="shared" si="18"/>
        <v>0</v>
      </c>
      <c r="O173" s="487" t="s">
        <v>764</v>
      </c>
      <c r="P173" s="487"/>
      <c r="Q173" s="487"/>
      <c r="R173" s="487" t="str">
        <f t="shared" si="19"/>
        <v/>
      </c>
    </row>
    <row r="174" spans="2:18" hidden="1">
      <c r="B174" s="485" t="s">
        <v>969</v>
      </c>
      <c r="C174" s="485" t="s">
        <v>1033</v>
      </c>
      <c r="D174" s="486" t="s">
        <v>1037</v>
      </c>
      <c r="E174" s="485" t="s">
        <v>1403</v>
      </c>
      <c r="F174" s="485" t="s">
        <v>1406</v>
      </c>
      <c r="G174" s="485" t="s">
        <v>873</v>
      </c>
      <c r="H174" s="485" t="s">
        <v>1401</v>
      </c>
      <c r="I174" s="485" t="s">
        <v>872</v>
      </c>
      <c r="J174" s="487" t="b">
        <f t="shared" si="20"/>
        <v>0</v>
      </c>
      <c r="K174" s="487" t="b">
        <f t="shared" si="21"/>
        <v>1</v>
      </c>
      <c r="L174" s="487" t="b">
        <f>IF(D174="n/a","n/a",ISNUMBER(MATCH(D174,'Measure-Level Adjustments Tab'!D:D,0)))</f>
        <v>0</v>
      </c>
      <c r="M174" s="487" t="b">
        <f t="shared" si="17"/>
        <v>0</v>
      </c>
      <c r="N174" s="487" t="b">
        <f t="shared" si="18"/>
        <v>0</v>
      </c>
      <c r="O174" s="487" t="s">
        <v>764</v>
      </c>
      <c r="P174" s="487"/>
      <c r="Q174" s="487"/>
      <c r="R174" s="487" t="str">
        <f t="shared" si="19"/>
        <v/>
      </c>
    </row>
    <row r="175" spans="2:18" hidden="1">
      <c r="B175" s="485" t="s">
        <v>969</v>
      </c>
      <c r="C175" s="485" t="s">
        <v>1033</v>
      </c>
      <c r="D175" s="486" t="s">
        <v>417</v>
      </c>
      <c r="E175" s="485" t="s">
        <v>1038</v>
      </c>
      <c r="F175" s="485" t="s">
        <v>1407</v>
      </c>
      <c r="G175" s="485" t="s">
        <v>873</v>
      </c>
      <c r="H175" s="485" t="s">
        <v>1401</v>
      </c>
      <c r="I175" s="485" t="s">
        <v>872</v>
      </c>
      <c r="J175" s="487" t="b">
        <f t="shared" si="20"/>
        <v>0</v>
      </c>
      <c r="K175" s="487" t="b">
        <f t="shared" si="21"/>
        <v>0</v>
      </c>
      <c r="L175" s="487" t="b">
        <f>IF(D175="n/a","n/a",ISNUMBER(MATCH(D175,'Measure-Level Adjustments Tab'!D:D,0)))</f>
        <v>1</v>
      </c>
      <c r="M175" s="487" t="b">
        <f t="shared" si="17"/>
        <v>0</v>
      </c>
      <c r="N175" s="487" t="b">
        <f t="shared" si="18"/>
        <v>0</v>
      </c>
      <c r="O175" s="487" t="s">
        <v>764</v>
      </c>
      <c r="P175" s="487"/>
      <c r="Q175" s="487"/>
      <c r="R175" s="487" t="str">
        <f t="shared" si="19"/>
        <v/>
      </c>
    </row>
    <row r="176" spans="2:18">
      <c r="B176" s="485" t="s">
        <v>969</v>
      </c>
      <c r="C176" s="485" t="s">
        <v>1033</v>
      </c>
      <c r="D176" s="486" t="s">
        <v>853</v>
      </c>
      <c r="E176" s="485" t="s">
        <v>1040</v>
      </c>
      <c r="F176" s="485" t="s">
        <v>1408</v>
      </c>
      <c r="G176" s="485" t="s">
        <v>873</v>
      </c>
      <c r="H176" s="485" t="s">
        <v>1400</v>
      </c>
      <c r="I176" s="485" t="s">
        <v>880</v>
      </c>
      <c r="J176" s="487" t="b">
        <f t="shared" si="20"/>
        <v>1</v>
      </c>
      <c r="K176" s="487" t="b">
        <f t="shared" si="21"/>
        <v>1</v>
      </c>
      <c r="L176" s="487" t="b">
        <f>IF(D176="n/a","n/a",ISNUMBER(MATCH(D176,'Measure-Level Adjustments Tab'!D:D,0)))</f>
        <v>1</v>
      </c>
      <c r="M176" s="487" t="b">
        <f t="shared" si="17"/>
        <v>0</v>
      </c>
      <c r="N176" s="487" t="b">
        <f t="shared" si="18"/>
        <v>1</v>
      </c>
      <c r="O176" s="487" t="b">
        <v>1</v>
      </c>
      <c r="P176" s="487" t="s">
        <v>1447</v>
      </c>
      <c r="Q176" s="500" t="s">
        <v>1449</v>
      </c>
      <c r="R176" s="487" t="str">
        <f t="shared" si="19"/>
        <v>Go To Update</v>
      </c>
    </row>
    <row r="177" spans="2:18">
      <c r="B177" s="485" t="s">
        <v>969</v>
      </c>
      <c r="C177" s="485" t="s">
        <v>1033</v>
      </c>
      <c r="D177" s="486" t="s">
        <v>853</v>
      </c>
      <c r="E177" s="485" t="s">
        <v>1040</v>
      </c>
      <c r="F177" s="485" t="s">
        <v>1408</v>
      </c>
      <c r="G177" s="485" t="s">
        <v>873</v>
      </c>
      <c r="H177" s="485" t="s">
        <v>1409</v>
      </c>
      <c r="I177" s="485" t="s">
        <v>880</v>
      </c>
      <c r="J177" s="487" t="b">
        <f t="shared" si="20"/>
        <v>1</v>
      </c>
      <c r="K177" s="487" t="b">
        <f t="shared" si="21"/>
        <v>1</v>
      </c>
      <c r="L177" s="487" t="b">
        <f>IF(D177="n/a","n/a",ISNUMBER(MATCH(D177,'Measure-Level Adjustments Tab'!D:D,0)))</f>
        <v>1</v>
      </c>
      <c r="M177" s="487" t="b">
        <f t="shared" si="17"/>
        <v>0</v>
      </c>
      <c r="N177" s="487" t="b">
        <f t="shared" si="18"/>
        <v>1</v>
      </c>
      <c r="O177" s="487" t="s">
        <v>764</v>
      </c>
      <c r="P177" s="487" t="s">
        <v>1448</v>
      </c>
      <c r="Q177" s="487"/>
      <c r="R177" s="487" t="str">
        <f t="shared" si="19"/>
        <v/>
      </c>
    </row>
    <row r="178" spans="2:18">
      <c r="B178" s="485" t="s">
        <v>969</v>
      </c>
      <c r="C178" s="485" t="s">
        <v>1033</v>
      </c>
      <c r="D178" s="486" t="s">
        <v>853</v>
      </c>
      <c r="E178" s="485" t="s">
        <v>1040</v>
      </c>
      <c r="F178" s="485" t="s">
        <v>1408</v>
      </c>
      <c r="G178" s="485" t="s">
        <v>873</v>
      </c>
      <c r="H178" s="485" t="s">
        <v>1401</v>
      </c>
      <c r="I178" s="485" t="s">
        <v>880</v>
      </c>
      <c r="J178" s="487" t="b">
        <f t="shared" si="20"/>
        <v>1</v>
      </c>
      <c r="K178" s="487" t="b">
        <f t="shared" si="21"/>
        <v>1</v>
      </c>
      <c r="L178" s="487" t="b">
        <f>IF(D178="n/a","n/a",ISNUMBER(MATCH(D178,'Measure-Level Adjustments Tab'!D:D,0)))</f>
        <v>1</v>
      </c>
      <c r="M178" s="487" t="b">
        <f t="shared" si="17"/>
        <v>0</v>
      </c>
      <c r="N178" s="487" t="b">
        <f t="shared" si="18"/>
        <v>1</v>
      </c>
      <c r="O178" s="487" t="s">
        <v>764</v>
      </c>
      <c r="P178" s="487" t="s">
        <v>1440</v>
      </c>
      <c r="Q178" s="487"/>
      <c r="R178" s="487" t="str">
        <f t="shared" si="19"/>
        <v/>
      </c>
    </row>
    <row r="179" spans="2:18" hidden="1">
      <c r="B179" s="485" t="s">
        <v>969</v>
      </c>
      <c r="C179" s="485" t="s">
        <v>1033</v>
      </c>
      <c r="D179" s="486" t="s">
        <v>852</v>
      </c>
      <c r="E179" s="485" t="s">
        <v>1042</v>
      </c>
      <c r="F179" s="485" t="s">
        <v>1410</v>
      </c>
      <c r="G179" s="485" t="s">
        <v>873</v>
      </c>
      <c r="H179" s="485" t="s">
        <v>1401</v>
      </c>
      <c r="I179" s="485" t="s">
        <v>872</v>
      </c>
      <c r="J179" s="487" t="b">
        <f t="shared" si="20"/>
        <v>0</v>
      </c>
      <c r="K179" s="487" t="b">
        <f t="shared" si="21"/>
        <v>0</v>
      </c>
      <c r="L179" s="487" t="b">
        <f>IF(D179="n/a","n/a",ISNUMBER(MATCH(D179,'Measure-Level Adjustments Tab'!D:D,0)))</f>
        <v>1</v>
      </c>
      <c r="M179" s="487" t="b">
        <f t="shared" si="17"/>
        <v>0</v>
      </c>
      <c r="N179" s="487" t="b">
        <f t="shared" si="18"/>
        <v>0</v>
      </c>
      <c r="O179" s="487" t="s">
        <v>764</v>
      </c>
      <c r="P179" s="487"/>
      <c r="Q179" s="487"/>
      <c r="R179" s="487" t="str">
        <f t="shared" si="19"/>
        <v/>
      </c>
    </row>
    <row r="180" spans="2:18" hidden="1">
      <c r="B180" s="485" t="s">
        <v>969</v>
      </c>
      <c r="C180" s="485" t="s">
        <v>1044</v>
      </c>
      <c r="D180" s="486" t="s">
        <v>1411</v>
      </c>
      <c r="E180" s="485" t="s">
        <v>1412</v>
      </c>
      <c r="F180" s="485" t="s">
        <v>1413</v>
      </c>
      <c r="G180" s="485" t="s">
        <v>874</v>
      </c>
      <c r="H180" s="485" t="s">
        <v>929</v>
      </c>
      <c r="I180" s="485" t="s">
        <v>872</v>
      </c>
      <c r="J180" s="487" t="b">
        <f t="shared" si="20"/>
        <v>0</v>
      </c>
      <c r="K180" s="487" t="b">
        <f t="shared" si="21"/>
        <v>0</v>
      </c>
      <c r="L180" s="487" t="b">
        <f>IF(D180="n/a","n/a",ISNUMBER(MATCH(D180,'Measure-Level Adjustments Tab'!D:D,0)))</f>
        <v>0</v>
      </c>
      <c r="M180" s="487" t="b">
        <f t="shared" si="17"/>
        <v>0</v>
      </c>
      <c r="N180" s="487" t="b">
        <f t="shared" si="18"/>
        <v>0</v>
      </c>
      <c r="O180" s="487" t="s">
        <v>764</v>
      </c>
      <c r="P180" s="487"/>
      <c r="Q180" s="487"/>
      <c r="R180" s="487" t="str">
        <f t="shared" si="19"/>
        <v/>
      </c>
    </row>
    <row r="181" spans="2:18" hidden="1">
      <c r="B181" s="485" t="s">
        <v>1045</v>
      </c>
      <c r="C181" s="485" t="s">
        <v>1414</v>
      </c>
      <c r="D181" s="486" t="s">
        <v>764</v>
      </c>
      <c r="E181" s="488" t="s">
        <v>1415</v>
      </c>
      <c r="F181" s="485" t="s">
        <v>872</v>
      </c>
      <c r="G181" s="485" t="s">
        <v>873</v>
      </c>
      <c r="H181" s="488" t="s">
        <v>1416</v>
      </c>
      <c r="I181" s="485" t="s">
        <v>872</v>
      </c>
      <c r="J181" s="487" t="b">
        <f t="shared" si="20"/>
        <v>0</v>
      </c>
      <c r="K181" s="487" t="b">
        <f t="shared" si="21"/>
        <v>0</v>
      </c>
      <c r="L181" s="487" t="str">
        <f>IF(D181="n/a","n/a",ISNUMBER(MATCH(D181,'Measure-Level Adjustments Tab'!D:D,0)))</f>
        <v>n/a</v>
      </c>
      <c r="M181" s="487" t="b">
        <f t="shared" si="17"/>
        <v>0</v>
      </c>
      <c r="N181" s="487" t="b">
        <f t="shared" si="18"/>
        <v>0</v>
      </c>
      <c r="O181" s="487" t="s">
        <v>764</v>
      </c>
      <c r="P181" s="487"/>
      <c r="Q181" s="487"/>
      <c r="R181" s="487" t="str">
        <f t="shared" si="19"/>
        <v/>
      </c>
    </row>
    <row r="182" spans="2:18" hidden="1">
      <c r="B182" s="485" t="s">
        <v>1045</v>
      </c>
      <c r="C182" s="485" t="s">
        <v>1414</v>
      </c>
      <c r="D182" s="486" t="s">
        <v>764</v>
      </c>
      <c r="E182" s="488" t="s">
        <v>1415</v>
      </c>
      <c r="F182" s="485" t="s">
        <v>872</v>
      </c>
      <c r="G182" s="485" t="s">
        <v>873</v>
      </c>
      <c r="H182" s="488" t="s">
        <v>1417</v>
      </c>
      <c r="I182" s="485" t="s">
        <v>872</v>
      </c>
      <c r="J182" s="487" t="b">
        <f t="shared" si="20"/>
        <v>0</v>
      </c>
      <c r="K182" s="487" t="b">
        <f t="shared" si="21"/>
        <v>0</v>
      </c>
      <c r="L182" s="487" t="str">
        <f>IF(D182="n/a","n/a",ISNUMBER(MATCH(D182,'Measure-Level Adjustments Tab'!D:D,0)))</f>
        <v>n/a</v>
      </c>
      <c r="M182" s="487" t="b">
        <f t="shared" si="17"/>
        <v>0</v>
      </c>
      <c r="N182" s="487" t="b">
        <f t="shared" si="18"/>
        <v>0</v>
      </c>
      <c r="O182" s="487" t="s">
        <v>764</v>
      </c>
      <c r="P182" s="487"/>
      <c r="Q182" s="487"/>
      <c r="R182" s="487" t="str">
        <f t="shared" si="19"/>
        <v/>
      </c>
    </row>
    <row r="183" spans="2:18" hidden="1">
      <c r="B183" s="485" t="s">
        <v>1045</v>
      </c>
      <c r="C183" s="485" t="s">
        <v>1414</v>
      </c>
      <c r="D183" s="486" t="s">
        <v>764</v>
      </c>
      <c r="E183" s="488" t="s">
        <v>1415</v>
      </c>
      <c r="F183" s="485" t="s">
        <v>872</v>
      </c>
      <c r="G183" s="485" t="s">
        <v>873</v>
      </c>
      <c r="H183" s="488" t="s">
        <v>1418</v>
      </c>
      <c r="I183" s="485" t="s">
        <v>872</v>
      </c>
      <c r="J183" s="487" t="b">
        <f t="shared" si="20"/>
        <v>0</v>
      </c>
      <c r="K183" s="487" t="b">
        <f t="shared" si="21"/>
        <v>0</v>
      </c>
      <c r="L183" s="487" t="str">
        <f>IF(D183="n/a","n/a",ISNUMBER(MATCH(D183,'Measure-Level Adjustments Tab'!D:D,0)))</f>
        <v>n/a</v>
      </c>
      <c r="M183" s="487" t="b">
        <f t="shared" si="17"/>
        <v>0</v>
      </c>
      <c r="N183" s="487" t="b">
        <f t="shared" si="18"/>
        <v>0</v>
      </c>
      <c r="O183" s="487" t="s">
        <v>764</v>
      </c>
      <c r="P183" s="487"/>
      <c r="Q183" s="487"/>
      <c r="R183" s="487" t="str">
        <f t="shared" si="19"/>
        <v/>
      </c>
    </row>
    <row r="184" spans="2:18" hidden="1">
      <c r="B184" s="485" t="s">
        <v>1045</v>
      </c>
      <c r="C184" s="485" t="s">
        <v>1419</v>
      </c>
      <c r="D184" s="486" t="s">
        <v>764</v>
      </c>
      <c r="E184" s="488" t="s">
        <v>1420</v>
      </c>
      <c r="F184" s="485" t="s">
        <v>872</v>
      </c>
      <c r="G184" s="485" t="s">
        <v>874</v>
      </c>
      <c r="H184" s="488" t="s">
        <v>1421</v>
      </c>
      <c r="I184" s="485" t="s">
        <v>872</v>
      </c>
      <c r="J184" s="487" t="b">
        <f t="shared" si="20"/>
        <v>0</v>
      </c>
      <c r="K184" s="487" t="b">
        <f t="shared" si="21"/>
        <v>0</v>
      </c>
      <c r="L184" s="487" t="str">
        <f>IF(D184="n/a","n/a",ISNUMBER(MATCH(D184,'Measure-Level Adjustments Tab'!D:D,0)))</f>
        <v>n/a</v>
      </c>
      <c r="M184" s="487" t="b">
        <f t="shared" si="17"/>
        <v>0</v>
      </c>
      <c r="N184" s="487" t="b">
        <f t="shared" si="18"/>
        <v>0</v>
      </c>
      <c r="O184" s="487" t="s">
        <v>764</v>
      </c>
      <c r="P184" s="487"/>
      <c r="Q184" s="487"/>
      <c r="R184" s="487" t="str">
        <f t="shared" si="19"/>
        <v/>
      </c>
    </row>
  </sheetData>
  <autoFilter ref="B6:P184" xr:uid="{07F68788-862E-42A0-A67A-2B14FB05B21F}">
    <filterColumn colId="12">
      <filters>
        <filter val="TRUE"/>
      </filters>
    </filterColumn>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3:X28"/>
  <sheetViews>
    <sheetView view="pageBreakPreview" zoomScale="60" zoomScaleNormal="70" workbookViewId="0"/>
  </sheetViews>
  <sheetFormatPr defaultRowHeight="14.5"/>
  <cols>
    <col min="1" max="1" width="25" bestFit="1" customWidth="1"/>
    <col min="2" max="2" width="10" bestFit="1" customWidth="1"/>
    <col min="3" max="3" width="15.453125" bestFit="1" customWidth="1"/>
  </cols>
  <sheetData>
    <row r="3" spans="1:24" s="145" customFormat="1" ht="13.5" customHeight="1">
      <c r="A3" s="70" t="s">
        <v>666</v>
      </c>
      <c r="B3" s="78"/>
      <c r="C3" s="78"/>
      <c r="D3" s="78"/>
      <c r="E3" s="78"/>
      <c r="F3" s="78"/>
      <c r="G3" s="78"/>
      <c r="H3" s="78"/>
      <c r="I3" s="78"/>
      <c r="J3" s="78"/>
      <c r="K3" s="78"/>
      <c r="L3" s="78"/>
      <c r="M3" s="78"/>
      <c r="N3" s="78"/>
      <c r="O3" s="78"/>
      <c r="P3" s="78"/>
      <c r="Q3" s="78"/>
      <c r="R3" s="78"/>
      <c r="S3" s="78"/>
      <c r="T3" s="78"/>
      <c r="U3" s="78"/>
      <c r="V3" s="78"/>
      <c r="W3" s="78"/>
      <c r="X3" s="78"/>
    </row>
    <row r="4" spans="1:24" s="12" customFormat="1" ht="13">
      <c r="C4" s="2"/>
      <c r="D4" s="2"/>
      <c r="E4" s="2"/>
      <c r="F4" s="2"/>
      <c r="G4" s="2"/>
      <c r="H4" s="2"/>
      <c r="I4" s="2"/>
      <c r="J4" s="2"/>
      <c r="K4" s="2"/>
      <c r="L4" s="2"/>
      <c r="M4" s="2"/>
      <c r="N4" s="2"/>
      <c r="O4" s="2"/>
      <c r="P4" s="2"/>
      <c r="Q4" s="2"/>
      <c r="R4" s="2"/>
      <c r="S4" s="2"/>
      <c r="T4" s="2"/>
      <c r="U4" s="2"/>
      <c r="V4" s="2"/>
      <c r="W4" s="2"/>
      <c r="X4" s="2"/>
    </row>
    <row r="5" spans="1:24" s="12" customFormat="1" ht="13">
      <c r="A5" s="13" t="s">
        <v>251</v>
      </c>
      <c r="B5" s="19">
        <v>140</v>
      </c>
      <c r="C5" s="2"/>
      <c r="D5" s="2"/>
      <c r="E5" s="2"/>
      <c r="F5" s="2"/>
      <c r="G5" s="2"/>
      <c r="H5" s="2"/>
      <c r="I5" s="2"/>
      <c r="J5" s="2"/>
      <c r="K5" s="2"/>
      <c r="L5" s="2"/>
      <c r="M5" s="2"/>
      <c r="N5" s="2"/>
      <c r="O5" s="2"/>
      <c r="P5" s="2"/>
      <c r="Q5" s="2"/>
      <c r="R5" s="2"/>
      <c r="S5" s="2"/>
      <c r="T5" s="2"/>
      <c r="U5" s="2"/>
      <c r="V5" s="2"/>
      <c r="W5" s="2"/>
      <c r="X5" s="2"/>
    </row>
    <row r="6" spans="1:24" s="12" customFormat="1" ht="13">
      <c r="A6" s="13" t="s">
        <v>250</v>
      </c>
      <c r="B6" s="19">
        <v>54.1</v>
      </c>
      <c r="C6" s="2"/>
      <c r="D6" s="2"/>
      <c r="E6" s="2"/>
      <c r="F6" s="2"/>
      <c r="G6" s="2"/>
      <c r="H6" s="2"/>
      <c r="I6" s="2"/>
      <c r="J6" s="2"/>
      <c r="K6" s="2"/>
      <c r="L6" s="2"/>
      <c r="M6" s="2"/>
      <c r="N6" s="2"/>
      <c r="O6" s="2"/>
      <c r="P6" s="2"/>
      <c r="Q6" s="2"/>
      <c r="R6" s="2"/>
      <c r="S6" s="2"/>
      <c r="T6" s="2"/>
      <c r="U6" s="2"/>
      <c r="V6" s="2"/>
      <c r="W6" s="2"/>
      <c r="X6" s="2"/>
    </row>
    <row r="7" spans="1:24" s="12" customFormat="1" ht="13">
      <c r="A7" s="13" t="s">
        <v>383</v>
      </c>
      <c r="B7" s="13">
        <v>8.33</v>
      </c>
      <c r="C7" s="2"/>
      <c r="D7" s="2"/>
      <c r="E7" s="2"/>
      <c r="F7" s="2"/>
      <c r="G7" s="2"/>
      <c r="H7" s="2"/>
      <c r="I7" s="2"/>
      <c r="J7" s="2"/>
      <c r="K7" s="2"/>
      <c r="L7" s="2"/>
      <c r="M7" s="2"/>
      <c r="N7" s="2"/>
      <c r="O7" s="2"/>
      <c r="P7" s="2"/>
      <c r="Q7" s="2"/>
      <c r="R7" s="2"/>
      <c r="S7" s="2"/>
      <c r="T7" s="2"/>
      <c r="U7" s="2"/>
      <c r="V7" s="2"/>
      <c r="W7" s="2"/>
      <c r="X7" s="2"/>
    </row>
    <row r="8" spans="1:24" s="2" customFormat="1" ht="13">
      <c r="A8" s="13" t="s">
        <v>249</v>
      </c>
      <c r="B8" s="144">
        <f>B12*B13*365</f>
        <v>4927.5</v>
      </c>
    </row>
    <row r="9" spans="1:24" s="2" customFormat="1" ht="13">
      <c r="A9" s="19" t="s">
        <v>665</v>
      </c>
      <c r="B9" s="20">
        <v>0.8</v>
      </c>
    </row>
    <row r="10" spans="1:24" s="12" customFormat="1" ht="13">
      <c r="A10" s="19" t="s">
        <v>664</v>
      </c>
      <c r="B10" s="19">
        <v>0.65</v>
      </c>
      <c r="C10" s="2"/>
      <c r="D10" s="2"/>
      <c r="E10" s="2"/>
      <c r="F10" s="2"/>
      <c r="G10" s="2"/>
      <c r="H10" s="2"/>
      <c r="I10" s="2"/>
      <c r="J10" s="2"/>
      <c r="K10" s="2"/>
      <c r="L10" s="2"/>
      <c r="M10" s="2"/>
      <c r="N10" s="2"/>
      <c r="O10" s="2"/>
      <c r="P10" s="2"/>
      <c r="Q10" s="2"/>
      <c r="R10" s="2"/>
      <c r="S10" s="2"/>
      <c r="T10" s="2"/>
      <c r="U10" s="2"/>
      <c r="V10" s="2"/>
      <c r="W10" s="2"/>
      <c r="X10" s="2"/>
    </row>
    <row r="11" spans="1:24" s="12" customFormat="1" ht="13">
      <c r="C11" s="2"/>
      <c r="D11" s="74" t="s">
        <v>663</v>
      </c>
      <c r="E11" s="2"/>
      <c r="F11" s="2"/>
      <c r="G11" s="2"/>
      <c r="H11" s="2"/>
      <c r="I11" s="2"/>
      <c r="J11" s="2"/>
      <c r="K11" s="2"/>
      <c r="L11" s="2"/>
      <c r="M11" s="2"/>
      <c r="N11" s="2"/>
      <c r="O11" s="2"/>
      <c r="P11" s="2"/>
      <c r="Q11" s="2"/>
      <c r="R11" s="2"/>
      <c r="S11" s="2"/>
      <c r="T11" s="2"/>
      <c r="U11" s="2"/>
      <c r="V11" s="2"/>
      <c r="W11" s="2"/>
      <c r="X11" s="2"/>
    </row>
    <row r="12" spans="1:24" s="12" customFormat="1" ht="13">
      <c r="A12" s="2" t="s">
        <v>662</v>
      </c>
      <c r="B12" s="18">
        <v>3</v>
      </c>
      <c r="C12" s="2"/>
      <c r="D12" s="74" t="s">
        <v>661</v>
      </c>
      <c r="E12" s="2"/>
      <c r="F12" s="2"/>
      <c r="G12" s="2"/>
      <c r="H12" s="2"/>
      <c r="I12" s="2"/>
      <c r="J12" s="2"/>
      <c r="K12" s="2"/>
      <c r="L12" s="2"/>
      <c r="M12" s="2"/>
      <c r="N12" s="2"/>
      <c r="O12" s="2"/>
      <c r="P12" s="2"/>
      <c r="Q12" s="2"/>
      <c r="R12" s="2"/>
      <c r="S12" s="2"/>
      <c r="T12" s="2"/>
      <c r="U12" s="2"/>
      <c r="V12" s="2"/>
      <c r="W12" s="2"/>
      <c r="X12" s="2"/>
    </row>
    <row r="13" spans="1:24" s="12" customFormat="1" ht="13">
      <c r="A13" s="2" t="s">
        <v>660</v>
      </c>
      <c r="B13" s="18">
        <v>4.5</v>
      </c>
      <c r="C13" s="2" t="s">
        <v>659</v>
      </c>
      <c r="D13" s="74" t="s">
        <v>658</v>
      </c>
      <c r="E13" s="2"/>
      <c r="F13" s="2"/>
      <c r="G13" s="2"/>
      <c r="H13" s="2"/>
      <c r="I13" s="2"/>
      <c r="J13" s="2"/>
      <c r="K13" s="2"/>
      <c r="L13" s="2"/>
      <c r="M13" s="2"/>
      <c r="N13" s="2"/>
      <c r="O13" s="2"/>
      <c r="P13" s="2"/>
      <c r="Q13" s="2"/>
      <c r="R13" s="2"/>
      <c r="S13" s="2"/>
      <c r="T13" s="2"/>
      <c r="U13" s="2"/>
      <c r="V13" s="2"/>
      <c r="W13" s="2"/>
      <c r="X13" s="2"/>
    </row>
    <row r="14" spans="1:24" s="12"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7" t="s">
        <v>657</v>
      </c>
      <c r="B15" s="22">
        <f>2*B13*B10*B7*(B5-B6)/B9</f>
        <v>5232.4374375000007</v>
      </c>
      <c r="C15" s="17" t="s">
        <v>656</v>
      </c>
    </row>
    <row r="16" spans="1:24" s="2" customFormat="1" ht="13">
      <c r="A16" s="17" t="s">
        <v>655</v>
      </c>
      <c r="B16" s="22">
        <f>B8*B7*(B5-B6)/B9</f>
        <v>4407322.3031249996</v>
      </c>
      <c r="C16" s="17" t="s">
        <v>255</v>
      </c>
    </row>
    <row r="17" spans="1:3" s="2" customFormat="1" ht="13">
      <c r="A17" s="17" t="s">
        <v>303</v>
      </c>
      <c r="B17" s="22">
        <f>B16/B15+1*0.01*8760</f>
        <v>929.90769230769217</v>
      </c>
      <c r="C17" s="17" t="s">
        <v>654</v>
      </c>
    </row>
    <row r="18" spans="1:3" s="2" customFormat="1" ht="13"/>
    <row r="19" spans="1:3" s="2" customFormat="1" ht="13">
      <c r="A19" s="13" t="s">
        <v>240</v>
      </c>
      <c r="B19" s="19">
        <v>1</v>
      </c>
      <c r="C19" s="19">
        <v>1</v>
      </c>
    </row>
    <row r="20" spans="1:3" s="2" customFormat="1" ht="13">
      <c r="A20" s="13" t="s">
        <v>653</v>
      </c>
      <c r="B20" s="19">
        <v>0.8</v>
      </c>
      <c r="C20" s="19">
        <v>0.8</v>
      </c>
    </row>
    <row r="21" spans="1:3" s="2" customFormat="1" ht="13">
      <c r="A21" s="13" t="s">
        <v>652</v>
      </c>
      <c r="B21" s="19">
        <v>0.88</v>
      </c>
      <c r="C21" s="19">
        <v>0.95</v>
      </c>
    </row>
    <row r="22" spans="1:3" s="2" customFormat="1" ht="13"/>
    <row r="23" spans="1:3" s="2" customFormat="1" ht="13">
      <c r="A23" s="2" t="s">
        <v>651</v>
      </c>
      <c r="B23" s="143">
        <f>B19*B17*(1/B20-1/B21)/100</f>
        <v>1.0567132867132856</v>
      </c>
      <c r="C23" s="143">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700-000000000000}"/>
    <hyperlink ref="D12" display="http://www1.eere.energy.gov/buildings/appliance_standards/commercial/pdfs/ccw_snopr_chap6.pdf" xr:uid="{00000000-0004-0000-0700-000001000000}"/>
    <hyperlink ref="D13" display="http://www.allianceforwaterefficiency.org/laundromats.aspx" xr:uid="{00000000-0004-0000-0700-000002000000}"/>
  </hyperlinks>
  <pageMargins left="0.7" right="0.7" top="0.75" bottom="0.75" header="0.3" footer="0.3"/>
  <pageSetup scale="59" orientation="portrait" verticalDpi="300"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33"/>
  <sheetViews>
    <sheetView zoomScale="70" zoomScaleNormal="70" zoomScaleSheetLayoutView="70" workbookViewId="0"/>
  </sheetViews>
  <sheetFormatPr defaultColWidth="9.1796875" defaultRowHeight="14.5"/>
  <cols>
    <col min="1" max="1" width="48.453125" style="206" customWidth="1"/>
    <col min="2" max="3" width="19.54296875" style="206" customWidth="1"/>
    <col min="4" max="4" width="22.1796875" style="206" customWidth="1"/>
    <col min="5" max="5" width="25.54296875" style="206" customWidth="1"/>
    <col min="6" max="7" width="20" style="206" customWidth="1"/>
    <col min="8" max="8" width="20.81640625" style="206" customWidth="1"/>
    <col min="9" max="9" width="23.26953125" style="206" customWidth="1"/>
    <col min="10" max="10" width="20" style="206" customWidth="1"/>
    <col min="11" max="11" width="18.81640625" style="206" customWidth="1"/>
    <col min="12" max="12" width="21" style="206" customWidth="1"/>
    <col min="13" max="13" width="26.54296875" style="206" customWidth="1"/>
    <col min="14" max="14" width="20" style="206" customWidth="1"/>
    <col min="15" max="15" width="20.453125" style="206" customWidth="1"/>
    <col min="16" max="16" width="26.453125" style="206" customWidth="1"/>
    <col min="17" max="17" width="27.26953125" style="206" customWidth="1"/>
    <col min="18" max="20" width="22.26953125" style="206" customWidth="1"/>
    <col min="21" max="16384" width="9.1796875" style="206"/>
  </cols>
  <sheetData>
    <row r="1" spans="1:20" ht="25.5" customHeight="1">
      <c r="A1" s="1" t="s">
        <v>761</v>
      </c>
      <c r="B1" s="1"/>
    </row>
    <row r="2" spans="1:20" ht="19.5" customHeight="1">
      <c r="A2" s="209" t="s">
        <v>1460</v>
      </c>
      <c r="B2" s="1"/>
    </row>
    <row r="3" spans="1:20" s="211" customFormat="1" ht="19.5" customHeight="1">
      <c r="A3" s="210" t="s">
        <v>43</v>
      </c>
      <c r="B3" s="211" t="s">
        <v>667</v>
      </c>
    </row>
    <row r="4" spans="1:20" s="211" customFormat="1" ht="34.5" customHeight="1">
      <c r="A4" s="212"/>
      <c r="B4" s="503" t="s">
        <v>87</v>
      </c>
      <c r="C4" s="503"/>
      <c r="D4" s="503"/>
      <c r="E4" s="503"/>
      <c r="F4" s="504" t="s">
        <v>88</v>
      </c>
      <c r="G4" s="504"/>
      <c r="H4" s="504"/>
      <c r="I4" s="504"/>
      <c r="J4" s="505" t="s">
        <v>89</v>
      </c>
      <c r="K4" s="505"/>
      <c r="L4" s="505"/>
      <c r="M4" s="505"/>
      <c r="N4" s="508" t="s">
        <v>90</v>
      </c>
      <c r="O4" s="508"/>
      <c r="P4" s="508"/>
      <c r="Q4" s="508"/>
      <c r="R4" s="506" t="s">
        <v>134</v>
      </c>
      <c r="S4" s="506"/>
      <c r="T4" s="507"/>
    </row>
    <row r="5" spans="1:20" s="222" customFormat="1" ht="42">
      <c r="A5" s="213"/>
      <c r="B5" s="214" t="s">
        <v>1456</v>
      </c>
      <c r="C5" s="215" t="s">
        <v>57</v>
      </c>
      <c r="D5" s="215" t="s">
        <v>58</v>
      </c>
      <c r="E5" s="215" t="s">
        <v>51</v>
      </c>
      <c r="F5" s="501" t="s">
        <v>1456</v>
      </c>
      <c r="G5" s="217" t="s">
        <v>57</v>
      </c>
      <c r="H5" s="217" t="s">
        <v>58</v>
      </c>
      <c r="I5" s="218" t="s">
        <v>51</v>
      </c>
      <c r="J5" s="214" t="s">
        <v>1456</v>
      </c>
      <c r="K5" s="219" t="s">
        <v>57</v>
      </c>
      <c r="L5" s="219" t="s">
        <v>58</v>
      </c>
      <c r="M5" s="219" t="s">
        <v>51</v>
      </c>
      <c r="N5" s="214" t="s">
        <v>1456</v>
      </c>
      <c r="O5" s="220" t="s">
        <v>57</v>
      </c>
      <c r="P5" s="220" t="s">
        <v>58</v>
      </c>
      <c r="Q5" s="220" t="s">
        <v>51</v>
      </c>
      <c r="R5" s="216" t="s">
        <v>1456</v>
      </c>
      <c r="S5" s="221" t="s">
        <v>57</v>
      </c>
      <c r="T5" s="221" t="s">
        <v>58</v>
      </c>
    </row>
    <row r="6" spans="1:20" s="222" customFormat="1" ht="24" customHeight="1">
      <c r="A6" s="223" t="s">
        <v>0</v>
      </c>
      <c r="B6" s="214">
        <v>2018</v>
      </c>
      <c r="C6" s="215">
        <v>2018</v>
      </c>
      <c r="D6" s="215">
        <v>2018</v>
      </c>
      <c r="E6" s="215">
        <v>2018</v>
      </c>
      <c r="F6" s="501">
        <v>2019</v>
      </c>
      <c r="G6" s="217">
        <v>2019</v>
      </c>
      <c r="H6" s="217">
        <v>2019</v>
      </c>
      <c r="I6" s="218">
        <v>2019</v>
      </c>
      <c r="J6" s="214">
        <v>2020</v>
      </c>
      <c r="K6" s="219">
        <v>2020</v>
      </c>
      <c r="L6" s="219">
        <v>2020</v>
      </c>
      <c r="M6" s="219">
        <v>2020</v>
      </c>
      <c r="N6" s="214">
        <v>2021</v>
      </c>
      <c r="O6" s="220">
        <v>2021</v>
      </c>
      <c r="P6" s="220">
        <v>2021</v>
      </c>
      <c r="Q6" s="220">
        <v>2021</v>
      </c>
      <c r="R6" s="216" t="s">
        <v>91</v>
      </c>
      <c r="S6" s="221" t="s">
        <v>91</v>
      </c>
      <c r="T6" s="221" t="s">
        <v>91</v>
      </c>
    </row>
    <row r="7" spans="1:20" s="233" customFormat="1" ht="22.5" customHeight="1">
      <c r="A7" s="224" t="s">
        <v>4</v>
      </c>
      <c r="B7" s="225" t="s">
        <v>5</v>
      </c>
      <c r="C7" s="226" t="s">
        <v>6</v>
      </c>
      <c r="D7" s="226" t="s">
        <v>45</v>
      </c>
      <c r="E7" s="226" t="s">
        <v>8</v>
      </c>
      <c r="F7" s="227" t="s">
        <v>9</v>
      </c>
      <c r="G7" s="228" t="s">
        <v>10</v>
      </c>
      <c r="H7" s="228" t="s">
        <v>46</v>
      </c>
      <c r="I7" s="229" t="s">
        <v>12</v>
      </c>
      <c r="J7" s="225" t="s">
        <v>14</v>
      </c>
      <c r="K7" s="230" t="s">
        <v>15</v>
      </c>
      <c r="L7" s="230" t="s">
        <v>47</v>
      </c>
      <c r="M7" s="230" t="s">
        <v>17</v>
      </c>
      <c r="N7" s="225" t="s">
        <v>18</v>
      </c>
      <c r="O7" s="231" t="s">
        <v>19</v>
      </c>
      <c r="P7" s="231" t="s">
        <v>48</v>
      </c>
      <c r="Q7" s="231" t="s">
        <v>26</v>
      </c>
      <c r="R7" s="227" t="s">
        <v>54</v>
      </c>
      <c r="S7" s="232" t="s">
        <v>55</v>
      </c>
      <c r="T7" s="232" t="s">
        <v>56</v>
      </c>
    </row>
    <row r="8" spans="1:20" s="237" customFormat="1" ht="14">
      <c r="A8" s="241" t="s">
        <v>698</v>
      </c>
      <c r="B8" s="324">
        <v>879280.00000000012</v>
      </c>
      <c r="C8" s="356">
        <v>879280.00000000012</v>
      </c>
      <c r="D8" s="325">
        <f>C8-B8</f>
        <v>0</v>
      </c>
      <c r="E8" s="241"/>
      <c r="F8" s="324">
        <v>515975.1290296134</v>
      </c>
      <c r="G8" s="324">
        <v>515975.1290296134</v>
      </c>
      <c r="H8" s="325">
        <f>G8-F8</f>
        <v>0</v>
      </c>
      <c r="I8" s="242"/>
      <c r="J8" s="324">
        <v>509381.51033845724</v>
      </c>
      <c r="K8" s="324">
        <f>SUMIF('Measure-Level Adjustments Tab'!$A$8:$A$500,$A8,'Measure-Level Adjustments Tab'!$BA$8:$BA$500)</f>
        <v>509381.51033845724</v>
      </c>
      <c r="L8" s="325">
        <f>K8-J8</f>
        <v>0</v>
      </c>
      <c r="M8" s="241"/>
      <c r="N8" s="324">
        <v>503471.60189627705</v>
      </c>
      <c r="O8" s="324">
        <f>SUMIF('Measure-Level Adjustments Tab'!$A$8:$A$500,$A8,'Measure-Level Adjustments Tab'!$BB$8:$BB$500)</f>
        <v>503471.60189627705</v>
      </c>
      <c r="P8" s="326">
        <f>O8-N8</f>
        <v>0</v>
      </c>
      <c r="Q8" s="241"/>
      <c r="R8" s="243">
        <f>B8+F8+J8+N8</f>
        <v>2408108.2412643479</v>
      </c>
      <c r="S8" s="239">
        <f>C8+G8+K8+O8</f>
        <v>2408108.2412643479</v>
      </c>
      <c r="T8" s="240">
        <f>S8-R8</f>
        <v>0</v>
      </c>
    </row>
    <row r="9" spans="1:20" s="237" customFormat="1" ht="14">
      <c r="A9" s="238" t="s">
        <v>690</v>
      </c>
      <c r="B9" s="324">
        <v>437242.87428430357</v>
      </c>
      <c r="C9" s="356">
        <v>437242.87428430357</v>
      </c>
      <c r="D9" s="325">
        <f t="shared" ref="D9:D26" si="0">C9-B9</f>
        <v>0</v>
      </c>
      <c r="E9" s="235"/>
      <c r="F9" s="324">
        <v>399530.71369652095</v>
      </c>
      <c r="G9" s="324">
        <v>399530.71369652095</v>
      </c>
      <c r="H9" s="325">
        <f t="shared" ref="H9:H26" si="1">G9-F9</f>
        <v>0</v>
      </c>
      <c r="I9" s="236"/>
      <c r="J9" s="324">
        <v>372792.60127616022</v>
      </c>
      <c r="K9" s="324">
        <f>SUMIF('Measure-Level Adjustments Tab'!$A$8:$A$500,$A9,'Measure-Level Adjustments Tab'!$BA$8:$BA$500)</f>
        <v>372034.17061164364</v>
      </c>
      <c r="L9" s="325">
        <f t="shared" ref="L9:L26" si="2">K9-J9</f>
        <v>-758.43066451657796</v>
      </c>
      <c r="M9" s="235" t="s">
        <v>1451</v>
      </c>
      <c r="N9" s="324">
        <v>399530.71369652095</v>
      </c>
      <c r="O9" s="324">
        <f>SUMIF('Measure-Level Adjustments Tab'!$A$8:$A$500,$A9,'Measure-Level Adjustments Tab'!$BB$8:$BB$500)</f>
        <v>398717.48187147611</v>
      </c>
      <c r="P9" s="326">
        <f t="shared" ref="P9:P26" si="3">O9-N9</f>
        <v>-813.2318250448443</v>
      </c>
      <c r="Q9" s="235" t="s">
        <v>1451</v>
      </c>
      <c r="R9" s="243">
        <f t="shared" ref="R9:R26" si="4">B9+F9+J9+N9</f>
        <v>1609096.9029535057</v>
      </c>
      <c r="S9" s="239">
        <f t="shared" ref="S9:S26" si="5">C9+G9+K9+O9</f>
        <v>1607525.2404639444</v>
      </c>
      <c r="T9" s="240">
        <f t="shared" ref="T9:T26" si="6">S9-R9</f>
        <v>-1571.6624895613641</v>
      </c>
    </row>
    <row r="10" spans="1:20" s="237" customFormat="1" ht="14">
      <c r="A10" s="238" t="s">
        <v>700</v>
      </c>
      <c r="B10" s="324">
        <v>246438.50879018049</v>
      </c>
      <c r="C10" s="356">
        <v>246438.50879018049</v>
      </c>
      <c r="D10" s="325">
        <f t="shared" si="0"/>
        <v>0</v>
      </c>
      <c r="E10" s="235"/>
      <c r="F10" s="324">
        <v>218239.87428775555</v>
      </c>
      <c r="G10" s="324">
        <v>218239.87428775555</v>
      </c>
      <c r="H10" s="325">
        <f t="shared" si="1"/>
        <v>0</v>
      </c>
      <c r="I10" s="236"/>
      <c r="J10" s="324">
        <v>207559.8423127181</v>
      </c>
      <c r="K10" s="324">
        <f>SUMIF('Measure-Level Adjustments Tab'!$A$8:$A$500,$A10,'Measure-Level Adjustments Tab'!$BA$8:$BA$500)</f>
        <v>207559.8423127181</v>
      </c>
      <c r="L10" s="325">
        <f t="shared" si="2"/>
        <v>0</v>
      </c>
      <c r="M10" s="235"/>
      <c r="N10" s="324">
        <v>218239.87428775555</v>
      </c>
      <c r="O10" s="324">
        <f>SUMIF('Measure-Level Adjustments Tab'!$A$8:$A$500,$A10,'Measure-Level Adjustments Tab'!$BB$8:$BB$500)</f>
        <v>218239.87428775555</v>
      </c>
      <c r="P10" s="326">
        <f t="shared" si="3"/>
        <v>0</v>
      </c>
      <c r="Q10" s="235"/>
      <c r="R10" s="243">
        <f t="shared" si="4"/>
        <v>890478.09967840964</v>
      </c>
      <c r="S10" s="239">
        <f t="shared" si="5"/>
        <v>890478.09967840964</v>
      </c>
      <c r="T10" s="240">
        <f t="shared" si="6"/>
        <v>0</v>
      </c>
    </row>
    <row r="11" spans="1:20" s="237" customFormat="1" ht="14">
      <c r="A11" s="238" t="s">
        <v>703</v>
      </c>
      <c r="B11" s="324">
        <v>508163.71596024605</v>
      </c>
      <c r="C11" s="356">
        <v>508163.71596024605</v>
      </c>
      <c r="D11" s="325">
        <f t="shared" si="0"/>
        <v>0</v>
      </c>
      <c r="E11" s="235"/>
      <c r="F11" s="324">
        <v>489693.50971291284</v>
      </c>
      <c r="G11" s="324">
        <v>489693.50971291284</v>
      </c>
      <c r="H11" s="325">
        <f t="shared" si="1"/>
        <v>0</v>
      </c>
      <c r="I11" s="236"/>
      <c r="J11" s="324">
        <v>489693.50971291284</v>
      </c>
      <c r="K11" s="324">
        <f>SUMIF('Measure-Level Adjustments Tab'!$A$8:$A$500,$A11,'Measure-Level Adjustments Tab'!$BA$8:$BA$500)</f>
        <v>489693.50971291284</v>
      </c>
      <c r="L11" s="325">
        <f t="shared" si="2"/>
        <v>0</v>
      </c>
      <c r="M11" s="235"/>
      <c r="N11" s="324">
        <v>489693.50971291284</v>
      </c>
      <c r="O11" s="324">
        <f>SUMIF('Measure-Level Adjustments Tab'!$A$8:$A$500,$A11,'Measure-Level Adjustments Tab'!$BB$8:$BB$500)</f>
        <v>489693.50971291284</v>
      </c>
      <c r="P11" s="326">
        <f t="shared" si="3"/>
        <v>0</v>
      </c>
      <c r="Q11" s="235"/>
      <c r="R11" s="243">
        <f t="shared" si="4"/>
        <v>1977244.2450989846</v>
      </c>
      <c r="S11" s="239">
        <f t="shared" si="5"/>
        <v>1977244.2450989846</v>
      </c>
      <c r="T11" s="240">
        <f t="shared" si="6"/>
        <v>0</v>
      </c>
    </row>
    <row r="12" spans="1:20" s="237" customFormat="1" ht="14">
      <c r="A12" s="241" t="s">
        <v>721</v>
      </c>
      <c r="B12" s="324">
        <v>119357.83640447274</v>
      </c>
      <c r="C12" s="356">
        <v>119357.83640447274</v>
      </c>
      <c r="D12" s="325">
        <f t="shared" si="0"/>
        <v>0</v>
      </c>
      <c r="E12" s="235"/>
      <c r="F12" s="324">
        <v>86437.258101818268</v>
      </c>
      <c r="G12" s="324">
        <v>86437.258101818268</v>
      </c>
      <c r="H12" s="325">
        <f t="shared" si="1"/>
        <v>0</v>
      </c>
      <c r="I12" s="236"/>
      <c r="J12" s="324">
        <v>86437.258101818268</v>
      </c>
      <c r="K12" s="324">
        <f>SUMIF('Measure-Level Adjustments Tab'!$A$8:$A$500,$A12,'Measure-Level Adjustments Tab'!$BA$8:$BA$500)</f>
        <v>87483.127152622983</v>
      </c>
      <c r="L12" s="325">
        <f t="shared" si="2"/>
        <v>1045.8690508047148</v>
      </c>
      <c r="M12" s="235" t="s">
        <v>1452</v>
      </c>
      <c r="N12" s="324">
        <v>86437.258101818268</v>
      </c>
      <c r="O12" s="324">
        <f>SUMIF('Measure-Level Adjustments Tab'!$A$8:$A$500,$A12,'Measure-Level Adjustments Tab'!$BB$8:$BB$500)</f>
        <v>87483.127152622983</v>
      </c>
      <c r="P12" s="326">
        <f t="shared" si="3"/>
        <v>1045.8690508047148</v>
      </c>
      <c r="Q12" s="235" t="s">
        <v>1452</v>
      </c>
      <c r="R12" s="243">
        <f t="shared" si="4"/>
        <v>378669.61070992751</v>
      </c>
      <c r="S12" s="239">
        <f t="shared" si="5"/>
        <v>380761.34881153697</v>
      </c>
      <c r="T12" s="240">
        <f t="shared" si="6"/>
        <v>2091.7381016094587</v>
      </c>
    </row>
    <row r="13" spans="1:20" s="237" customFormat="1" ht="14">
      <c r="A13" s="238" t="s">
        <v>722</v>
      </c>
      <c r="B13" s="324">
        <v>1532863.2151186159</v>
      </c>
      <c r="C13" s="356">
        <v>1532863.2151186159</v>
      </c>
      <c r="D13" s="325">
        <f t="shared" si="0"/>
        <v>0</v>
      </c>
      <c r="E13" s="235"/>
      <c r="F13" s="324">
        <v>1471462.5039045932</v>
      </c>
      <c r="G13" s="324">
        <v>1471462.5039045932</v>
      </c>
      <c r="H13" s="325">
        <f t="shared" si="1"/>
        <v>0</v>
      </c>
      <c r="I13" s="236"/>
      <c r="J13" s="324">
        <v>1471462.5039045932</v>
      </c>
      <c r="K13" s="324">
        <f>SUMIF('Measure-Level Adjustments Tab'!$A$8:$A$500,$A13,'Measure-Level Adjustments Tab'!$BA$8:$BA$500)</f>
        <v>1473468.228266418</v>
      </c>
      <c r="L13" s="325">
        <f t="shared" si="2"/>
        <v>2005.7243618248031</v>
      </c>
      <c r="M13" s="235" t="s">
        <v>1452</v>
      </c>
      <c r="N13" s="324">
        <v>1471462.5039045932</v>
      </c>
      <c r="O13" s="324">
        <f>SUMIF('Measure-Level Adjustments Tab'!$A$8:$A$500,$A13,'Measure-Level Adjustments Tab'!$BB$8:$BB$500)</f>
        <v>1473468.228266418</v>
      </c>
      <c r="P13" s="326">
        <f t="shared" si="3"/>
        <v>2005.7243618248031</v>
      </c>
      <c r="Q13" s="235" t="s">
        <v>1452</v>
      </c>
      <c r="R13" s="243">
        <f t="shared" si="4"/>
        <v>5947250.7268323954</v>
      </c>
      <c r="S13" s="239">
        <f t="shared" si="5"/>
        <v>5951262.175556045</v>
      </c>
      <c r="T13" s="240">
        <f t="shared" si="6"/>
        <v>4011.4487236496061</v>
      </c>
    </row>
    <row r="14" spans="1:20" s="237" customFormat="1" ht="14">
      <c r="A14" s="238" t="s">
        <v>705</v>
      </c>
      <c r="B14" s="324">
        <v>65880</v>
      </c>
      <c r="C14" s="356">
        <v>65880</v>
      </c>
      <c r="D14" s="325">
        <f t="shared" si="0"/>
        <v>0</v>
      </c>
      <c r="E14" s="235"/>
      <c r="F14" s="324">
        <v>65880</v>
      </c>
      <c r="G14" s="324">
        <v>65880</v>
      </c>
      <c r="H14" s="325">
        <f t="shared" si="1"/>
        <v>0</v>
      </c>
      <c r="I14" s="236"/>
      <c r="J14" s="324">
        <v>65880</v>
      </c>
      <c r="K14" s="324">
        <f>SUMIF('Measure-Level Adjustments Tab'!$A$8:$A$500,$A14,'Measure-Level Adjustments Tab'!$BA$8:$BA$500)</f>
        <v>65880</v>
      </c>
      <c r="L14" s="325">
        <f t="shared" si="2"/>
        <v>0</v>
      </c>
      <c r="M14" s="235"/>
      <c r="N14" s="324">
        <v>65880</v>
      </c>
      <c r="O14" s="324">
        <f>SUMIF('Measure-Level Adjustments Tab'!$A$8:$A$500,$A14,'Measure-Level Adjustments Tab'!$BB$8:$BB$500)</f>
        <v>65880</v>
      </c>
      <c r="P14" s="326">
        <f t="shared" si="3"/>
        <v>0</v>
      </c>
      <c r="Q14" s="235"/>
      <c r="R14" s="243">
        <f t="shared" si="4"/>
        <v>263520</v>
      </c>
      <c r="S14" s="239">
        <f t="shared" si="5"/>
        <v>263520</v>
      </c>
      <c r="T14" s="240">
        <f t="shared" si="6"/>
        <v>0</v>
      </c>
    </row>
    <row r="15" spans="1:20" s="237" customFormat="1" ht="14">
      <c r="A15" s="241" t="s">
        <v>708</v>
      </c>
      <c r="B15" s="324">
        <v>966188.14956880175</v>
      </c>
      <c r="C15" s="356">
        <v>966188.14956880175</v>
      </c>
      <c r="D15" s="326">
        <f t="shared" si="0"/>
        <v>0</v>
      </c>
      <c r="E15" s="361"/>
      <c r="F15" s="324">
        <v>966188.14956880175</v>
      </c>
      <c r="G15" s="324">
        <v>966188.14956880175</v>
      </c>
      <c r="H15" s="326">
        <f t="shared" si="1"/>
        <v>0</v>
      </c>
      <c r="I15" s="362"/>
      <c r="J15" s="324">
        <v>966082.64087725501</v>
      </c>
      <c r="K15" s="324">
        <f>SUMIF('Measure-Level Adjustments Tab'!$A$8:$A$500,$A15,'Measure-Level Adjustments Tab'!$BA$8:$BA$500)</f>
        <v>966079.92791903438</v>
      </c>
      <c r="L15" s="326">
        <f t="shared" si="2"/>
        <v>-2.7129582206252962</v>
      </c>
      <c r="M15" s="361" t="s">
        <v>1453</v>
      </c>
      <c r="N15" s="324">
        <v>966188.14956880175</v>
      </c>
      <c r="O15" s="324">
        <f>SUMIF('Measure-Level Adjustments Tab'!$A$8:$A$500,$A15,'Measure-Level Adjustments Tab'!$BB$8:$BB$500)</f>
        <v>966185.43661058112</v>
      </c>
      <c r="P15" s="326">
        <f t="shared" si="3"/>
        <v>-2.7129582206252962</v>
      </c>
      <c r="Q15" s="361" t="s">
        <v>1453</v>
      </c>
      <c r="R15" s="243">
        <f t="shared" si="4"/>
        <v>3864647.0895836605</v>
      </c>
      <c r="S15" s="239">
        <f t="shared" si="5"/>
        <v>3864641.6636672188</v>
      </c>
      <c r="T15" s="240">
        <f t="shared" si="6"/>
        <v>-5.4259164417162538</v>
      </c>
    </row>
    <row r="16" spans="1:20" s="237" customFormat="1" ht="14">
      <c r="A16" s="241" t="s">
        <v>709</v>
      </c>
      <c r="B16" s="324">
        <v>114463.67978395055</v>
      </c>
      <c r="C16" s="356">
        <v>114463.67978395055</v>
      </c>
      <c r="D16" s="326">
        <f t="shared" si="0"/>
        <v>0</v>
      </c>
      <c r="E16" s="361"/>
      <c r="F16" s="324">
        <v>114463.67978395055</v>
      </c>
      <c r="G16" s="324">
        <v>114463.67978395055</v>
      </c>
      <c r="H16" s="326">
        <f t="shared" si="1"/>
        <v>0</v>
      </c>
      <c r="I16" s="362"/>
      <c r="J16" s="324">
        <v>114463.67978395055</v>
      </c>
      <c r="K16" s="324">
        <f>SUMIF('Measure-Level Adjustments Tab'!$A$8:$A$500,$A16,'Measure-Level Adjustments Tab'!$BA$8:$BA$500)</f>
        <v>126871.10270821054</v>
      </c>
      <c r="L16" s="326">
        <f t="shared" si="2"/>
        <v>12407.422924259998</v>
      </c>
      <c r="M16" s="361" t="s">
        <v>1453</v>
      </c>
      <c r="N16" s="324">
        <v>114463.67978395055</v>
      </c>
      <c r="O16" s="324">
        <f>SUMIF('Measure-Level Adjustments Tab'!$A$8:$A$500,$A16,'Measure-Level Adjustments Tab'!$BB$8:$BB$500)</f>
        <v>126871.10270821054</v>
      </c>
      <c r="P16" s="326">
        <f t="shared" si="3"/>
        <v>12407.422924259998</v>
      </c>
      <c r="Q16" s="361" t="s">
        <v>1453</v>
      </c>
      <c r="R16" s="243">
        <f t="shared" si="4"/>
        <v>457854.71913580218</v>
      </c>
      <c r="S16" s="239">
        <f t="shared" si="5"/>
        <v>482669.56498432218</v>
      </c>
      <c r="T16" s="240">
        <f t="shared" si="6"/>
        <v>24814.845848519995</v>
      </c>
    </row>
    <row r="17" spans="1:20" s="237" customFormat="1" ht="14">
      <c r="A17" s="241" t="s">
        <v>711</v>
      </c>
      <c r="B17" s="324">
        <v>1693053.6528950061</v>
      </c>
      <c r="C17" s="356">
        <v>1693053.6528950061</v>
      </c>
      <c r="D17" s="326">
        <f t="shared" si="0"/>
        <v>0</v>
      </c>
      <c r="E17" s="361"/>
      <c r="F17" s="324">
        <v>1695056.663075756</v>
      </c>
      <c r="G17" s="324">
        <v>1695056.663075756</v>
      </c>
      <c r="H17" s="326">
        <f t="shared" si="1"/>
        <v>0</v>
      </c>
      <c r="I17" s="362"/>
      <c r="J17" s="324">
        <v>1695056.663075756</v>
      </c>
      <c r="K17" s="324">
        <f>SUMIF('Measure-Level Adjustments Tab'!$A$8:$A$500,$A17,'Measure-Level Adjustments Tab'!$BA$8:$BA$500)</f>
        <v>1695679.2162757562</v>
      </c>
      <c r="L17" s="326">
        <f t="shared" si="2"/>
        <v>622.55320000019856</v>
      </c>
      <c r="M17" s="235" t="s">
        <v>1454</v>
      </c>
      <c r="N17" s="324">
        <v>1695056.663075756</v>
      </c>
      <c r="O17" s="324">
        <f>SUMIF('Measure-Level Adjustments Tab'!$A$8:$A$500,$A17,'Measure-Level Adjustments Tab'!$BB$8:$BB$500)</f>
        <v>1695679.2162757562</v>
      </c>
      <c r="P17" s="326">
        <f t="shared" si="3"/>
        <v>622.55320000019856</v>
      </c>
      <c r="Q17" s="235" t="s">
        <v>1454</v>
      </c>
      <c r="R17" s="243">
        <f t="shared" si="4"/>
        <v>6778223.6421222743</v>
      </c>
      <c r="S17" s="239">
        <f t="shared" si="5"/>
        <v>6779468.7485222751</v>
      </c>
      <c r="T17" s="240">
        <f t="shared" si="6"/>
        <v>1245.1064000008628</v>
      </c>
    </row>
    <row r="18" spans="1:20" s="237" customFormat="1" ht="14">
      <c r="A18" s="241" t="s">
        <v>712</v>
      </c>
      <c r="B18" s="324">
        <v>454300.1102874417</v>
      </c>
      <c r="C18" s="356">
        <v>454300.1102874417</v>
      </c>
      <c r="D18" s="326">
        <f t="shared" si="0"/>
        <v>0</v>
      </c>
      <c r="E18" s="361"/>
      <c r="F18" s="324">
        <v>460455.68297808978</v>
      </c>
      <c r="G18" s="324">
        <v>460455.68297808978</v>
      </c>
      <c r="H18" s="326">
        <f t="shared" si="1"/>
        <v>0</v>
      </c>
      <c r="I18" s="362"/>
      <c r="J18" s="324">
        <v>460455.68297808978</v>
      </c>
      <c r="K18" s="324">
        <f>SUMIF('Measure-Level Adjustments Tab'!$A$8:$A$500,$A18,'Measure-Level Adjustments Tab'!$BA$8:$BA$500)</f>
        <v>459788.39004222909</v>
      </c>
      <c r="L18" s="326">
        <f t="shared" si="2"/>
        <v>-667.29293586069252</v>
      </c>
      <c r="M18" s="235" t="s">
        <v>1454</v>
      </c>
      <c r="N18" s="324">
        <v>460455.68297808978</v>
      </c>
      <c r="O18" s="324">
        <f>SUMIF('Measure-Level Adjustments Tab'!$A$8:$A$500,$A18,'Measure-Level Adjustments Tab'!$BB$8:$BB$500)</f>
        <v>459788.39004222909</v>
      </c>
      <c r="P18" s="326">
        <f t="shared" si="3"/>
        <v>-667.29293586069252</v>
      </c>
      <c r="Q18" s="235" t="s">
        <v>1454</v>
      </c>
      <c r="R18" s="243">
        <f t="shared" si="4"/>
        <v>1835667.1592217111</v>
      </c>
      <c r="S18" s="239">
        <f t="shared" si="5"/>
        <v>1834332.5733499897</v>
      </c>
      <c r="T18" s="240">
        <f t="shared" si="6"/>
        <v>-1334.585871721385</v>
      </c>
    </row>
    <row r="19" spans="1:20" s="237" customFormat="1" ht="14">
      <c r="A19" s="241" t="s">
        <v>792</v>
      </c>
      <c r="B19" s="324">
        <v>210210.65711100868</v>
      </c>
      <c r="C19" s="356">
        <v>210210.65711100868</v>
      </c>
      <c r="D19" s="326">
        <f t="shared" ref="D19" si="7">C19-B19</f>
        <v>0</v>
      </c>
      <c r="E19" s="361"/>
      <c r="F19" s="324">
        <v>209119.09997132598</v>
      </c>
      <c r="G19" s="324">
        <v>209119.09997132598</v>
      </c>
      <c r="H19" s="326">
        <f t="shared" ref="H19" si="8">G19-F19</f>
        <v>0</v>
      </c>
      <c r="I19" s="362"/>
      <c r="J19" s="324">
        <v>209119.09997132598</v>
      </c>
      <c r="K19" s="324">
        <f>SUMIF('Measure-Level Adjustments Tab'!$A$8:$A$500,$A19,'Measure-Level Adjustments Tab'!$BA$8:$BA$500)</f>
        <v>211146.27751645097</v>
      </c>
      <c r="L19" s="326">
        <f t="shared" ref="L19" si="9">K19-J19</f>
        <v>2027.177545124985</v>
      </c>
      <c r="M19" s="235" t="s">
        <v>1454</v>
      </c>
      <c r="N19" s="324">
        <v>209119.09997132598</v>
      </c>
      <c r="O19" s="324">
        <f>SUMIF('Measure-Level Adjustments Tab'!$A$8:$A$500,$A19,'Measure-Level Adjustments Tab'!$BB$8:$BB$500)</f>
        <v>211146.27751645097</v>
      </c>
      <c r="P19" s="326">
        <f t="shared" ref="P19" si="10">O19-N19</f>
        <v>2027.177545124985</v>
      </c>
      <c r="Q19" s="235" t="s">
        <v>1454</v>
      </c>
      <c r="R19" s="243">
        <f t="shared" ref="R19" si="11">B19+F19+J19+N19</f>
        <v>837567.95702498662</v>
      </c>
      <c r="S19" s="239">
        <f t="shared" ref="S19" si="12">C19+G19+K19+O19</f>
        <v>841622.31211523665</v>
      </c>
      <c r="T19" s="240">
        <f t="shared" ref="T19" si="13">S19-R19</f>
        <v>4054.3550902500283</v>
      </c>
    </row>
    <row r="20" spans="1:20" s="237" customFormat="1" ht="14">
      <c r="A20" s="241" t="s">
        <v>725</v>
      </c>
      <c r="B20" s="324">
        <v>545180.66211523884</v>
      </c>
      <c r="C20" s="356">
        <v>545180.66211523884</v>
      </c>
      <c r="D20" s="326">
        <f t="shared" si="0"/>
        <v>0</v>
      </c>
      <c r="E20" s="361"/>
      <c r="F20" s="324">
        <v>545180.66211523884</v>
      </c>
      <c r="G20" s="324">
        <v>545180.66211523884</v>
      </c>
      <c r="H20" s="326">
        <f t="shared" si="1"/>
        <v>0</v>
      </c>
      <c r="I20" s="362"/>
      <c r="J20" s="324">
        <v>545180.66211523884</v>
      </c>
      <c r="K20" s="324">
        <f>SUMIF('Measure-Level Adjustments Tab'!$A$8:$A$500,$A20,'Measure-Level Adjustments Tab'!$BA$8:$BA$500)</f>
        <v>550687.59297562437</v>
      </c>
      <c r="L20" s="326">
        <f t="shared" si="2"/>
        <v>5506.9308603855316</v>
      </c>
      <c r="M20" s="361" t="s">
        <v>1453</v>
      </c>
      <c r="N20" s="324">
        <v>545180.66211523884</v>
      </c>
      <c r="O20" s="324">
        <f>SUMIF('Measure-Level Adjustments Tab'!$A$8:$A$500,$A20,'Measure-Level Adjustments Tab'!$BB$8:$BB$500)</f>
        <v>550687.59297562437</v>
      </c>
      <c r="P20" s="326">
        <f t="shared" si="3"/>
        <v>5506.9308603855316</v>
      </c>
      <c r="Q20" s="361" t="s">
        <v>1453</v>
      </c>
      <c r="R20" s="243">
        <f t="shared" si="4"/>
        <v>2180722.6484609554</v>
      </c>
      <c r="S20" s="239">
        <f t="shared" si="5"/>
        <v>2191736.5101817264</v>
      </c>
      <c r="T20" s="240">
        <f t="shared" si="6"/>
        <v>11013.861720771063</v>
      </c>
    </row>
    <row r="21" spans="1:20" s="237" customFormat="1" ht="14">
      <c r="A21" s="241" t="s">
        <v>728</v>
      </c>
      <c r="B21" s="324">
        <v>611713.31282098917</v>
      </c>
      <c r="C21" s="356">
        <v>611713.31282098917</v>
      </c>
      <c r="D21" s="326">
        <f t="shared" si="0"/>
        <v>0</v>
      </c>
      <c r="E21" s="361"/>
      <c r="F21" s="324">
        <v>615051.66312223917</v>
      </c>
      <c r="G21" s="324">
        <v>615051.66312223917</v>
      </c>
      <c r="H21" s="326">
        <f t="shared" si="1"/>
        <v>0</v>
      </c>
      <c r="I21" s="362"/>
      <c r="J21" s="324">
        <v>615051.66312223917</v>
      </c>
      <c r="K21" s="324">
        <f>SUMIF('Measure-Level Adjustments Tab'!$A$8:$A$500,$A21,'Measure-Level Adjustments Tab'!$BA$8:$BA$500)</f>
        <v>615833.39912223921</v>
      </c>
      <c r="L21" s="326">
        <f t="shared" si="2"/>
        <v>781.73600000003353</v>
      </c>
      <c r="M21" s="235" t="s">
        <v>1454</v>
      </c>
      <c r="N21" s="324">
        <v>615051.66312223917</v>
      </c>
      <c r="O21" s="324">
        <f>SUMIF('Measure-Level Adjustments Tab'!$A$8:$A$500,$A21,'Measure-Level Adjustments Tab'!$BB$8:$BB$500)</f>
        <v>615833.39912223921</v>
      </c>
      <c r="P21" s="326">
        <f t="shared" si="3"/>
        <v>781.73600000003353</v>
      </c>
      <c r="Q21" s="235" t="s">
        <v>1454</v>
      </c>
      <c r="R21" s="243">
        <f t="shared" si="4"/>
        <v>2456868.3021877063</v>
      </c>
      <c r="S21" s="239">
        <f t="shared" si="5"/>
        <v>2458431.7741877064</v>
      </c>
      <c r="T21" s="240">
        <f t="shared" si="6"/>
        <v>1563.4720000000671</v>
      </c>
    </row>
    <row r="22" spans="1:20" s="237" customFormat="1" ht="14">
      <c r="A22" s="241" t="s">
        <v>713</v>
      </c>
      <c r="B22" s="324">
        <v>0</v>
      </c>
      <c r="C22" s="356">
        <v>0</v>
      </c>
      <c r="D22" s="326">
        <f t="shared" si="0"/>
        <v>0</v>
      </c>
      <c r="E22" s="361"/>
      <c r="F22" s="324">
        <v>0</v>
      </c>
      <c r="G22" s="324">
        <v>0</v>
      </c>
      <c r="H22" s="326">
        <f t="shared" si="1"/>
        <v>0</v>
      </c>
      <c r="I22" s="362"/>
      <c r="J22" s="324">
        <v>0</v>
      </c>
      <c r="K22" s="324">
        <f>SUMIF('Measure-Level Adjustments Tab'!$A$8:$A$500,$A22,'Measure-Level Adjustments Tab'!$BA$8:$BA$500)</f>
        <v>0</v>
      </c>
      <c r="L22" s="326">
        <f t="shared" si="2"/>
        <v>0</v>
      </c>
      <c r="M22" s="361"/>
      <c r="N22" s="324">
        <v>0</v>
      </c>
      <c r="O22" s="324">
        <f>SUMIF('Measure-Level Adjustments Tab'!$A$8:$A$500,$A22,'Measure-Level Adjustments Tab'!$BB$8:$BB$500)</f>
        <v>0</v>
      </c>
      <c r="P22" s="326">
        <f t="shared" si="3"/>
        <v>0</v>
      </c>
      <c r="Q22" s="361"/>
      <c r="R22" s="243">
        <f t="shared" si="4"/>
        <v>0</v>
      </c>
      <c r="S22" s="239">
        <f t="shared" si="5"/>
        <v>0</v>
      </c>
      <c r="T22" s="240">
        <f t="shared" si="6"/>
        <v>0</v>
      </c>
    </row>
    <row r="23" spans="1:20" s="237" customFormat="1" ht="14">
      <c r="A23" s="241" t="s">
        <v>714</v>
      </c>
      <c r="B23" s="324">
        <v>678580.4888625209</v>
      </c>
      <c r="C23" s="356">
        <v>678580.4888625209</v>
      </c>
      <c r="D23" s="326">
        <f t="shared" si="0"/>
        <v>0</v>
      </c>
      <c r="E23" s="361"/>
      <c r="F23" s="324">
        <v>648573.18781872117</v>
      </c>
      <c r="G23" s="324">
        <v>648573.18781872117</v>
      </c>
      <c r="H23" s="326">
        <f t="shared" si="1"/>
        <v>0</v>
      </c>
      <c r="I23" s="362"/>
      <c r="J23" s="324">
        <v>648573.18781872117</v>
      </c>
      <c r="K23" s="324">
        <f>SUMIF('Measure-Level Adjustments Tab'!$A$8:$A$500,$A23,'Measure-Level Adjustments Tab'!$BA$8:$BA$500)</f>
        <v>669704.42230495194</v>
      </c>
      <c r="L23" s="326">
        <f t="shared" si="2"/>
        <v>21131.234486230765</v>
      </c>
      <c r="M23" s="235" t="s">
        <v>1459</v>
      </c>
      <c r="N23" s="324">
        <v>648573.18781872117</v>
      </c>
      <c r="O23" s="324">
        <f>SUMIF('Measure-Level Adjustments Tab'!$A$8:$A$500,$A23,'Measure-Level Adjustments Tab'!$BB$8:$BB$500)</f>
        <v>669704.42230495194</v>
      </c>
      <c r="P23" s="326">
        <f t="shared" si="3"/>
        <v>21131.234486230765</v>
      </c>
      <c r="Q23" s="235" t="s">
        <v>1459</v>
      </c>
      <c r="R23" s="243">
        <f t="shared" si="4"/>
        <v>2624300.0523186843</v>
      </c>
      <c r="S23" s="239">
        <f t="shared" si="5"/>
        <v>2666562.5212911461</v>
      </c>
      <c r="T23" s="240">
        <f t="shared" si="6"/>
        <v>42262.468972461764</v>
      </c>
    </row>
    <row r="24" spans="1:20" s="237" customFormat="1" ht="14">
      <c r="A24" s="238" t="s">
        <v>715</v>
      </c>
      <c r="B24" s="324">
        <v>714169.86674959329</v>
      </c>
      <c r="C24" s="356">
        <v>714169.86674959329</v>
      </c>
      <c r="D24" s="325">
        <f t="shared" si="0"/>
        <v>0</v>
      </c>
      <c r="E24" s="235"/>
      <c r="F24" s="324">
        <v>700436.96414084826</v>
      </c>
      <c r="G24" s="324">
        <v>700436.96414084826</v>
      </c>
      <c r="H24" s="325">
        <f t="shared" si="1"/>
        <v>0</v>
      </c>
      <c r="I24" s="236"/>
      <c r="J24" s="324">
        <v>700436.96414084826</v>
      </c>
      <c r="K24" s="324">
        <f>SUMIF('Measure-Level Adjustments Tab'!$A$8:$A$500,$A24,'Measure-Level Adjustments Tab'!$BA$8:$BA$500)</f>
        <v>700436.96414084826</v>
      </c>
      <c r="L24" s="325">
        <f t="shared" si="2"/>
        <v>0</v>
      </c>
      <c r="M24" s="235"/>
      <c r="N24" s="324">
        <v>700436.96414084826</v>
      </c>
      <c r="O24" s="324">
        <f>SUMIF('Measure-Level Adjustments Tab'!$A$8:$A$500,$A24,'Measure-Level Adjustments Tab'!$BB$8:$BB$500)</f>
        <v>700436.96414084826</v>
      </c>
      <c r="P24" s="326">
        <f t="shared" si="3"/>
        <v>0</v>
      </c>
      <c r="Q24" s="235"/>
      <c r="R24" s="243">
        <f t="shared" si="4"/>
        <v>2815480.7591721378</v>
      </c>
      <c r="S24" s="239">
        <f t="shared" si="5"/>
        <v>2815480.7591721378</v>
      </c>
      <c r="T24" s="240">
        <f t="shared" si="6"/>
        <v>0</v>
      </c>
    </row>
    <row r="25" spans="1:20" s="237" customFormat="1" ht="14">
      <c r="A25" s="238" t="s">
        <v>716</v>
      </c>
      <c r="B25" s="324">
        <v>30888.548403706227</v>
      </c>
      <c r="C25" s="356">
        <v>30888.548403706227</v>
      </c>
      <c r="D25" s="325">
        <f t="shared" si="0"/>
        <v>0</v>
      </c>
      <c r="E25" s="235"/>
      <c r="F25" s="324">
        <v>29208.937377107024</v>
      </c>
      <c r="G25" s="324">
        <v>29208.937377107024</v>
      </c>
      <c r="H25" s="325">
        <f t="shared" si="1"/>
        <v>0</v>
      </c>
      <c r="I25" s="236"/>
      <c r="J25" s="324">
        <v>29208.937377107024</v>
      </c>
      <c r="K25" s="324">
        <f>SUMIF('Measure-Level Adjustments Tab'!$A$8:$A$500,$A25,'Measure-Level Adjustments Tab'!$BA$8:$BA$500)</f>
        <v>29208.937377107024</v>
      </c>
      <c r="L25" s="325">
        <f t="shared" si="2"/>
        <v>0</v>
      </c>
      <c r="M25" s="235"/>
      <c r="N25" s="324">
        <v>29208.937377107024</v>
      </c>
      <c r="O25" s="324">
        <f>SUMIF('Measure-Level Adjustments Tab'!$A$8:$A$500,$A25,'Measure-Level Adjustments Tab'!$BB$8:$BB$500)</f>
        <v>29208.937377107024</v>
      </c>
      <c r="P25" s="326">
        <f t="shared" si="3"/>
        <v>0</v>
      </c>
      <c r="Q25" s="235"/>
      <c r="R25" s="243">
        <f t="shared" si="4"/>
        <v>118515.3605350273</v>
      </c>
      <c r="S25" s="239">
        <f t="shared" si="5"/>
        <v>118515.3605350273</v>
      </c>
      <c r="T25" s="240">
        <f t="shared" si="6"/>
        <v>0</v>
      </c>
    </row>
    <row r="26" spans="1:20" s="237" customFormat="1" thickBot="1">
      <c r="A26" s="238" t="s">
        <v>717</v>
      </c>
      <c r="B26" s="324">
        <v>61000</v>
      </c>
      <c r="C26" s="356">
        <v>61000</v>
      </c>
      <c r="D26" s="325">
        <f t="shared" si="0"/>
        <v>0</v>
      </c>
      <c r="E26" s="235"/>
      <c r="F26" s="324">
        <v>61000</v>
      </c>
      <c r="G26" s="324">
        <v>61000</v>
      </c>
      <c r="H26" s="325">
        <f t="shared" si="1"/>
        <v>0</v>
      </c>
      <c r="I26" s="236"/>
      <c r="J26" s="324">
        <v>61000</v>
      </c>
      <c r="K26" s="324">
        <f>SUMIF('Measure-Level Adjustments Tab'!$A$8:$A$500,$A26,'Measure-Level Adjustments Tab'!$BA$8:$BA$500)</f>
        <v>61000</v>
      </c>
      <c r="L26" s="325">
        <f t="shared" si="2"/>
        <v>0</v>
      </c>
      <c r="M26" s="235"/>
      <c r="N26" s="324">
        <v>61000</v>
      </c>
      <c r="O26" s="324">
        <f>SUMIF('Measure-Level Adjustments Tab'!$A$8:$A$500,$A26,'Measure-Level Adjustments Tab'!$BB$8:$BB$500)</f>
        <v>61000</v>
      </c>
      <c r="P26" s="326">
        <f t="shared" si="3"/>
        <v>0</v>
      </c>
      <c r="Q26" s="235"/>
      <c r="R26" s="243">
        <f t="shared" si="4"/>
        <v>244000</v>
      </c>
      <c r="S26" s="239">
        <f t="shared" si="5"/>
        <v>244000</v>
      </c>
      <c r="T26" s="240">
        <f t="shared" si="6"/>
        <v>0</v>
      </c>
    </row>
    <row r="27" spans="1:20" s="244" customFormat="1" ht="34.5" customHeight="1" thickTop="1">
      <c r="A27" s="245" t="s">
        <v>41</v>
      </c>
      <c r="B27" s="246">
        <f>SUM(B8:B26)</f>
        <v>9868975.2791560758</v>
      </c>
      <c r="C27" s="247">
        <f>SUM(C8:C26)</f>
        <v>9868975.2791560758</v>
      </c>
      <c r="D27" s="248">
        <f t="shared" ref="D27" si="14">SUM(D8:D26)</f>
        <v>0</v>
      </c>
      <c r="E27" s="249"/>
      <c r="F27" s="246">
        <f t="shared" ref="F27:G27" si="15">SUM(F8:F26)</f>
        <v>9291953.6786852926</v>
      </c>
      <c r="G27" s="250">
        <f t="shared" si="15"/>
        <v>9291953.6786852926</v>
      </c>
      <c r="H27" s="248">
        <f t="shared" ref="H27:T27" si="16">SUM(H8:H26)</f>
        <v>0</v>
      </c>
      <c r="I27" s="249"/>
      <c r="J27" s="246">
        <f t="shared" si="16"/>
        <v>9247836.4069071934</v>
      </c>
      <c r="K27" s="251">
        <f t="shared" si="16"/>
        <v>9291936.6187772229</v>
      </c>
      <c r="L27" s="248">
        <f t="shared" si="16"/>
        <v>44100.211870033134</v>
      </c>
      <c r="M27" s="249"/>
      <c r="N27" s="246">
        <f t="shared" si="16"/>
        <v>9279450.1515519544</v>
      </c>
      <c r="O27" s="252">
        <f t="shared" si="16"/>
        <v>9323495.5622614585</v>
      </c>
      <c r="P27" s="248">
        <f t="shared" si="16"/>
        <v>44045.410709504868</v>
      </c>
      <c r="Q27" s="249"/>
      <c r="R27" s="246">
        <f t="shared" si="16"/>
        <v>37688215.516300514</v>
      </c>
      <c r="S27" s="253">
        <f t="shared" si="16"/>
        <v>37776361.138880044</v>
      </c>
      <c r="T27" s="248">
        <f t="shared" si="16"/>
        <v>88145.62257953838</v>
      </c>
    </row>
    <row r="28" spans="1:20" ht="18.75" customHeight="1">
      <c r="A28" s="254"/>
      <c r="C28" s="395"/>
    </row>
    <row r="29" spans="1:20">
      <c r="A29" s="359"/>
      <c r="B29"/>
      <c r="F29" s="360"/>
      <c r="J29" s="360"/>
      <c r="N29" s="360"/>
    </row>
    <row r="30" spans="1:20">
      <c r="A30" s="359"/>
      <c r="B30" s="360"/>
      <c r="F30" s="360"/>
      <c r="J30" s="360"/>
      <c r="N30" s="360"/>
    </row>
    <row r="31" spans="1:20">
      <c r="A31" s="472"/>
      <c r="B31" s="360"/>
      <c r="F31" s="360"/>
      <c r="J31" s="360"/>
      <c r="N31" s="360"/>
    </row>
    <row r="32" spans="1:20">
      <c r="A32" s="360"/>
      <c r="B32" s="360"/>
      <c r="F32" s="360"/>
      <c r="J32" s="360"/>
      <c r="N32" s="360"/>
    </row>
    <row r="33" spans="2:14">
      <c r="B33" s="360"/>
      <c r="F33" s="360"/>
      <c r="J33" s="360"/>
      <c r="N33" s="360"/>
    </row>
  </sheetData>
  <mergeCells count="5">
    <mergeCell ref="B4:E4"/>
    <mergeCell ref="F4:I4"/>
    <mergeCell ref="J4:M4"/>
    <mergeCell ref="R4:T4"/>
    <mergeCell ref="N4:Q4"/>
  </mergeCells>
  <printOptions headings="1" gridLines="1"/>
  <pageMargins left="0.5" right="0.5" top="0.5" bottom="0.5" header="0.3" footer="0.3"/>
  <pageSetup scale="24" orientation="landscape" r:id="rId1"/>
  <headerFooter>
    <oddFooter>&amp;L&amp;"Arial,Regular"&amp;14&amp;A
&amp;F&amp;C&amp;"Arial,Regular"&amp;14&amp;P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429"/>
  <sheetViews>
    <sheetView view="pageBreakPreview" zoomScale="70" zoomScaleNormal="70" zoomScaleSheetLayoutView="70" workbookViewId="0">
      <pane ySplit="6" topLeftCell="A7" activePane="bottomLeft" state="frozen"/>
      <selection pane="bottomLeft"/>
    </sheetView>
  </sheetViews>
  <sheetFormatPr defaultColWidth="9.1796875" defaultRowHeight="14"/>
  <cols>
    <col min="1" max="1" width="40.453125" style="1" customWidth="1"/>
    <col min="2" max="2" width="60" style="1" customWidth="1"/>
    <col min="3" max="3" width="14.1796875" style="1" customWidth="1"/>
    <col min="4" max="4" width="12.7265625" style="1" customWidth="1"/>
    <col min="5" max="6" width="12.7265625" style="1" hidden="1" customWidth="1"/>
    <col min="7" max="11" width="13.1796875" style="1" hidden="1" customWidth="1"/>
    <col min="12" max="12" width="30" style="1" hidden="1" customWidth="1"/>
    <col min="13" max="13" width="18.81640625" style="1" hidden="1" customWidth="1"/>
    <col min="14" max="17" width="12.1796875" style="1" hidden="1" customWidth="1"/>
    <col min="18" max="21" width="12.54296875" style="1" hidden="1" customWidth="1"/>
    <col min="22" max="26" width="17" style="1" hidden="1" customWidth="1"/>
    <col min="27" max="30" width="23.7265625" style="1" hidden="1" customWidth="1"/>
    <col min="31" max="32" width="14.7265625" style="1" hidden="1" customWidth="1"/>
    <col min="33" max="33" width="22.1796875" style="1" hidden="1" customWidth="1"/>
    <col min="34" max="34" width="26.1796875" style="1" hidden="1" customWidth="1"/>
    <col min="35" max="36" width="17.81640625" style="1" hidden="1" customWidth="1"/>
    <col min="37" max="38" width="17" style="1" hidden="1" customWidth="1"/>
    <col min="39" max="40" width="23.1796875" style="1" customWidth="1"/>
    <col min="41" max="41" width="13.54296875" style="1" customWidth="1"/>
    <col min="42" max="42" width="20.1796875" style="1" customWidth="1"/>
    <col min="43" max="44" width="17.453125" style="1" customWidth="1"/>
    <col min="45" max="46" width="23.54296875" style="1" customWidth="1"/>
    <col min="47" max="47" width="13.54296875" style="1" customWidth="1"/>
    <col min="48" max="48" width="18.7265625" style="1" customWidth="1"/>
    <col min="49" max="50" width="17.26953125" style="1" customWidth="1"/>
    <col min="51" max="51" width="40" style="1" customWidth="1"/>
    <col min="52" max="54" width="44.1796875" style="1" customWidth="1"/>
    <col min="55" max="55" width="30.26953125" style="1" customWidth="1"/>
    <col min="56" max="56" width="23" style="1" customWidth="1"/>
    <col min="57" max="57" width="102.1796875" style="1" customWidth="1"/>
    <col min="58" max="58" width="18.54296875" style="1" customWidth="1"/>
    <col min="59" max="16384" width="9.1796875" style="1"/>
  </cols>
  <sheetData>
    <row r="1" spans="1:58" ht="14.5">
      <c r="A1" s="1" t="s">
        <v>762</v>
      </c>
    </row>
    <row r="2" spans="1:58" ht="14.5">
      <c r="A2" s="209" t="s">
        <v>1460</v>
      </c>
      <c r="AY2" s="254"/>
    </row>
    <row r="3" spans="1:58" s="211" customFormat="1">
      <c r="A3" s="210" t="s">
        <v>43</v>
      </c>
      <c r="B3" s="211" t="s">
        <v>667</v>
      </c>
      <c r="V3" s="468"/>
      <c r="W3" s="468"/>
      <c r="X3" s="468"/>
      <c r="Y3" s="468"/>
    </row>
    <row r="4" spans="1:58" s="237" customFormat="1">
      <c r="A4" s="255"/>
      <c r="B4" s="256"/>
      <c r="C4" s="256"/>
      <c r="D4" s="256"/>
      <c r="E4" s="469"/>
      <c r="F4" s="465"/>
      <c r="G4" s="509" t="s">
        <v>20</v>
      </c>
      <c r="H4" s="510"/>
      <c r="I4" s="510"/>
      <c r="J4" s="510"/>
      <c r="K4" s="511"/>
      <c r="L4" s="509" t="s">
        <v>13</v>
      </c>
      <c r="M4" s="510"/>
      <c r="N4" s="510"/>
      <c r="O4" s="510"/>
      <c r="P4" s="510"/>
      <c r="Q4" s="511"/>
      <c r="R4" s="509" t="s">
        <v>13</v>
      </c>
      <c r="S4" s="510"/>
      <c r="T4" s="510"/>
      <c r="U4" s="510"/>
      <c r="V4" s="510"/>
      <c r="W4" s="510"/>
      <c r="X4" s="510"/>
      <c r="Y4" s="510"/>
      <c r="Z4" s="511"/>
      <c r="AA4" s="529" t="s">
        <v>132</v>
      </c>
      <c r="AB4" s="530"/>
      <c r="AC4" s="530"/>
      <c r="AD4" s="530"/>
      <c r="AE4" s="530"/>
      <c r="AF4" s="531"/>
      <c r="AG4" s="524" t="s">
        <v>131</v>
      </c>
      <c r="AH4" s="504"/>
      <c r="AI4" s="504"/>
      <c r="AJ4" s="504"/>
      <c r="AK4" s="504"/>
      <c r="AL4" s="525"/>
      <c r="AM4" s="526" t="s">
        <v>128</v>
      </c>
      <c r="AN4" s="527"/>
      <c r="AO4" s="527"/>
      <c r="AP4" s="527"/>
      <c r="AQ4" s="527"/>
      <c r="AR4" s="528"/>
      <c r="AS4" s="512" t="s">
        <v>126</v>
      </c>
      <c r="AT4" s="513"/>
      <c r="AU4" s="513"/>
      <c r="AV4" s="513"/>
      <c r="AW4" s="513"/>
      <c r="AX4" s="514"/>
      <c r="AY4" s="515" t="s">
        <v>21</v>
      </c>
      <c r="AZ4" s="516"/>
      <c r="BA4" s="516"/>
      <c r="BB4" s="516"/>
      <c r="BC4" s="517"/>
      <c r="BD4" s="509" t="s">
        <v>40</v>
      </c>
      <c r="BE4" s="510"/>
      <c r="BF4" s="257"/>
    </row>
    <row r="5" spans="1:58" s="222" customFormat="1" ht="141" customHeight="1">
      <c r="A5" s="258"/>
      <c r="B5" s="259"/>
      <c r="C5" s="259"/>
      <c r="D5" s="259"/>
      <c r="E5" s="466"/>
      <c r="F5" s="466"/>
      <c r="G5" s="521" t="s">
        <v>50</v>
      </c>
      <c r="H5" s="522"/>
      <c r="I5" s="522"/>
      <c r="J5" s="522"/>
      <c r="K5" s="523"/>
      <c r="L5" s="509" t="s">
        <v>61</v>
      </c>
      <c r="M5" s="510"/>
      <c r="N5" s="510"/>
      <c r="O5" s="510"/>
      <c r="P5" s="510"/>
      <c r="Q5" s="511"/>
      <c r="R5" s="521" t="s">
        <v>135</v>
      </c>
      <c r="S5" s="522"/>
      <c r="T5" s="522"/>
      <c r="U5" s="523"/>
      <c r="V5" s="509" t="s">
        <v>62</v>
      </c>
      <c r="W5" s="510"/>
      <c r="X5" s="510"/>
      <c r="Y5" s="510"/>
      <c r="Z5" s="511"/>
      <c r="AA5" s="529" t="s">
        <v>92</v>
      </c>
      <c r="AB5" s="530"/>
      <c r="AC5" s="530"/>
      <c r="AD5" s="531"/>
      <c r="AE5" s="215" t="s">
        <v>57</v>
      </c>
      <c r="AF5" s="215" t="s">
        <v>58</v>
      </c>
      <c r="AG5" s="524" t="s">
        <v>101</v>
      </c>
      <c r="AH5" s="504"/>
      <c r="AI5" s="504"/>
      <c r="AJ5" s="525"/>
      <c r="AK5" s="217" t="s">
        <v>57</v>
      </c>
      <c r="AL5" s="217" t="s">
        <v>58</v>
      </c>
      <c r="AM5" s="526" t="s">
        <v>109</v>
      </c>
      <c r="AN5" s="527"/>
      <c r="AO5" s="527"/>
      <c r="AP5" s="528"/>
      <c r="AQ5" s="219" t="s">
        <v>57</v>
      </c>
      <c r="AR5" s="219" t="s">
        <v>58</v>
      </c>
      <c r="AS5" s="512" t="s">
        <v>117</v>
      </c>
      <c r="AT5" s="513"/>
      <c r="AU5" s="513"/>
      <c r="AV5" s="514"/>
      <c r="AW5" s="220" t="s">
        <v>57</v>
      </c>
      <c r="AX5" s="220" t="s">
        <v>58</v>
      </c>
      <c r="AY5" s="518"/>
      <c r="AZ5" s="519"/>
      <c r="BA5" s="519"/>
      <c r="BB5" s="519"/>
      <c r="BC5" s="520"/>
      <c r="BD5" s="260" t="s">
        <v>763</v>
      </c>
      <c r="BE5" s="261" t="s">
        <v>53</v>
      </c>
      <c r="BF5" s="262"/>
    </row>
    <row r="6" spans="1:58" s="222" customFormat="1" ht="70">
      <c r="A6" s="234" t="s">
        <v>0</v>
      </c>
      <c r="B6" s="234" t="s">
        <v>1</v>
      </c>
      <c r="C6" s="263" t="s">
        <v>52</v>
      </c>
      <c r="D6" s="263" t="s">
        <v>23</v>
      </c>
      <c r="E6" s="263" t="s">
        <v>1070</v>
      </c>
      <c r="F6" s="263" t="s">
        <v>1071</v>
      </c>
      <c r="G6" s="264" t="s">
        <v>2</v>
      </c>
      <c r="H6" s="265" t="s">
        <v>93</v>
      </c>
      <c r="I6" s="265" t="s">
        <v>102</v>
      </c>
      <c r="J6" s="265" t="s">
        <v>110</v>
      </c>
      <c r="K6" s="265" t="s">
        <v>118</v>
      </c>
      <c r="L6" s="266" t="s">
        <v>59</v>
      </c>
      <c r="M6" s="266" t="s">
        <v>29</v>
      </c>
      <c r="N6" s="266" t="s">
        <v>94</v>
      </c>
      <c r="O6" s="266" t="s">
        <v>103</v>
      </c>
      <c r="P6" s="266" t="s">
        <v>111</v>
      </c>
      <c r="Q6" s="266" t="s">
        <v>119</v>
      </c>
      <c r="R6" s="265" t="s">
        <v>136</v>
      </c>
      <c r="S6" s="265" t="s">
        <v>137</v>
      </c>
      <c r="T6" s="265" t="s">
        <v>138</v>
      </c>
      <c r="U6" s="265" t="s">
        <v>139</v>
      </c>
      <c r="V6" s="266" t="s">
        <v>95</v>
      </c>
      <c r="W6" s="266" t="s">
        <v>104</v>
      </c>
      <c r="X6" s="266" t="s">
        <v>112</v>
      </c>
      <c r="Y6" s="266" t="s">
        <v>120</v>
      </c>
      <c r="Z6" s="266" t="s">
        <v>133</v>
      </c>
      <c r="AA6" s="267" t="s">
        <v>96</v>
      </c>
      <c r="AB6" s="267" t="s">
        <v>29</v>
      </c>
      <c r="AC6" s="267" t="s">
        <v>97</v>
      </c>
      <c r="AD6" s="267" t="s">
        <v>3</v>
      </c>
      <c r="AE6" s="267" t="s">
        <v>98</v>
      </c>
      <c r="AF6" s="267" t="s">
        <v>99</v>
      </c>
      <c r="AG6" s="268" t="s">
        <v>130</v>
      </c>
      <c r="AH6" s="268" t="s">
        <v>29</v>
      </c>
      <c r="AI6" s="268" t="s">
        <v>105</v>
      </c>
      <c r="AJ6" s="268" t="s">
        <v>3</v>
      </c>
      <c r="AK6" s="268" t="s">
        <v>106</v>
      </c>
      <c r="AL6" s="268" t="s">
        <v>107</v>
      </c>
      <c r="AM6" s="269" t="s">
        <v>129</v>
      </c>
      <c r="AN6" s="269" t="s">
        <v>29</v>
      </c>
      <c r="AO6" s="269" t="s">
        <v>113</v>
      </c>
      <c r="AP6" s="269" t="s">
        <v>3</v>
      </c>
      <c r="AQ6" s="269" t="s">
        <v>114</v>
      </c>
      <c r="AR6" s="269" t="s">
        <v>115</v>
      </c>
      <c r="AS6" s="270" t="s">
        <v>127</v>
      </c>
      <c r="AT6" s="270" t="s">
        <v>29</v>
      </c>
      <c r="AU6" s="270" t="s">
        <v>121</v>
      </c>
      <c r="AV6" s="270" t="s">
        <v>3</v>
      </c>
      <c r="AW6" s="270" t="s">
        <v>122</v>
      </c>
      <c r="AX6" s="270" t="s">
        <v>123</v>
      </c>
      <c r="AY6" s="215" t="s">
        <v>100</v>
      </c>
      <c r="AZ6" s="217" t="s">
        <v>108</v>
      </c>
      <c r="BA6" s="219" t="s">
        <v>116</v>
      </c>
      <c r="BB6" s="220" t="s">
        <v>124</v>
      </c>
      <c r="BC6" s="271" t="s">
        <v>125</v>
      </c>
      <c r="BD6" s="265" t="s">
        <v>44</v>
      </c>
      <c r="BE6" s="272" t="s">
        <v>42</v>
      </c>
      <c r="BF6" s="262"/>
    </row>
    <row r="7" spans="1:58" s="286" customFormat="1" ht="28">
      <c r="A7" s="273" t="s">
        <v>4</v>
      </c>
      <c r="B7" s="273" t="s">
        <v>5</v>
      </c>
      <c r="C7" s="273" t="s">
        <v>6</v>
      </c>
      <c r="D7" s="273" t="s">
        <v>7</v>
      </c>
      <c r="E7" s="273"/>
      <c r="F7" s="273"/>
      <c r="G7" s="274" t="s">
        <v>8</v>
      </c>
      <c r="H7" s="274" t="s">
        <v>9</v>
      </c>
      <c r="I7" s="274" t="s">
        <v>10</v>
      </c>
      <c r="J7" s="274" t="s">
        <v>11</v>
      </c>
      <c r="K7" s="274" t="s">
        <v>12</v>
      </c>
      <c r="L7" s="275" t="s">
        <v>14</v>
      </c>
      <c r="M7" s="275" t="s">
        <v>15</v>
      </c>
      <c r="N7" s="275" t="s">
        <v>16</v>
      </c>
      <c r="O7" s="275" t="s">
        <v>17</v>
      </c>
      <c r="P7" s="275" t="s">
        <v>18</v>
      </c>
      <c r="Q7" s="275" t="s">
        <v>19</v>
      </c>
      <c r="R7" s="274" t="s">
        <v>24</v>
      </c>
      <c r="S7" s="274" t="s">
        <v>26</v>
      </c>
      <c r="T7" s="274" t="s">
        <v>63</v>
      </c>
      <c r="U7" s="274" t="s">
        <v>64</v>
      </c>
      <c r="V7" s="275" t="s">
        <v>65</v>
      </c>
      <c r="W7" s="275" t="s">
        <v>66</v>
      </c>
      <c r="X7" s="275" t="s">
        <v>67</v>
      </c>
      <c r="Y7" s="275" t="s">
        <v>68</v>
      </c>
      <c r="Z7" s="275" t="s">
        <v>69</v>
      </c>
      <c r="AA7" s="276" t="s">
        <v>30</v>
      </c>
      <c r="AB7" s="276" t="s">
        <v>70</v>
      </c>
      <c r="AC7" s="276" t="s">
        <v>71</v>
      </c>
      <c r="AD7" s="276" t="s">
        <v>72</v>
      </c>
      <c r="AE7" s="276" t="s">
        <v>73</v>
      </c>
      <c r="AF7" s="276" t="s">
        <v>75</v>
      </c>
      <c r="AG7" s="277" t="s">
        <v>25</v>
      </c>
      <c r="AH7" s="277" t="s">
        <v>27</v>
      </c>
      <c r="AI7" s="277" t="s">
        <v>31</v>
      </c>
      <c r="AJ7" s="277" t="s">
        <v>32</v>
      </c>
      <c r="AK7" s="277" t="s">
        <v>77</v>
      </c>
      <c r="AL7" s="277" t="s">
        <v>78</v>
      </c>
      <c r="AM7" s="278" t="s">
        <v>28</v>
      </c>
      <c r="AN7" s="278" t="s">
        <v>33</v>
      </c>
      <c r="AO7" s="278" t="s">
        <v>34</v>
      </c>
      <c r="AP7" s="278" t="s">
        <v>22</v>
      </c>
      <c r="AQ7" s="278" t="s">
        <v>79</v>
      </c>
      <c r="AR7" s="279" t="s">
        <v>80</v>
      </c>
      <c r="AS7" s="280" t="s">
        <v>35</v>
      </c>
      <c r="AT7" s="280" t="s">
        <v>36</v>
      </c>
      <c r="AU7" s="280" t="s">
        <v>37</v>
      </c>
      <c r="AV7" s="280" t="s">
        <v>38</v>
      </c>
      <c r="AW7" s="280" t="s">
        <v>81</v>
      </c>
      <c r="AX7" s="281" t="s">
        <v>82</v>
      </c>
      <c r="AY7" s="276" t="s">
        <v>83</v>
      </c>
      <c r="AZ7" s="277" t="s">
        <v>84</v>
      </c>
      <c r="BA7" s="278" t="s">
        <v>85</v>
      </c>
      <c r="BB7" s="280" t="s">
        <v>86</v>
      </c>
      <c r="BC7" s="282" t="s">
        <v>76</v>
      </c>
      <c r="BD7" s="283" t="s">
        <v>39</v>
      </c>
      <c r="BE7" s="284" t="s">
        <v>74</v>
      </c>
      <c r="BF7" s="285"/>
    </row>
    <row r="8" spans="1:58" s="211" customFormat="1" ht="13.5" customHeight="1">
      <c r="A8" s="287" t="str">
        <f>'Unit Savings Calculations'!C4</f>
        <v>Res - Outreach &amp; Education</v>
      </c>
      <c r="B8" s="287" t="str">
        <f>'Unit Savings Calculations'!D4</f>
        <v>Behavior 2018 1st Year</v>
      </c>
      <c r="C8" s="288">
        <f>IF(D8="Custom",0,1)</f>
        <v>1</v>
      </c>
      <c r="D8" s="287" t="str">
        <f>'Unit Savings Calculations'!T4</f>
        <v>6.1.1</v>
      </c>
      <c r="E8" s="287">
        <f>INDEX('Unit Savings Calculations'!$H$4:$H$421,MATCH('Measure-Level Adjustments Tab'!$A8&amp;"_"&amp;'Measure-Level Adjustments Tab'!$B8,'Unit Savings Calculations'!$A$4:$A$421,0))</f>
        <v>1</v>
      </c>
      <c r="F8" s="287">
        <f>INDEX('Unit Savings Calculations'!$I$4:$I$421,MATCH('Measure-Level Adjustments Tab'!$A8&amp;"_"&amp;'Measure-Level Adjustments Tab'!$B8,'Unit Savings Calculations'!$A$4:$A$421,0))</f>
        <v>1</v>
      </c>
      <c r="G8" s="287" t="str">
        <f>'Unit Savings Calculations'!E4</f>
        <v>each</v>
      </c>
      <c r="H8" s="289">
        <f>'Unit Savings Calculations'!$F4*'Unit Savings Calculations'!J4</f>
        <v>46800</v>
      </c>
      <c r="I8" s="289">
        <f>'Unit Savings Calculations'!$F4*'Unit Savings Calculations'!K4</f>
        <v>0</v>
      </c>
      <c r="J8" s="289">
        <f>'Unit Savings Calculations'!$F4*'Unit Savings Calculations'!L4</f>
        <v>0</v>
      </c>
      <c r="K8" s="289">
        <f>'Unit Savings Calculations'!$F4*'Unit Savings Calculations'!M4</f>
        <v>0</v>
      </c>
      <c r="L8" s="287" t="str">
        <f>'Unit Savings Calculations'!U4</f>
        <v>CC-BEH-BEHP-V02-16061</v>
      </c>
      <c r="M8" s="363" t="s">
        <v>826</v>
      </c>
      <c r="N8" s="290">
        <v>17.606837606837608</v>
      </c>
      <c r="O8" s="290">
        <v>0</v>
      </c>
      <c r="P8" s="290">
        <v>0</v>
      </c>
      <c r="Q8" s="290">
        <v>0</v>
      </c>
      <c r="R8" s="291">
        <f>'Unit Savings Calculations'!$G4</f>
        <v>1</v>
      </c>
      <c r="S8" s="291">
        <f>'Unit Savings Calculations'!$G4</f>
        <v>1</v>
      </c>
      <c r="T8" s="291">
        <f>'Unit Savings Calculations'!$G4</f>
        <v>1</v>
      </c>
      <c r="U8" s="291">
        <f>'Unit Savings Calculations'!$G4</f>
        <v>1</v>
      </c>
      <c r="V8" s="292">
        <f>H8*N8*R8</f>
        <v>824000.00000000012</v>
      </c>
      <c r="W8" s="292">
        <f t="shared" ref="W8" si="0">I8*O8*S8</f>
        <v>0</v>
      </c>
      <c r="X8" s="292">
        <f t="shared" ref="X8:Y8" si="1">J8*P8*T8</f>
        <v>0</v>
      </c>
      <c r="Y8" s="292">
        <f t="shared" si="1"/>
        <v>0</v>
      </c>
      <c r="Z8" s="292">
        <f>V8+W8+X8+Y8</f>
        <v>824000.00000000012</v>
      </c>
      <c r="AA8" s="287"/>
      <c r="AB8" s="287"/>
      <c r="AC8" s="293">
        <f>'Unit Savings Calculations'!N4</f>
        <v>17.606837606837608</v>
      </c>
      <c r="AD8" s="287"/>
      <c r="AE8" s="292">
        <f>H8*AC8*R8</f>
        <v>824000.00000000012</v>
      </c>
      <c r="AF8" s="289">
        <f>AE8-V8</f>
        <v>0</v>
      </c>
      <c r="AG8" s="287"/>
      <c r="AH8" s="287">
        <f>AB8</f>
        <v>0</v>
      </c>
      <c r="AI8" s="290">
        <f>'Unit Savings Calculations'!O4</f>
        <v>0</v>
      </c>
      <c r="AJ8" s="287" t="s">
        <v>872</v>
      </c>
      <c r="AK8" s="292">
        <f>I8*AI8*S8</f>
        <v>0</v>
      </c>
      <c r="AL8" s="289">
        <f>AK8-W8</f>
        <v>0</v>
      </c>
      <c r="AM8" s="287"/>
      <c r="AN8" s="287"/>
      <c r="AO8" s="290">
        <f>'Unit Savings Calculations'!P4</f>
        <v>0</v>
      </c>
      <c r="AP8" s="287" t="s">
        <v>764</v>
      </c>
      <c r="AQ8" s="292">
        <f>J8*AO8*T8</f>
        <v>0</v>
      </c>
      <c r="AR8" s="289">
        <f>AQ8-X8</f>
        <v>0</v>
      </c>
      <c r="AS8" s="287"/>
      <c r="AT8" s="287"/>
      <c r="AU8" s="290">
        <f>'Unit Savings Calculations'!Q4</f>
        <v>0</v>
      </c>
      <c r="AV8" s="287" t="str">
        <f>AP8</f>
        <v>n/a</v>
      </c>
      <c r="AW8" s="292">
        <f>K8*AU8*U8</f>
        <v>0</v>
      </c>
      <c r="AX8" s="289">
        <f>AW8-Y8</f>
        <v>0</v>
      </c>
      <c r="AY8" s="292">
        <f>IF(C8=1,AE8,V8)</f>
        <v>824000.00000000012</v>
      </c>
      <c r="AZ8" s="292">
        <f>IF(C8=1,AK8,W8)</f>
        <v>0</v>
      </c>
      <c r="BA8" s="292">
        <f>IF(C8=1,AQ8,X8)</f>
        <v>0</v>
      </c>
      <c r="BB8" s="292">
        <f>IF(C8=1,AW8,Y8)</f>
        <v>0</v>
      </c>
      <c r="BC8" s="294">
        <f>AY8+AZ8+BA8+BB8</f>
        <v>824000.00000000012</v>
      </c>
      <c r="BD8" s="287" t="s">
        <v>764</v>
      </c>
      <c r="BE8" s="295" t="str">
        <f>M8</f>
        <v>Exhibit 1.5B_R Peoples Gas EEPS_Adjustable_Savings_Goal_Template.xlsx, Behavior Tab</v>
      </c>
      <c r="BF8" s="296"/>
    </row>
    <row r="9" spans="1:58" s="211" customFormat="1" ht="13.5" customHeight="1">
      <c r="A9" s="287" t="str">
        <f>'Unit Savings Calculations'!C5</f>
        <v>Res - Outreach &amp; Education</v>
      </c>
      <c r="B9" s="287" t="str">
        <f>'Unit Savings Calculations'!D5</f>
        <v>Behavior 2019 1st Year</v>
      </c>
      <c r="C9" s="288">
        <f>IF(D9="Custom",0,1)</f>
        <v>1</v>
      </c>
      <c r="D9" s="287" t="str">
        <f>'Unit Savings Calculations'!T5</f>
        <v>6.1.1</v>
      </c>
      <c r="E9" s="287">
        <f>INDEX('Unit Savings Calculations'!$H$4:$H$421,MATCH('Measure-Level Adjustments Tab'!$A9&amp;"_"&amp;'Measure-Level Adjustments Tab'!$B9,'Unit Savings Calculations'!$A$4:$A$421,0))</f>
        <v>1</v>
      </c>
      <c r="F9" s="287">
        <f>INDEX('Unit Savings Calculations'!$I$4:$I$421,MATCH('Measure-Level Adjustments Tab'!A9&amp;"_"&amp;'Measure-Level Adjustments Tab'!B9,'Unit Savings Calculations'!$A$4:$A$421,0))</f>
        <v>1</v>
      </c>
      <c r="G9" s="287" t="str">
        <f>'Unit Savings Calculations'!E5</f>
        <v>each</v>
      </c>
      <c r="H9" s="289">
        <f>'Unit Savings Calculations'!$F5*'Unit Savings Calculations'!J5</f>
        <v>0</v>
      </c>
      <c r="I9" s="289">
        <f>'Unit Savings Calculations'!$F5*'Unit Savings Calculations'!K5</f>
        <v>45900</v>
      </c>
      <c r="J9" s="289">
        <f>'Unit Savings Calculations'!$F5*'Unit Savings Calculations'!L5</f>
        <v>0</v>
      </c>
      <c r="K9" s="289">
        <f>'Unit Savings Calculations'!$F5*'Unit Savings Calculations'!M5</f>
        <v>0</v>
      </c>
      <c r="L9" s="287" t="str">
        <f>'Unit Savings Calculations'!U5</f>
        <v>CC-BEH-BEHP-V02-16061</v>
      </c>
      <c r="M9" s="363" t="s">
        <v>826</v>
      </c>
      <c r="N9" s="290">
        <v>0</v>
      </c>
      <c r="O9" s="290">
        <v>10.036930915677852</v>
      </c>
      <c r="P9" s="290">
        <v>0</v>
      </c>
      <c r="Q9" s="290">
        <v>0</v>
      </c>
      <c r="R9" s="291">
        <f>'Unit Savings Calculations'!$G5</f>
        <v>1</v>
      </c>
      <c r="S9" s="291">
        <f>'Unit Savings Calculations'!$G5</f>
        <v>1</v>
      </c>
      <c r="T9" s="291">
        <f>'Unit Savings Calculations'!$G5</f>
        <v>1</v>
      </c>
      <c r="U9" s="291">
        <f>'Unit Savings Calculations'!$G5</f>
        <v>1</v>
      </c>
      <c r="V9" s="292">
        <f t="shared" ref="V9" si="2">H9*N9*R9</f>
        <v>0</v>
      </c>
      <c r="W9" s="292">
        <f t="shared" ref="W9" si="3">I9*O9*S9</f>
        <v>460695.1290296134</v>
      </c>
      <c r="X9" s="292">
        <f t="shared" ref="X9" si="4">J9*P9*T9</f>
        <v>0</v>
      </c>
      <c r="Y9" s="292">
        <f t="shared" ref="Y9" si="5">K9*Q9*U9</f>
        <v>0</v>
      </c>
      <c r="Z9" s="292">
        <f t="shared" ref="Z9" si="6">V9+W9+X9+Y9</f>
        <v>460695.1290296134</v>
      </c>
      <c r="AA9" s="287"/>
      <c r="AB9" s="287"/>
      <c r="AC9" s="293">
        <f>'Unit Savings Calculations'!N5</f>
        <v>0</v>
      </c>
      <c r="AD9" s="287"/>
      <c r="AE9" s="292">
        <f t="shared" ref="AE9:AE72" si="7">H9*AC9*R9</f>
        <v>0</v>
      </c>
      <c r="AF9" s="289">
        <f t="shared" ref="AF9:AF72" si="8">AE9-V9</f>
        <v>0</v>
      </c>
      <c r="AG9" s="287"/>
      <c r="AH9" s="287">
        <f t="shared" ref="AH9:AH72" si="9">AB9</f>
        <v>0</v>
      </c>
      <c r="AI9" s="290">
        <f>'Unit Savings Calculations'!O5</f>
        <v>10.036930915677852</v>
      </c>
      <c r="AJ9" s="287" t="s">
        <v>872</v>
      </c>
      <c r="AK9" s="292">
        <f t="shared" ref="AK9:AK72" si="10">I9*AI9*S9</f>
        <v>460695.1290296134</v>
      </c>
      <c r="AL9" s="289">
        <f t="shared" ref="AL9:AL72" si="11">AK9-W9</f>
        <v>0</v>
      </c>
      <c r="AM9" s="287"/>
      <c r="AN9" s="287"/>
      <c r="AO9" s="290">
        <f>'Unit Savings Calculations'!P5</f>
        <v>0</v>
      </c>
      <c r="AP9" s="287" t="s">
        <v>764</v>
      </c>
      <c r="AQ9" s="292">
        <f t="shared" ref="AQ9:AQ72" si="12">J9*AO9*T9</f>
        <v>0</v>
      </c>
      <c r="AR9" s="289">
        <f t="shared" ref="AR9:AR72" si="13">AQ9-X9</f>
        <v>0</v>
      </c>
      <c r="AS9" s="287"/>
      <c r="AT9" s="287"/>
      <c r="AU9" s="290">
        <f>'Unit Savings Calculations'!Q5</f>
        <v>0</v>
      </c>
      <c r="AV9" s="287" t="str">
        <f t="shared" ref="AV9:AV72" si="14">AP9</f>
        <v>n/a</v>
      </c>
      <c r="AW9" s="292">
        <f t="shared" ref="AW9:AW72" si="15">K9*AU9*U9</f>
        <v>0</v>
      </c>
      <c r="AX9" s="289">
        <f t="shared" ref="AX9:AX72" si="16">AW9-Y9</f>
        <v>0</v>
      </c>
      <c r="AY9" s="292">
        <f t="shared" ref="AY9:AY72" si="17">IF(C9=1,AE9,V9)</f>
        <v>0</v>
      </c>
      <c r="AZ9" s="292">
        <f t="shared" ref="AZ9:AZ72" si="18">IF(C9=1,AK9,W9)</f>
        <v>460695.1290296134</v>
      </c>
      <c r="BA9" s="292">
        <f t="shared" ref="BA9:BA72" si="19">IF(C9=1,AQ9,X9)</f>
        <v>0</v>
      </c>
      <c r="BB9" s="292">
        <f t="shared" ref="BB9:BB72" si="20">IF(C9=1,AW9,Y9)</f>
        <v>0</v>
      </c>
      <c r="BC9" s="294">
        <f t="shared" ref="BC9:BC72" si="21">AY9+AZ9+BA9+BB9</f>
        <v>460695.1290296134</v>
      </c>
      <c r="BD9" s="287" t="s">
        <v>764</v>
      </c>
      <c r="BE9" s="295" t="str">
        <f t="shared" ref="BE9:BE72" si="22">M9</f>
        <v>Exhibit 1.5B_R Peoples Gas EEPS_Adjustable_Savings_Goal_Template.xlsx, Behavior Tab</v>
      </c>
      <c r="BF9" s="296"/>
    </row>
    <row r="10" spans="1:58" s="211" customFormat="1" ht="13.5" customHeight="1">
      <c r="A10" s="287" t="str">
        <f>'Unit Savings Calculations'!C6</f>
        <v>Res - Outreach &amp; Education</v>
      </c>
      <c r="B10" s="287" t="str">
        <f>'Unit Savings Calculations'!D6</f>
        <v>Behavior 2020 1st Year</v>
      </c>
      <c r="C10" s="288">
        <f t="shared" ref="C10:C73" si="23">IF(D10="Custom",0,1)</f>
        <v>1</v>
      </c>
      <c r="D10" s="287" t="str">
        <f>'Unit Savings Calculations'!T6</f>
        <v>6.1.1</v>
      </c>
      <c r="E10" s="287">
        <f>INDEX('Unit Savings Calculations'!$H$4:$H$421,MATCH('Measure-Level Adjustments Tab'!$A10&amp;"_"&amp;'Measure-Level Adjustments Tab'!$B10,'Unit Savings Calculations'!$A$4:$A$421,0))</f>
        <v>1</v>
      </c>
      <c r="F10" s="287">
        <f>INDEX('Unit Savings Calculations'!$I$4:$I$421,MATCH('Measure-Level Adjustments Tab'!A10&amp;"_"&amp;'Measure-Level Adjustments Tab'!B10,'Unit Savings Calculations'!$A$4:$A$421,0))</f>
        <v>1</v>
      </c>
      <c r="G10" s="287" t="str">
        <f>'Unit Savings Calculations'!E6</f>
        <v>each</v>
      </c>
      <c r="H10" s="289">
        <f>'Unit Savings Calculations'!$F6*'Unit Savings Calculations'!J6</f>
        <v>0</v>
      </c>
      <c r="I10" s="289">
        <f>'Unit Savings Calculations'!$F6*'Unit Savings Calculations'!K6</f>
        <v>0</v>
      </c>
      <c r="J10" s="289">
        <f>'Unit Savings Calculations'!$F6*'Unit Savings Calculations'!L6</f>
        <v>44900</v>
      </c>
      <c r="K10" s="289">
        <f>'Unit Savings Calculations'!$F6*'Unit Savings Calculations'!M6</f>
        <v>0</v>
      </c>
      <c r="L10" s="287" t="str">
        <f>'Unit Savings Calculations'!U6</f>
        <v>CC-BEH-BEHP-V02-16061</v>
      </c>
      <c r="M10" s="363" t="s">
        <v>826</v>
      </c>
      <c r="N10" s="290">
        <v>0</v>
      </c>
      <c r="O10" s="290">
        <v>0</v>
      </c>
      <c r="P10" s="290">
        <v>10.113619383930006</v>
      </c>
      <c r="Q10" s="290">
        <v>0</v>
      </c>
      <c r="R10" s="291">
        <f>'Unit Savings Calculations'!$G6</f>
        <v>1</v>
      </c>
      <c r="S10" s="291">
        <f>'Unit Savings Calculations'!$G6</f>
        <v>1</v>
      </c>
      <c r="T10" s="291">
        <f>'Unit Savings Calculations'!$G6</f>
        <v>1</v>
      </c>
      <c r="U10" s="291">
        <f>'Unit Savings Calculations'!$G6</f>
        <v>1</v>
      </c>
      <c r="V10" s="292">
        <f t="shared" ref="V10:V11" si="24">H10*N10*R10</f>
        <v>0</v>
      </c>
      <c r="W10" s="292">
        <f t="shared" ref="W10:W11" si="25">I10*O10*S10</f>
        <v>0</v>
      </c>
      <c r="X10" s="292">
        <f t="shared" ref="X10:X11" si="26">J10*P10*T10</f>
        <v>454101.51033845724</v>
      </c>
      <c r="Y10" s="292">
        <f t="shared" ref="Y10:Y11" si="27">K10*Q10*U10</f>
        <v>0</v>
      </c>
      <c r="Z10" s="292">
        <f t="shared" ref="Z10:Z11" si="28">V10+W10+X10+Y10</f>
        <v>454101.51033845724</v>
      </c>
      <c r="AA10" s="287"/>
      <c r="AB10" s="287"/>
      <c r="AC10" s="293">
        <f>'Unit Savings Calculations'!N6</f>
        <v>0</v>
      </c>
      <c r="AD10" s="287"/>
      <c r="AE10" s="292">
        <f t="shared" si="7"/>
        <v>0</v>
      </c>
      <c r="AF10" s="289">
        <f t="shared" si="8"/>
        <v>0</v>
      </c>
      <c r="AG10" s="287"/>
      <c r="AH10" s="287">
        <f t="shared" si="9"/>
        <v>0</v>
      </c>
      <c r="AI10" s="290">
        <f>'Unit Savings Calculations'!O6</f>
        <v>0</v>
      </c>
      <c r="AJ10" s="287" t="s">
        <v>872</v>
      </c>
      <c r="AK10" s="292">
        <f t="shared" si="10"/>
        <v>0</v>
      </c>
      <c r="AL10" s="289">
        <f t="shared" si="11"/>
        <v>0</v>
      </c>
      <c r="AM10" s="287"/>
      <c r="AN10" s="287"/>
      <c r="AO10" s="290">
        <f>'Unit Savings Calculations'!P6</f>
        <v>10.113619383930006</v>
      </c>
      <c r="AP10" s="287" t="s">
        <v>764</v>
      </c>
      <c r="AQ10" s="292">
        <f t="shared" si="12"/>
        <v>454101.51033845724</v>
      </c>
      <c r="AR10" s="289">
        <f t="shared" si="13"/>
        <v>0</v>
      </c>
      <c r="AS10" s="287"/>
      <c r="AT10" s="287"/>
      <c r="AU10" s="290">
        <f>'Unit Savings Calculations'!Q6</f>
        <v>0</v>
      </c>
      <c r="AV10" s="287" t="str">
        <f t="shared" si="14"/>
        <v>n/a</v>
      </c>
      <c r="AW10" s="292">
        <f t="shared" si="15"/>
        <v>0</v>
      </c>
      <c r="AX10" s="289">
        <f t="shared" si="16"/>
        <v>0</v>
      </c>
      <c r="AY10" s="292">
        <f t="shared" si="17"/>
        <v>0</v>
      </c>
      <c r="AZ10" s="292">
        <f t="shared" si="18"/>
        <v>0</v>
      </c>
      <c r="BA10" s="292">
        <f t="shared" si="19"/>
        <v>454101.51033845724</v>
      </c>
      <c r="BB10" s="292">
        <f t="shared" si="20"/>
        <v>0</v>
      </c>
      <c r="BC10" s="294">
        <f t="shared" si="21"/>
        <v>454101.51033845724</v>
      </c>
      <c r="BD10" s="287" t="s">
        <v>764</v>
      </c>
      <c r="BE10" s="295" t="str">
        <f t="shared" si="22"/>
        <v>Exhibit 1.5B_R Peoples Gas EEPS_Adjustable_Savings_Goal_Template.xlsx, Behavior Tab</v>
      </c>
      <c r="BF10" s="296"/>
    </row>
    <row r="11" spans="1:58" s="211" customFormat="1" ht="13.5" customHeight="1">
      <c r="A11" s="287" t="str">
        <f>'Unit Savings Calculations'!C7</f>
        <v>Res - Outreach &amp; Education</v>
      </c>
      <c r="B11" s="287" t="str">
        <f>'Unit Savings Calculations'!D7</f>
        <v>Behavior 2021 1st Year</v>
      </c>
      <c r="C11" s="288">
        <f t="shared" si="23"/>
        <v>1</v>
      </c>
      <c r="D11" s="287" t="str">
        <f>'Unit Savings Calculations'!T7</f>
        <v>6.1.1</v>
      </c>
      <c r="E11" s="287">
        <f>INDEX('Unit Savings Calculations'!$H$4:$H$421,MATCH('Measure-Level Adjustments Tab'!$A11&amp;"_"&amp;'Measure-Level Adjustments Tab'!$B11,'Unit Savings Calculations'!$A$4:$A$421,0))</f>
        <v>1</v>
      </c>
      <c r="F11" s="287">
        <f>INDEX('Unit Savings Calculations'!$I$4:$I$421,MATCH('Measure-Level Adjustments Tab'!A11&amp;"_"&amp;'Measure-Level Adjustments Tab'!B11,'Unit Savings Calculations'!$A$4:$A$421,0))</f>
        <v>1</v>
      </c>
      <c r="G11" s="287" t="str">
        <f>'Unit Savings Calculations'!E7</f>
        <v>each</v>
      </c>
      <c r="H11" s="289">
        <f>'Unit Savings Calculations'!$F7*'Unit Savings Calculations'!J7</f>
        <v>0</v>
      </c>
      <c r="I11" s="289">
        <f>'Unit Savings Calculations'!$F7*'Unit Savings Calculations'!K7</f>
        <v>0</v>
      </c>
      <c r="J11" s="289">
        <f>'Unit Savings Calculations'!$F7*'Unit Savings Calculations'!L7</f>
        <v>0</v>
      </c>
      <c r="K11" s="289">
        <f>'Unit Savings Calculations'!$F7*'Unit Savings Calculations'!M7</f>
        <v>44000</v>
      </c>
      <c r="L11" s="287" t="str">
        <f>'Unit Savings Calculations'!U7</f>
        <v>CC-BEH-BEHP-V02-16061</v>
      </c>
      <c r="M11" s="363" t="s">
        <v>826</v>
      </c>
      <c r="N11" s="290">
        <v>0</v>
      </c>
      <c r="O11" s="290">
        <v>0</v>
      </c>
      <c r="P11" s="290">
        <v>0</v>
      </c>
      <c r="Q11" s="290">
        <v>10.186172770369932</v>
      </c>
      <c r="R11" s="291">
        <f>'Unit Savings Calculations'!$G7</f>
        <v>1</v>
      </c>
      <c r="S11" s="291">
        <f>'Unit Savings Calculations'!$G7</f>
        <v>1</v>
      </c>
      <c r="T11" s="291">
        <f>'Unit Savings Calculations'!$G7</f>
        <v>1</v>
      </c>
      <c r="U11" s="291">
        <f>'Unit Savings Calculations'!$G7</f>
        <v>1</v>
      </c>
      <c r="V11" s="292">
        <f t="shared" si="24"/>
        <v>0</v>
      </c>
      <c r="W11" s="292">
        <f t="shared" si="25"/>
        <v>0</v>
      </c>
      <c r="X11" s="292">
        <f t="shared" si="26"/>
        <v>0</v>
      </c>
      <c r="Y11" s="292">
        <f t="shared" si="27"/>
        <v>448191.60189627705</v>
      </c>
      <c r="Z11" s="292">
        <f t="shared" si="28"/>
        <v>448191.60189627705</v>
      </c>
      <c r="AA11" s="287"/>
      <c r="AB11" s="287"/>
      <c r="AC11" s="293">
        <f>'Unit Savings Calculations'!N7</f>
        <v>0</v>
      </c>
      <c r="AD11" s="287"/>
      <c r="AE11" s="292">
        <f t="shared" si="7"/>
        <v>0</v>
      </c>
      <c r="AF11" s="289">
        <f t="shared" si="8"/>
        <v>0</v>
      </c>
      <c r="AG11" s="287"/>
      <c r="AH11" s="287">
        <f t="shared" si="9"/>
        <v>0</v>
      </c>
      <c r="AI11" s="290">
        <f>'Unit Savings Calculations'!O7</f>
        <v>0</v>
      </c>
      <c r="AJ11" s="287" t="s">
        <v>872</v>
      </c>
      <c r="AK11" s="292">
        <f t="shared" si="10"/>
        <v>0</v>
      </c>
      <c r="AL11" s="289">
        <f t="shared" si="11"/>
        <v>0</v>
      </c>
      <c r="AM11" s="287"/>
      <c r="AN11" s="287"/>
      <c r="AO11" s="290">
        <f>'Unit Savings Calculations'!P7</f>
        <v>0</v>
      </c>
      <c r="AP11" s="287" t="s">
        <v>764</v>
      </c>
      <c r="AQ11" s="292">
        <f t="shared" si="12"/>
        <v>0</v>
      </c>
      <c r="AR11" s="289">
        <f t="shared" si="13"/>
        <v>0</v>
      </c>
      <c r="AS11" s="287"/>
      <c r="AT11" s="287"/>
      <c r="AU11" s="290">
        <f>'Unit Savings Calculations'!Q7</f>
        <v>10.186172770369932</v>
      </c>
      <c r="AV11" s="287" t="str">
        <f t="shared" si="14"/>
        <v>n/a</v>
      </c>
      <c r="AW11" s="292">
        <f t="shared" si="15"/>
        <v>448191.60189627705</v>
      </c>
      <c r="AX11" s="289">
        <f t="shared" si="16"/>
        <v>0</v>
      </c>
      <c r="AY11" s="292">
        <f t="shared" si="17"/>
        <v>0</v>
      </c>
      <c r="AZ11" s="292">
        <f t="shared" si="18"/>
        <v>0</v>
      </c>
      <c r="BA11" s="292">
        <f t="shared" si="19"/>
        <v>0</v>
      </c>
      <c r="BB11" s="292">
        <f t="shared" si="20"/>
        <v>448191.60189627705</v>
      </c>
      <c r="BC11" s="294">
        <f t="shared" si="21"/>
        <v>448191.60189627705</v>
      </c>
      <c r="BD11" s="287" t="s">
        <v>764</v>
      </c>
      <c r="BE11" s="295" t="str">
        <f t="shared" si="22"/>
        <v>Exhibit 1.5B_R Peoples Gas EEPS_Adjustable_Savings_Goal_Template.xlsx, Behavior Tab</v>
      </c>
      <c r="BF11" s="296"/>
    </row>
    <row r="12" spans="1:58" ht="13.5" customHeight="1">
      <c r="A12" s="287" t="str">
        <f>'Unit Savings Calculations'!C8</f>
        <v>Res - Outreach &amp; Education</v>
      </c>
      <c r="B12" s="287" t="str">
        <f>'Unit Savings Calculations'!D8</f>
        <v>Behavior 2018 Y1 Persistence</v>
      </c>
      <c r="C12" s="288">
        <f t="shared" ref="C12:C28" si="29">IF(D12="Custom",0,1)</f>
        <v>1</v>
      </c>
      <c r="D12" s="287" t="str">
        <f>'Unit Savings Calculations'!T8</f>
        <v>6.1.1</v>
      </c>
      <c r="E12" s="287">
        <f>INDEX('Unit Savings Calculations'!$H$4:$H$421,MATCH('Measure-Level Adjustments Tab'!$A12&amp;"_"&amp;'Measure-Level Adjustments Tab'!$B12,'Unit Savings Calculations'!$A$4:$A$421,0))</f>
        <v>0</v>
      </c>
      <c r="F12" s="287">
        <f>INDEX('Unit Savings Calculations'!$I$4:$I$421,MATCH('Measure-Level Adjustments Tab'!A12&amp;"_"&amp;'Measure-Level Adjustments Tab'!B12,'Unit Savings Calculations'!$A$4:$A$421,0))</f>
        <v>0</v>
      </c>
      <c r="G12" s="287" t="str">
        <f>'Unit Savings Calculations'!E8</f>
        <v>each</v>
      </c>
      <c r="H12" s="289">
        <v>0</v>
      </c>
      <c r="I12" s="289">
        <v>0</v>
      </c>
      <c r="J12" s="289">
        <v>0</v>
      </c>
      <c r="K12" s="289">
        <f>'Unit Savings Calculations'!$F8*'Unit Savings Calculations'!M8</f>
        <v>0</v>
      </c>
      <c r="L12" s="287" t="str">
        <f>'Unit Savings Calculations'!U8</f>
        <v>CC-BEH-BEHP-V02-16061</v>
      </c>
      <c r="M12" s="363" t="s">
        <v>826</v>
      </c>
      <c r="N12" s="290">
        <v>7.7415570720168079</v>
      </c>
      <c r="O12" s="290">
        <v>0</v>
      </c>
      <c r="P12" s="290">
        <v>0</v>
      </c>
      <c r="Q12" s="290">
        <v>0</v>
      </c>
      <c r="R12" s="291">
        <f>'Unit Savings Calculations'!$G8</f>
        <v>1</v>
      </c>
      <c r="S12" s="291">
        <f>'Unit Savings Calculations'!$G8</f>
        <v>1</v>
      </c>
      <c r="T12" s="291">
        <f>'Unit Savings Calculations'!$G8</f>
        <v>1</v>
      </c>
      <c r="U12" s="291">
        <f>'Unit Savings Calculations'!$G8</f>
        <v>1</v>
      </c>
      <c r="V12" s="292">
        <f t="shared" ref="V12:V28" si="30">H12*N12*R12</f>
        <v>0</v>
      </c>
      <c r="W12" s="292">
        <f t="shared" ref="W12:W28" si="31">I12*O12*S12</f>
        <v>0</v>
      </c>
      <c r="X12" s="292">
        <f t="shared" ref="X12:X28" si="32">J12*P12*T12</f>
        <v>0</v>
      </c>
      <c r="Y12" s="292">
        <f t="shared" ref="Y12:Y28" si="33">K12*Q12*U12</f>
        <v>0</v>
      </c>
      <c r="Z12" s="292">
        <f t="shared" ref="Z12:Z28" si="34">V12+W12+X12+Y12</f>
        <v>0</v>
      </c>
      <c r="AA12" s="287"/>
      <c r="AB12" s="287"/>
      <c r="AC12" s="293">
        <f>'Unit Savings Calculations'!N8</f>
        <v>7.7415570720168079</v>
      </c>
      <c r="AD12" s="287"/>
      <c r="AE12" s="292">
        <f t="shared" ref="AE12:AE28" si="35">H12*AC12*R12</f>
        <v>0</v>
      </c>
      <c r="AF12" s="289">
        <f t="shared" ref="AF12:AF28" si="36">AE12-V12</f>
        <v>0</v>
      </c>
      <c r="AG12" s="287"/>
      <c r="AH12" s="287">
        <f t="shared" ref="AH12:AH28" si="37">AB12</f>
        <v>0</v>
      </c>
      <c r="AI12" s="290">
        <f>'Unit Savings Calculations'!O8</f>
        <v>0</v>
      </c>
      <c r="AJ12" s="287" t="s">
        <v>872</v>
      </c>
      <c r="AK12" s="292">
        <f t="shared" ref="AK12:AK28" si="38">I12*AI12*S12</f>
        <v>0</v>
      </c>
      <c r="AL12" s="289">
        <f t="shared" ref="AL12:AL28" si="39">AK12-W12</f>
        <v>0</v>
      </c>
      <c r="AM12" s="287"/>
      <c r="AN12" s="287"/>
      <c r="AO12" s="290">
        <f>'Unit Savings Calculations'!P8</f>
        <v>0</v>
      </c>
      <c r="AP12" s="287" t="s">
        <v>764</v>
      </c>
      <c r="AQ12" s="292">
        <f t="shared" ref="AQ12:AQ28" si="40">J12*AO12*T12</f>
        <v>0</v>
      </c>
      <c r="AR12" s="289">
        <f t="shared" ref="AR12:AR28" si="41">AQ12-X12</f>
        <v>0</v>
      </c>
      <c r="AS12" s="287"/>
      <c r="AT12" s="287"/>
      <c r="AU12" s="290">
        <f>'Unit Savings Calculations'!Q8</f>
        <v>0</v>
      </c>
      <c r="AV12" s="287" t="str">
        <f t="shared" si="14"/>
        <v>n/a</v>
      </c>
      <c r="AW12" s="292">
        <f t="shared" ref="AW12:AW28" si="42">K12*AU12*U12</f>
        <v>0</v>
      </c>
      <c r="AX12" s="289">
        <f t="shared" ref="AX12:AX28" si="43">AW12-Y12</f>
        <v>0</v>
      </c>
      <c r="AY12" s="292">
        <f t="shared" si="17"/>
        <v>0</v>
      </c>
      <c r="AZ12" s="292">
        <f t="shared" si="18"/>
        <v>0</v>
      </c>
      <c r="BA12" s="292">
        <f t="shared" si="19"/>
        <v>0</v>
      </c>
      <c r="BB12" s="292">
        <f t="shared" si="20"/>
        <v>0</v>
      </c>
      <c r="BC12" s="294">
        <f t="shared" si="21"/>
        <v>0</v>
      </c>
      <c r="BD12" s="287" t="s">
        <v>764</v>
      </c>
      <c r="BE12" s="295" t="str">
        <f t="shared" si="22"/>
        <v>Exhibit 1.5B_R Peoples Gas EEPS_Adjustable_Savings_Goal_Template.xlsx, Behavior Tab</v>
      </c>
      <c r="BF12" s="297"/>
    </row>
    <row r="13" spans="1:58" ht="13.5" customHeight="1">
      <c r="A13" s="287" t="str">
        <f>'Unit Savings Calculations'!C9</f>
        <v>Res - Outreach &amp; Education</v>
      </c>
      <c r="B13" s="287" t="str">
        <f>'Unit Savings Calculations'!D9</f>
        <v>Behavior 2018 Y2 Persistence</v>
      </c>
      <c r="C13" s="288">
        <f t="shared" si="29"/>
        <v>1</v>
      </c>
      <c r="D13" s="287" t="str">
        <f>'Unit Savings Calculations'!T9</f>
        <v>6.1.1</v>
      </c>
      <c r="E13" s="287">
        <f>INDEX('Unit Savings Calculations'!$H$4:$H$421,MATCH('Measure-Level Adjustments Tab'!$A13&amp;"_"&amp;'Measure-Level Adjustments Tab'!$B13,'Unit Savings Calculations'!$A$4:$A$421,0))</f>
        <v>0</v>
      </c>
      <c r="F13" s="287">
        <f>INDEX('Unit Savings Calculations'!$I$4:$I$421,MATCH('Measure-Level Adjustments Tab'!A13&amp;"_"&amp;'Measure-Level Adjustments Tab'!B13,'Unit Savings Calculations'!$A$4:$A$421,0))</f>
        <v>0</v>
      </c>
      <c r="G13" s="287" t="str">
        <f>'Unit Savings Calculations'!E9</f>
        <v>each</v>
      </c>
      <c r="H13" s="289">
        <v>0</v>
      </c>
      <c r="I13" s="289">
        <v>0</v>
      </c>
      <c r="J13" s="289">
        <v>0</v>
      </c>
      <c r="K13" s="289">
        <f>'Unit Savings Calculations'!$F9*'Unit Savings Calculations'!M9</f>
        <v>0</v>
      </c>
      <c r="L13" s="287" t="str">
        <f>'Unit Savings Calculations'!U9</f>
        <v>CC-BEH-BEHP-V02-16061</v>
      </c>
      <c r="M13" s="363" t="s">
        <v>826</v>
      </c>
      <c r="N13" s="290">
        <v>3.3618648400898152</v>
      </c>
      <c r="O13" s="290">
        <v>0</v>
      </c>
      <c r="P13" s="290">
        <v>0</v>
      </c>
      <c r="Q13" s="290">
        <v>0</v>
      </c>
      <c r="R13" s="291">
        <f>'Unit Savings Calculations'!$G9</f>
        <v>1</v>
      </c>
      <c r="S13" s="291">
        <f>'Unit Savings Calculations'!$G9</f>
        <v>1</v>
      </c>
      <c r="T13" s="291">
        <f>'Unit Savings Calculations'!$G9</f>
        <v>1</v>
      </c>
      <c r="U13" s="291">
        <f>'Unit Savings Calculations'!$G9</f>
        <v>1</v>
      </c>
      <c r="V13" s="292">
        <f t="shared" si="30"/>
        <v>0</v>
      </c>
      <c r="W13" s="292">
        <f t="shared" si="31"/>
        <v>0</v>
      </c>
      <c r="X13" s="292">
        <f t="shared" si="32"/>
        <v>0</v>
      </c>
      <c r="Y13" s="292">
        <f t="shared" si="33"/>
        <v>0</v>
      </c>
      <c r="Z13" s="292">
        <f t="shared" si="34"/>
        <v>0</v>
      </c>
      <c r="AA13" s="287"/>
      <c r="AB13" s="287"/>
      <c r="AC13" s="293">
        <f>'Unit Savings Calculations'!N9</f>
        <v>3.3618648400898152</v>
      </c>
      <c r="AD13" s="287"/>
      <c r="AE13" s="292">
        <f t="shared" si="35"/>
        <v>0</v>
      </c>
      <c r="AF13" s="289">
        <f t="shared" si="36"/>
        <v>0</v>
      </c>
      <c r="AG13" s="287"/>
      <c r="AH13" s="287">
        <f t="shared" si="37"/>
        <v>0</v>
      </c>
      <c r="AI13" s="290">
        <f>'Unit Savings Calculations'!O9</f>
        <v>0</v>
      </c>
      <c r="AJ13" s="287" t="s">
        <v>872</v>
      </c>
      <c r="AK13" s="292">
        <f t="shared" si="38"/>
        <v>0</v>
      </c>
      <c r="AL13" s="289">
        <f t="shared" si="39"/>
        <v>0</v>
      </c>
      <c r="AM13" s="287"/>
      <c r="AN13" s="287"/>
      <c r="AO13" s="290">
        <f>'Unit Savings Calculations'!P9</f>
        <v>0</v>
      </c>
      <c r="AP13" s="287" t="s">
        <v>764</v>
      </c>
      <c r="AQ13" s="292">
        <f t="shared" si="40"/>
        <v>0</v>
      </c>
      <c r="AR13" s="289">
        <f t="shared" si="41"/>
        <v>0</v>
      </c>
      <c r="AS13" s="287"/>
      <c r="AT13" s="287"/>
      <c r="AU13" s="290">
        <f>'Unit Savings Calculations'!Q9</f>
        <v>0</v>
      </c>
      <c r="AV13" s="287" t="str">
        <f t="shared" si="14"/>
        <v>n/a</v>
      </c>
      <c r="AW13" s="292">
        <f t="shared" si="42"/>
        <v>0</v>
      </c>
      <c r="AX13" s="289">
        <f t="shared" si="43"/>
        <v>0</v>
      </c>
      <c r="AY13" s="292">
        <f t="shared" si="17"/>
        <v>0</v>
      </c>
      <c r="AZ13" s="292">
        <f t="shared" si="18"/>
        <v>0</v>
      </c>
      <c r="BA13" s="292">
        <f t="shared" si="19"/>
        <v>0</v>
      </c>
      <c r="BB13" s="292">
        <f t="shared" si="20"/>
        <v>0</v>
      </c>
      <c r="BC13" s="294">
        <f t="shared" si="21"/>
        <v>0</v>
      </c>
      <c r="BD13" s="287" t="s">
        <v>764</v>
      </c>
      <c r="BE13" s="295" t="str">
        <f t="shared" si="22"/>
        <v>Exhibit 1.5B_R Peoples Gas EEPS_Adjustable_Savings_Goal_Template.xlsx, Behavior Tab</v>
      </c>
      <c r="BF13" s="297"/>
    </row>
    <row r="14" spans="1:58" ht="13.5" customHeight="1">
      <c r="A14" s="287" t="str">
        <f>'Unit Savings Calculations'!C10</f>
        <v>Res - Outreach &amp; Education</v>
      </c>
      <c r="B14" s="287" t="str">
        <f>'Unit Savings Calculations'!D10</f>
        <v>Behavior 2018 Y3 Persistence</v>
      </c>
      <c r="C14" s="288">
        <f t="shared" si="29"/>
        <v>1</v>
      </c>
      <c r="D14" s="287" t="str">
        <f>'Unit Savings Calculations'!T10</f>
        <v>6.1.1</v>
      </c>
      <c r="E14" s="287">
        <f>INDEX('Unit Savings Calculations'!$H$4:$H$421,MATCH('Measure-Level Adjustments Tab'!$A14&amp;"_"&amp;'Measure-Level Adjustments Tab'!$B14,'Unit Savings Calculations'!$A$4:$A$421,0))</f>
        <v>0</v>
      </c>
      <c r="F14" s="287">
        <f>INDEX('Unit Savings Calculations'!$I$4:$I$421,MATCH('Measure-Level Adjustments Tab'!A14&amp;"_"&amp;'Measure-Level Adjustments Tab'!B14,'Unit Savings Calculations'!$A$4:$A$421,0))</f>
        <v>0</v>
      </c>
      <c r="G14" s="287" t="str">
        <f>'Unit Savings Calculations'!E10</f>
        <v>each</v>
      </c>
      <c r="H14" s="289">
        <v>0</v>
      </c>
      <c r="I14" s="289">
        <v>0</v>
      </c>
      <c r="J14" s="289">
        <v>0</v>
      </c>
      <c r="K14" s="289">
        <f>'Unit Savings Calculations'!$F10*'Unit Savings Calculations'!M10</f>
        <v>0</v>
      </c>
      <c r="L14" s="287" t="str">
        <f>'Unit Savings Calculations'!U10</f>
        <v>CC-BEH-BEHP-V02-16061</v>
      </c>
      <c r="M14" s="363" t="s">
        <v>826</v>
      </c>
      <c r="N14" s="290">
        <v>1.4781796202774511</v>
      </c>
      <c r="O14" s="290">
        <v>0</v>
      </c>
      <c r="P14" s="290">
        <v>0</v>
      </c>
      <c r="Q14" s="290">
        <v>0</v>
      </c>
      <c r="R14" s="291">
        <f>'Unit Savings Calculations'!$G10</f>
        <v>1</v>
      </c>
      <c r="S14" s="291">
        <f>'Unit Savings Calculations'!$G10</f>
        <v>1</v>
      </c>
      <c r="T14" s="291">
        <f>'Unit Savings Calculations'!$G10</f>
        <v>1</v>
      </c>
      <c r="U14" s="291">
        <f>'Unit Savings Calculations'!$G10</f>
        <v>1</v>
      </c>
      <c r="V14" s="292">
        <f t="shared" si="30"/>
        <v>0</v>
      </c>
      <c r="W14" s="292">
        <f t="shared" si="31"/>
        <v>0</v>
      </c>
      <c r="X14" s="292">
        <f t="shared" si="32"/>
        <v>0</v>
      </c>
      <c r="Y14" s="292">
        <f t="shared" si="33"/>
        <v>0</v>
      </c>
      <c r="Z14" s="292">
        <f t="shared" si="34"/>
        <v>0</v>
      </c>
      <c r="AA14" s="287"/>
      <c r="AB14" s="287"/>
      <c r="AC14" s="293">
        <f>'Unit Savings Calculations'!N10</f>
        <v>1.4781796202774511</v>
      </c>
      <c r="AD14" s="287"/>
      <c r="AE14" s="292">
        <f t="shared" si="35"/>
        <v>0</v>
      </c>
      <c r="AF14" s="289">
        <f t="shared" si="36"/>
        <v>0</v>
      </c>
      <c r="AG14" s="287"/>
      <c r="AH14" s="287">
        <f t="shared" si="37"/>
        <v>0</v>
      </c>
      <c r="AI14" s="290">
        <f>'Unit Savings Calculations'!O10</f>
        <v>0</v>
      </c>
      <c r="AJ14" s="287" t="s">
        <v>872</v>
      </c>
      <c r="AK14" s="292">
        <f t="shared" si="38"/>
        <v>0</v>
      </c>
      <c r="AL14" s="289">
        <f t="shared" si="39"/>
        <v>0</v>
      </c>
      <c r="AM14" s="287"/>
      <c r="AN14" s="287"/>
      <c r="AO14" s="290">
        <f>'Unit Savings Calculations'!P10</f>
        <v>0</v>
      </c>
      <c r="AP14" s="287" t="s">
        <v>764</v>
      </c>
      <c r="AQ14" s="292">
        <f t="shared" si="40"/>
        <v>0</v>
      </c>
      <c r="AR14" s="289">
        <f t="shared" si="41"/>
        <v>0</v>
      </c>
      <c r="AS14" s="287"/>
      <c r="AT14" s="287"/>
      <c r="AU14" s="290">
        <f>'Unit Savings Calculations'!Q10</f>
        <v>0</v>
      </c>
      <c r="AV14" s="287" t="str">
        <f t="shared" si="14"/>
        <v>n/a</v>
      </c>
      <c r="AW14" s="292">
        <f t="shared" si="42"/>
        <v>0</v>
      </c>
      <c r="AX14" s="289">
        <f t="shared" si="43"/>
        <v>0</v>
      </c>
      <c r="AY14" s="292">
        <f t="shared" si="17"/>
        <v>0</v>
      </c>
      <c r="AZ14" s="292">
        <f t="shared" si="18"/>
        <v>0</v>
      </c>
      <c r="BA14" s="292">
        <f t="shared" si="19"/>
        <v>0</v>
      </c>
      <c r="BB14" s="292">
        <f t="shared" si="20"/>
        <v>0</v>
      </c>
      <c r="BC14" s="294">
        <f t="shared" si="21"/>
        <v>0</v>
      </c>
      <c r="BD14" s="287" t="s">
        <v>764</v>
      </c>
      <c r="BE14" s="295" t="str">
        <f t="shared" si="22"/>
        <v>Exhibit 1.5B_R Peoples Gas EEPS_Adjustable_Savings_Goal_Template.xlsx, Behavior Tab</v>
      </c>
      <c r="BF14" s="297"/>
    </row>
    <row r="15" spans="1:58" ht="13.5" customHeight="1">
      <c r="A15" s="287" t="str">
        <f>'Unit Savings Calculations'!C11</f>
        <v>Res - Outreach &amp; Education</v>
      </c>
      <c r="B15" s="287" t="str">
        <f>'Unit Savings Calculations'!D11</f>
        <v>Behavior 2018 Y4 Persistence</v>
      </c>
      <c r="C15" s="288">
        <f t="shared" si="29"/>
        <v>1</v>
      </c>
      <c r="D15" s="287" t="str">
        <f>'Unit Savings Calculations'!T11</f>
        <v>6.1.1</v>
      </c>
      <c r="E15" s="287">
        <f>INDEX('Unit Savings Calculations'!$H$4:$H$421,MATCH('Measure-Level Adjustments Tab'!$A15&amp;"_"&amp;'Measure-Level Adjustments Tab'!$B15,'Unit Savings Calculations'!$A$4:$A$421,0))</f>
        <v>0</v>
      </c>
      <c r="F15" s="287">
        <f>INDEX('Unit Savings Calculations'!$I$4:$I$421,MATCH('Measure-Level Adjustments Tab'!A15&amp;"_"&amp;'Measure-Level Adjustments Tab'!B15,'Unit Savings Calculations'!$A$4:$A$421,0))</f>
        <v>0</v>
      </c>
      <c r="G15" s="287" t="str">
        <f>'Unit Savings Calculations'!E11</f>
        <v>each</v>
      </c>
      <c r="H15" s="289">
        <v>0</v>
      </c>
      <c r="I15" s="289">
        <v>0</v>
      </c>
      <c r="J15" s="289">
        <v>0</v>
      </c>
      <c r="K15" s="289">
        <f>'Unit Savings Calculations'!$F11*'Unit Savings Calculations'!M11</f>
        <v>0</v>
      </c>
      <c r="L15" s="287" t="str">
        <f>'Unit Savings Calculations'!U11</f>
        <v>CC-BEH-BEHP-V02-16061</v>
      </c>
      <c r="M15" s="363" t="s">
        <v>826</v>
      </c>
      <c r="N15" s="290">
        <v>0.64191738774502805</v>
      </c>
      <c r="O15" s="290">
        <v>0</v>
      </c>
      <c r="P15" s="290">
        <v>0</v>
      </c>
      <c r="Q15" s="290">
        <v>0</v>
      </c>
      <c r="R15" s="291">
        <f>'Unit Savings Calculations'!$G11</f>
        <v>1</v>
      </c>
      <c r="S15" s="291">
        <f>'Unit Savings Calculations'!$G11</f>
        <v>1</v>
      </c>
      <c r="T15" s="291">
        <f>'Unit Savings Calculations'!$G11</f>
        <v>1</v>
      </c>
      <c r="U15" s="291">
        <f>'Unit Savings Calculations'!$G11</f>
        <v>1</v>
      </c>
      <c r="V15" s="292">
        <f t="shared" si="30"/>
        <v>0</v>
      </c>
      <c r="W15" s="292">
        <f t="shared" si="31"/>
        <v>0</v>
      </c>
      <c r="X15" s="292">
        <f t="shared" si="32"/>
        <v>0</v>
      </c>
      <c r="Y15" s="292">
        <f t="shared" si="33"/>
        <v>0</v>
      </c>
      <c r="Z15" s="292">
        <f t="shared" si="34"/>
        <v>0</v>
      </c>
      <c r="AA15" s="287"/>
      <c r="AB15" s="287"/>
      <c r="AC15" s="293">
        <f>'Unit Savings Calculations'!N11</f>
        <v>0.64191738774502805</v>
      </c>
      <c r="AD15" s="287"/>
      <c r="AE15" s="292">
        <f t="shared" si="35"/>
        <v>0</v>
      </c>
      <c r="AF15" s="289">
        <f t="shared" si="36"/>
        <v>0</v>
      </c>
      <c r="AG15" s="287"/>
      <c r="AH15" s="287">
        <f t="shared" si="37"/>
        <v>0</v>
      </c>
      <c r="AI15" s="290">
        <f>'Unit Savings Calculations'!O11</f>
        <v>0</v>
      </c>
      <c r="AJ15" s="287" t="s">
        <v>872</v>
      </c>
      <c r="AK15" s="292">
        <f t="shared" si="38"/>
        <v>0</v>
      </c>
      <c r="AL15" s="289">
        <f t="shared" si="39"/>
        <v>0</v>
      </c>
      <c r="AM15" s="287"/>
      <c r="AN15" s="287"/>
      <c r="AO15" s="290">
        <f>'Unit Savings Calculations'!P11</f>
        <v>0</v>
      </c>
      <c r="AP15" s="287" t="s">
        <v>764</v>
      </c>
      <c r="AQ15" s="292">
        <f t="shared" si="40"/>
        <v>0</v>
      </c>
      <c r="AR15" s="289">
        <f t="shared" si="41"/>
        <v>0</v>
      </c>
      <c r="AS15" s="287"/>
      <c r="AT15" s="287"/>
      <c r="AU15" s="290">
        <f>'Unit Savings Calculations'!Q11</f>
        <v>0</v>
      </c>
      <c r="AV15" s="287" t="str">
        <f t="shared" si="14"/>
        <v>n/a</v>
      </c>
      <c r="AW15" s="292">
        <f t="shared" si="42"/>
        <v>0</v>
      </c>
      <c r="AX15" s="289">
        <f t="shared" si="43"/>
        <v>0</v>
      </c>
      <c r="AY15" s="292">
        <f t="shared" si="17"/>
        <v>0</v>
      </c>
      <c r="AZ15" s="292">
        <f t="shared" si="18"/>
        <v>0</v>
      </c>
      <c r="BA15" s="292">
        <f t="shared" si="19"/>
        <v>0</v>
      </c>
      <c r="BB15" s="292">
        <f t="shared" si="20"/>
        <v>0</v>
      </c>
      <c r="BC15" s="294">
        <f t="shared" si="21"/>
        <v>0</v>
      </c>
      <c r="BD15" s="287" t="s">
        <v>764</v>
      </c>
      <c r="BE15" s="295" t="str">
        <f t="shared" si="22"/>
        <v>Exhibit 1.5B_R Peoples Gas EEPS_Adjustable_Savings_Goal_Template.xlsx, Behavior Tab</v>
      </c>
      <c r="BF15" s="297"/>
    </row>
    <row r="16" spans="1:58" ht="13.5" customHeight="1">
      <c r="A16" s="287" t="str">
        <f>'Unit Savings Calculations'!C12</f>
        <v>Res - Outreach &amp; Education</v>
      </c>
      <c r="B16" s="287" t="str">
        <f>'Unit Savings Calculations'!D12</f>
        <v>Behavior 2019 Y1 Persistence</v>
      </c>
      <c r="C16" s="288">
        <f t="shared" si="29"/>
        <v>1</v>
      </c>
      <c r="D16" s="287" t="str">
        <f>'Unit Savings Calculations'!T12</f>
        <v>6.1.1</v>
      </c>
      <c r="E16" s="287">
        <f>INDEX('Unit Savings Calculations'!$H$4:$H$421,MATCH('Measure-Level Adjustments Tab'!$A16&amp;"_"&amp;'Measure-Level Adjustments Tab'!$B16,'Unit Savings Calculations'!$A$4:$A$421,0))</f>
        <v>0</v>
      </c>
      <c r="F16" s="287">
        <f>INDEX('Unit Savings Calculations'!$I$4:$I$421,MATCH('Measure-Level Adjustments Tab'!A16&amp;"_"&amp;'Measure-Level Adjustments Tab'!B16,'Unit Savings Calculations'!$A$4:$A$421,0))</f>
        <v>0</v>
      </c>
      <c r="G16" s="287" t="str">
        <f>'Unit Savings Calculations'!E12</f>
        <v>each</v>
      </c>
      <c r="H16" s="289">
        <v>0</v>
      </c>
      <c r="I16" s="289">
        <v>0</v>
      </c>
      <c r="J16" s="289">
        <v>0</v>
      </c>
      <c r="K16" s="289">
        <f>'Unit Savings Calculations'!$F12*'Unit Savings Calculations'!M12</f>
        <v>0</v>
      </c>
      <c r="L16" s="287" t="str">
        <f>'Unit Savings Calculations'!U12</f>
        <v>CC-BEH-BEHP-V02-16061</v>
      </c>
      <c r="M16" s="363" t="s">
        <v>826</v>
      </c>
      <c r="N16" s="290">
        <v>0</v>
      </c>
      <c r="O16" s="290">
        <v>4.4131419421642573</v>
      </c>
      <c r="P16" s="290">
        <v>0</v>
      </c>
      <c r="Q16" s="290">
        <v>0</v>
      </c>
      <c r="R16" s="291">
        <f>'Unit Savings Calculations'!$G12</f>
        <v>1</v>
      </c>
      <c r="S16" s="291">
        <f>'Unit Savings Calculations'!$G12</f>
        <v>1</v>
      </c>
      <c r="T16" s="291">
        <f>'Unit Savings Calculations'!$G12</f>
        <v>1</v>
      </c>
      <c r="U16" s="291">
        <f>'Unit Savings Calculations'!$G12</f>
        <v>1</v>
      </c>
      <c r="V16" s="292">
        <f t="shared" si="30"/>
        <v>0</v>
      </c>
      <c r="W16" s="292">
        <f t="shared" si="31"/>
        <v>0</v>
      </c>
      <c r="X16" s="292">
        <f t="shared" si="32"/>
        <v>0</v>
      </c>
      <c r="Y16" s="292">
        <f t="shared" si="33"/>
        <v>0</v>
      </c>
      <c r="Z16" s="292">
        <f t="shared" si="34"/>
        <v>0</v>
      </c>
      <c r="AA16" s="287"/>
      <c r="AB16" s="287"/>
      <c r="AC16" s="293">
        <f>'Unit Savings Calculations'!N12</f>
        <v>0</v>
      </c>
      <c r="AD16" s="287"/>
      <c r="AE16" s="292">
        <f t="shared" si="35"/>
        <v>0</v>
      </c>
      <c r="AF16" s="289">
        <f t="shared" si="36"/>
        <v>0</v>
      </c>
      <c r="AG16" s="287"/>
      <c r="AH16" s="287">
        <f t="shared" si="37"/>
        <v>0</v>
      </c>
      <c r="AI16" s="290">
        <f>'Unit Savings Calculations'!O12</f>
        <v>4.4131419421642573</v>
      </c>
      <c r="AJ16" s="287" t="s">
        <v>872</v>
      </c>
      <c r="AK16" s="292">
        <f t="shared" si="38"/>
        <v>0</v>
      </c>
      <c r="AL16" s="289">
        <f t="shared" si="39"/>
        <v>0</v>
      </c>
      <c r="AM16" s="287"/>
      <c r="AN16" s="287"/>
      <c r="AO16" s="290">
        <f>'Unit Savings Calculations'!P12</f>
        <v>0</v>
      </c>
      <c r="AP16" s="287" t="s">
        <v>764</v>
      </c>
      <c r="AQ16" s="292">
        <f t="shared" si="40"/>
        <v>0</v>
      </c>
      <c r="AR16" s="289">
        <f t="shared" si="41"/>
        <v>0</v>
      </c>
      <c r="AS16" s="287"/>
      <c r="AT16" s="287"/>
      <c r="AU16" s="290">
        <f>'Unit Savings Calculations'!Q12</f>
        <v>0</v>
      </c>
      <c r="AV16" s="287" t="str">
        <f t="shared" si="14"/>
        <v>n/a</v>
      </c>
      <c r="AW16" s="292">
        <f t="shared" si="42"/>
        <v>0</v>
      </c>
      <c r="AX16" s="289">
        <f t="shared" si="43"/>
        <v>0</v>
      </c>
      <c r="AY16" s="292">
        <f t="shared" si="17"/>
        <v>0</v>
      </c>
      <c r="AZ16" s="292">
        <f t="shared" si="18"/>
        <v>0</v>
      </c>
      <c r="BA16" s="292">
        <f t="shared" si="19"/>
        <v>0</v>
      </c>
      <c r="BB16" s="292">
        <f t="shared" si="20"/>
        <v>0</v>
      </c>
      <c r="BC16" s="294">
        <f t="shared" si="21"/>
        <v>0</v>
      </c>
      <c r="BD16" s="287" t="s">
        <v>764</v>
      </c>
      <c r="BE16" s="295" t="str">
        <f t="shared" si="22"/>
        <v>Exhibit 1.5B_R Peoples Gas EEPS_Adjustable_Savings_Goal_Template.xlsx, Behavior Tab</v>
      </c>
      <c r="BF16" s="297"/>
    </row>
    <row r="17" spans="1:58" ht="13.5" customHeight="1">
      <c r="A17" s="287" t="str">
        <f>'Unit Savings Calculations'!C13</f>
        <v>Res - Outreach &amp; Education</v>
      </c>
      <c r="B17" s="287" t="str">
        <f>'Unit Savings Calculations'!D13</f>
        <v>Behavior 2019 Y2 Persistence</v>
      </c>
      <c r="C17" s="288">
        <f t="shared" si="29"/>
        <v>1</v>
      </c>
      <c r="D17" s="287" t="str">
        <f>'Unit Savings Calculations'!T13</f>
        <v>6.1.1</v>
      </c>
      <c r="E17" s="287">
        <f>INDEX('Unit Savings Calculations'!$H$4:$H$421,MATCH('Measure-Level Adjustments Tab'!$A17&amp;"_"&amp;'Measure-Level Adjustments Tab'!$B17,'Unit Savings Calculations'!$A$4:$A$421,0))</f>
        <v>0</v>
      </c>
      <c r="F17" s="287">
        <f>INDEX('Unit Savings Calculations'!$I$4:$I$421,MATCH('Measure-Level Adjustments Tab'!A17&amp;"_"&amp;'Measure-Level Adjustments Tab'!B17,'Unit Savings Calculations'!$A$4:$A$421,0))</f>
        <v>0</v>
      </c>
      <c r="G17" s="287" t="str">
        <f>'Unit Savings Calculations'!E13</f>
        <v>each</v>
      </c>
      <c r="H17" s="289">
        <v>0</v>
      </c>
      <c r="I17" s="289">
        <v>0</v>
      </c>
      <c r="J17" s="289">
        <v>0</v>
      </c>
      <c r="K17" s="289">
        <f>'Unit Savings Calculations'!$F13*'Unit Savings Calculations'!M13</f>
        <v>0</v>
      </c>
      <c r="L17" s="287" t="str">
        <f>'Unit Savings Calculations'!U13</f>
        <v>CC-BEH-BEHP-V02-16061</v>
      </c>
      <c r="M17" s="363" t="s">
        <v>826</v>
      </c>
      <c r="N17" s="290">
        <v>0</v>
      </c>
      <c r="O17" s="290">
        <v>1.9164602923766301</v>
      </c>
      <c r="P17" s="290">
        <v>0</v>
      </c>
      <c r="Q17" s="290">
        <v>0</v>
      </c>
      <c r="R17" s="291">
        <f>'Unit Savings Calculations'!$G13</f>
        <v>1</v>
      </c>
      <c r="S17" s="291">
        <f>'Unit Savings Calculations'!$G13</f>
        <v>1</v>
      </c>
      <c r="T17" s="291">
        <f>'Unit Savings Calculations'!$G13</f>
        <v>1</v>
      </c>
      <c r="U17" s="291">
        <f>'Unit Savings Calculations'!$G13</f>
        <v>1</v>
      </c>
      <c r="V17" s="292">
        <f t="shared" si="30"/>
        <v>0</v>
      </c>
      <c r="W17" s="292">
        <f t="shared" si="31"/>
        <v>0</v>
      </c>
      <c r="X17" s="292">
        <f t="shared" si="32"/>
        <v>0</v>
      </c>
      <c r="Y17" s="292">
        <f t="shared" si="33"/>
        <v>0</v>
      </c>
      <c r="Z17" s="292">
        <f t="shared" si="34"/>
        <v>0</v>
      </c>
      <c r="AA17" s="287"/>
      <c r="AB17" s="287"/>
      <c r="AC17" s="293">
        <f>'Unit Savings Calculations'!N13</f>
        <v>0</v>
      </c>
      <c r="AD17" s="287"/>
      <c r="AE17" s="292">
        <f t="shared" si="35"/>
        <v>0</v>
      </c>
      <c r="AF17" s="289">
        <f t="shared" si="36"/>
        <v>0</v>
      </c>
      <c r="AG17" s="287"/>
      <c r="AH17" s="287">
        <f t="shared" si="37"/>
        <v>0</v>
      </c>
      <c r="AI17" s="290">
        <f>'Unit Savings Calculations'!O13</f>
        <v>1.9164602923766301</v>
      </c>
      <c r="AJ17" s="287" t="s">
        <v>872</v>
      </c>
      <c r="AK17" s="292">
        <f t="shared" si="38"/>
        <v>0</v>
      </c>
      <c r="AL17" s="289">
        <f t="shared" si="39"/>
        <v>0</v>
      </c>
      <c r="AM17" s="287"/>
      <c r="AN17" s="287"/>
      <c r="AO17" s="290">
        <f>'Unit Savings Calculations'!P13</f>
        <v>0</v>
      </c>
      <c r="AP17" s="287" t="s">
        <v>764</v>
      </c>
      <c r="AQ17" s="292">
        <f t="shared" si="40"/>
        <v>0</v>
      </c>
      <c r="AR17" s="289">
        <f t="shared" si="41"/>
        <v>0</v>
      </c>
      <c r="AS17" s="287"/>
      <c r="AT17" s="287"/>
      <c r="AU17" s="290">
        <f>'Unit Savings Calculations'!Q13</f>
        <v>0</v>
      </c>
      <c r="AV17" s="287" t="str">
        <f t="shared" si="14"/>
        <v>n/a</v>
      </c>
      <c r="AW17" s="292">
        <f t="shared" si="42"/>
        <v>0</v>
      </c>
      <c r="AX17" s="289">
        <f t="shared" si="43"/>
        <v>0</v>
      </c>
      <c r="AY17" s="292">
        <f t="shared" si="17"/>
        <v>0</v>
      </c>
      <c r="AZ17" s="292">
        <f t="shared" si="18"/>
        <v>0</v>
      </c>
      <c r="BA17" s="292">
        <f t="shared" si="19"/>
        <v>0</v>
      </c>
      <c r="BB17" s="292">
        <f t="shared" si="20"/>
        <v>0</v>
      </c>
      <c r="BC17" s="294">
        <f t="shared" si="21"/>
        <v>0</v>
      </c>
      <c r="BD17" s="287" t="s">
        <v>764</v>
      </c>
      <c r="BE17" s="295" t="str">
        <f t="shared" si="22"/>
        <v>Exhibit 1.5B_R Peoples Gas EEPS_Adjustable_Savings_Goal_Template.xlsx, Behavior Tab</v>
      </c>
      <c r="BF17" s="297"/>
    </row>
    <row r="18" spans="1:58" ht="13.5" customHeight="1">
      <c r="A18" s="287" t="str">
        <f>'Unit Savings Calculations'!C14</f>
        <v>Res - Outreach &amp; Education</v>
      </c>
      <c r="B18" s="287" t="str">
        <f>'Unit Savings Calculations'!D14</f>
        <v>Behavior 2019 Y3 Persistence</v>
      </c>
      <c r="C18" s="288">
        <f t="shared" si="29"/>
        <v>1</v>
      </c>
      <c r="D18" s="287" t="str">
        <f>'Unit Savings Calculations'!T14</f>
        <v>6.1.1</v>
      </c>
      <c r="E18" s="287">
        <f>INDEX('Unit Savings Calculations'!$H$4:$H$421,MATCH('Measure-Level Adjustments Tab'!$A18&amp;"_"&amp;'Measure-Level Adjustments Tab'!$B18,'Unit Savings Calculations'!$A$4:$A$421,0))</f>
        <v>0</v>
      </c>
      <c r="F18" s="287">
        <f>INDEX('Unit Savings Calculations'!$I$4:$I$421,MATCH('Measure-Level Adjustments Tab'!A18&amp;"_"&amp;'Measure-Level Adjustments Tab'!B18,'Unit Savings Calculations'!$A$4:$A$421,0))</f>
        <v>0</v>
      </c>
      <c r="G18" s="287" t="str">
        <f>'Unit Savings Calculations'!E14</f>
        <v>each</v>
      </c>
      <c r="H18" s="289">
        <v>0</v>
      </c>
      <c r="I18" s="289">
        <v>0</v>
      </c>
      <c r="J18" s="289">
        <v>0</v>
      </c>
      <c r="K18" s="289">
        <f>'Unit Savings Calculations'!$F14*'Unit Savings Calculations'!M14</f>
        <v>0</v>
      </c>
      <c r="L18" s="287" t="str">
        <f>'Unit Savings Calculations'!U14</f>
        <v>CC-BEH-BEHP-V02-16061</v>
      </c>
      <c r="M18" s="363" t="s">
        <v>826</v>
      </c>
      <c r="N18" s="290">
        <v>0</v>
      </c>
      <c r="O18" s="290">
        <v>0.84264914921041756</v>
      </c>
      <c r="P18" s="290">
        <v>0</v>
      </c>
      <c r="Q18" s="290">
        <v>0</v>
      </c>
      <c r="R18" s="291">
        <f>'Unit Savings Calculations'!$G14</f>
        <v>1</v>
      </c>
      <c r="S18" s="291">
        <f>'Unit Savings Calculations'!$G14</f>
        <v>1</v>
      </c>
      <c r="T18" s="291">
        <f>'Unit Savings Calculations'!$G14</f>
        <v>1</v>
      </c>
      <c r="U18" s="291">
        <f>'Unit Savings Calculations'!$G14</f>
        <v>1</v>
      </c>
      <c r="V18" s="292">
        <f t="shared" si="30"/>
        <v>0</v>
      </c>
      <c r="W18" s="292">
        <f t="shared" si="31"/>
        <v>0</v>
      </c>
      <c r="X18" s="292">
        <f t="shared" si="32"/>
        <v>0</v>
      </c>
      <c r="Y18" s="292">
        <f t="shared" si="33"/>
        <v>0</v>
      </c>
      <c r="Z18" s="292">
        <f t="shared" si="34"/>
        <v>0</v>
      </c>
      <c r="AA18" s="287"/>
      <c r="AB18" s="287"/>
      <c r="AC18" s="293">
        <f>'Unit Savings Calculations'!N14</f>
        <v>0</v>
      </c>
      <c r="AD18" s="287"/>
      <c r="AE18" s="292">
        <f t="shared" si="35"/>
        <v>0</v>
      </c>
      <c r="AF18" s="289">
        <f t="shared" si="36"/>
        <v>0</v>
      </c>
      <c r="AG18" s="287"/>
      <c r="AH18" s="287">
        <f t="shared" si="37"/>
        <v>0</v>
      </c>
      <c r="AI18" s="290">
        <f>'Unit Savings Calculations'!O14</f>
        <v>0.84264914921041756</v>
      </c>
      <c r="AJ18" s="287" t="s">
        <v>872</v>
      </c>
      <c r="AK18" s="292">
        <f t="shared" si="38"/>
        <v>0</v>
      </c>
      <c r="AL18" s="289">
        <f t="shared" si="39"/>
        <v>0</v>
      </c>
      <c r="AM18" s="287"/>
      <c r="AN18" s="287"/>
      <c r="AO18" s="290">
        <f>'Unit Savings Calculations'!P14</f>
        <v>0</v>
      </c>
      <c r="AP18" s="287" t="s">
        <v>764</v>
      </c>
      <c r="AQ18" s="292">
        <f t="shared" si="40"/>
        <v>0</v>
      </c>
      <c r="AR18" s="289">
        <f t="shared" si="41"/>
        <v>0</v>
      </c>
      <c r="AS18" s="287"/>
      <c r="AT18" s="287"/>
      <c r="AU18" s="290">
        <f>'Unit Savings Calculations'!Q14</f>
        <v>0</v>
      </c>
      <c r="AV18" s="287" t="str">
        <f t="shared" si="14"/>
        <v>n/a</v>
      </c>
      <c r="AW18" s="292">
        <f t="shared" si="42"/>
        <v>0</v>
      </c>
      <c r="AX18" s="289">
        <f t="shared" si="43"/>
        <v>0</v>
      </c>
      <c r="AY18" s="292">
        <f t="shared" si="17"/>
        <v>0</v>
      </c>
      <c r="AZ18" s="292">
        <f t="shared" si="18"/>
        <v>0</v>
      </c>
      <c r="BA18" s="292">
        <f t="shared" si="19"/>
        <v>0</v>
      </c>
      <c r="BB18" s="292">
        <f t="shared" si="20"/>
        <v>0</v>
      </c>
      <c r="BC18" s="294">
        <f t="shared" si="21"/>
        <v>0</v>
      </c>
      <c r="BD18" s="287" t="s">
        <v>764</v>
      </c>
      <c r="BE18" s="295" t="str">
        <f t="shared" si="22"/>
        <v>Exhibit 1.5B_R Peoples Gas EEPS_Adjustable_Savings_Goal_Template.xlsx, Behavior Tab</v>
      </c>
      <c r="BF18" s="297"/>
    </row>
    <row r="19" spans="1:58" ht="13.5" customHeight="1">
      <c r="A19" s="287" t="str">
        <f>'Unit Savings Calculations'!C15</f>
        <v>Res - Outreach &amp; Education</v>
      </c>
      <c r="B19" s="287" t="str">
        <f>'Unit Savings Calculations'!D15</f>
        <v>Behavior 2019 Y4 Persistence</v>
      </c>
      <c r="C19" s="288">
        <f t="shared" si="29"/>
        <v>1</v>
      </c>
      <c r="D19" s="287" t="str">
        <f>'Unit Savings Calculations'!T15</f>
        <v>6.1.1</v>
      </c>
      <c r="E19" s="287">
        <f>INDEX('Unit Savings Calculations'!$H$4:$H$421,MATCH('Measure-Level Adjustments Tab'!$A19&amp;"_"&amp;'Measure-Level Adjustments Tab'!$B19,'Unit Savings Calculations'!$A$4:$A$421,0))</f>
        <v>0</v>
      </c>
      <c r="F19" s="287">
        <f>INDEX('Unit Savings Calculations'!$I$4:$I$421,MATCH('Measure-Level Adjustments Tab'!A19&amp;"_"&amp;'Measure-Level Adjustments Tab'!B19,'Unit Savings Calculations'!$A$4:$A$421,0))</f>
        <v>0</v>
      </c>
      <c r="G19" s="287" t="str">
        <f>'Unit Savings Calculations'!E15</f>
        <v>each</v>
      </c>
      <c r="H19" s="289">
        <v>0</v>
      </c>
      <c r="I19" s="289">
        <v>0</v>
      </c>
      <c r="J19" s="289">
        <v>0</v>
      </c>
      <c r="K19" s="289">
        <f>'Unit Savings Calculations'!$F15*'Unit Savings Calculations'!M15</f>
        <v>0</v>
      </c>
      <c r="L19" s="287" t="str">
        <f>'Unit Savings Calculations'!U15</f>
        <v>CC-BEH-BEHP-V02-16061</v>
      </c>
      <c r="M19" s="363" t="s">
        <v>826</v>
      </c>
      <c r="N19" s="290">
        <v>0</v>
      </c>
      <c r="O19" s="290">
        <v>0.36593059004912665</v>
      </c>
      <c r="P19" s="290">
        <v>0</v>
      </c>
      <c r="Q19" s="290">
        <v>0</v>
      </c>
      <c r="R19" s="291">
        <f>'Unit Savings Calculations'!$G15</f>
        <v>1</v>
      </c>
      <c r="S19" s="291">
        <f>'Unit Savings Calculations'!$G15</f>
        <v>1</v>
      </c>
      <c r="T19" s="291">
        <f>'Unit Savings Calculations'!$G15</f>
        <v>1</v>
      </c>
      <c r="U19" s="291">
        <f>'Unit Savings Calculations'!$G15</f>
        <v>1</v>
      </c>
      <c r="V19" s="292">
        <f t="shared" si="30"/>
        <v>0</v>
      </c>
      <c r="W19" s="292">
        <f t="shared" si="31"/>
        <v>0</v>
      </c>
      <c r="X19" s="292">
        <f t="shared" si="32"/>
        <v>0</v>
      </c>
      <c r="Y19" s="292">
        <f t="shared" si="33"/>
        <v>0</v>
      </c>
      <c r="Z19" s="292">
        <f t="shared" si="34"/>
        <v>0</v>
      </c>
      <c r="AA19" s="287"/>
      <c r="AB19" s="287"/>
      <c r="AC19" s="293">
        <f>'Unit Savings Calculations'!N15</f>
        <v>0</v>
      </c>
      <c r="AD19" s="287"/>
      <c r="AE19" s="292">
        <f t="shared" si="35"/>
        <v>0</v>
      </c>
      <c r="AF19" s="289">
        <f t="shared" si="36"/>
        <v>0</v>
      </c>
      <c r="AG19" s="287"/>
      <c r="AH19" s="287">
        <f t="shared" si="37"/>
        <v>0</v>
      </c>
      <c r="AI19" s="290">
        <f>'Unit Savings Calculations'!O15</f>
        <v>0.36593059004912665</v>
      </c>
      <c r="AJ19" s="287" t="s">
        <v>872</v>
      </c>
      <c r="AK19" s="292">
        <f t="shared" si="38"/>
        <v>0</v>
      </c>
      <c r="AL19" s="289">
        <f t="shared" si="39"/>
        <v>0</v>
      </c>
      <c r="AM19" s="287"/>
      <c r="AN19" s="287"/>
      <c r="AO19" s="290">
        <f>'Unit Savings Calculations'!P15</f>
        <v>0</v>
      </c>
      <c r="AP19" s="287" t="s">
        <v>764</v>
      </c>
      <c r="AQ19" s="292">
        <f t="shared" si="40"/>
        <v>0</v>
      </c>
      <c r="AR19" s="289">
        <f t="shared" si="41"/>
        <v>0</v>
      </c>
      <c r="AS19" s="287"/>
      <c r="AT19" s="287"/>
      <c r="AU19" s="290">
        <f>'Unit Savings Calculations'!Q15</f>
        <v>0</v>
      </c>
      <c r="AV19" s="287" t="str">
        <f t="shared" si="14"/>
        <v>n/a</v>
      </c>
      <c r="AW19" s="292">
        <f t="shared" si="42"/>
        <v>0</v>
      </c>
      <c r="AX19" s="289">
        <f t="shared" si="43"/>
        <v>0</v>
      </c>
      <c r="AY19" s="292">
        <f t="shared" si="17"/>
        <v>0</v>
      </c>
      <c r="AZ19" s="292">
        <f t="shared" si="18"/>
        <v>0</v>
      </c>
      <c r="BA19" s="292">
        <f t="shared" si="19"/>
        <v>0</v>
      </c>
      <c r="BB19" s="292">
        <f t="shared" si="20"/>
        <v>0</v>
      </c>
      <c r="BC19" s="294">
        <f t="shared" si="21"/>
        <v>0</v>
      </c>
      <c r="BD19" s="287" t="s">
        <v>764</v>
      </c>
      <c r="BE19" s="295" t="str">
        <f t="shared" si="22"/>
        <v>Exhibit 1.5B_R Peoples Gas EEPS_Adjustable_Savings_Goal_Template.xlsx, Behavior Tab</v>
      </c>
      <c r="BF19" s="297"/>
    </row>
    <row r="20" spans="1:58" ht="13.5" customHeight="1">
      <c r="A20" s="287" t="str">
        <f>'Unit Savings Calculations'!C16</f>
        <v>Res - Outreach &amp; Education</v>
      </c>
      <c r="B20" s="287" t="str">
        <f>'Unit Savings Calculations'!D16</f>
        <v>Behavior 2020 Y1 Persistence</v>
      </c>
      <c r="C20" s="288">
        <f t="shared" si="29"/>
        <v>1</v>
      </c>
      <c r="D20" s="287" t="str">
        <f>'Unit Savings Calculations'!T16</f>
        <v>6.1.1</v>
      </c>
      <c r="E20" s="287">
        <f>INDEX('Unit Savings Calculations'!$H$4:$H$421,MATCH('Measure-Level Adjustments Tab'!$A20&amp;"_"&amp;'Measure-Level Adjustments Tab'!$B20,'Unit Savings Calculations'!$A$4:$A$421,0))</f>
        <v>0</v>
      </c>
      <c r="F20" s="287">
        <f>INDEX('Unit Savings Calculations'!$I$4:$I$421,MATCH('Measure-Level Adjustments Tab'!A20&amp;"_"&amp;'Measure-Level Adjustments Tab'!B20,'Unit Savings Calculations'!$A$4:$A$421,0))</f>
        <v>0</v>
      </c>
      <c r="G20" s="287" t="str">
        <f>'Unit Savings Calculations'!E16</f>
        <v>each</v>
      </c>
      <c r="H20" s="289">
        <v>0</v>
      </c>
      <c r="I20" s="289">
        <v>0</v>
      </c>
      <c r="J20" s="289">
        <v>0</v>
      </c>
      <c r="K20" s="289">
        <f>'Unit Savings Calculations'!$F16*'Unit Savings Calculations'!M16</f>
        <v>0</v>
      </c>
      <c r="L20" s="287" t="str">
        <f>'Unit Savings Calculations'!U16</f>
        <v>CC-BEH-BEHP-V02-16061</v>
      </c>
      <c r="M20" s="363" t="s">
        <v>826</v>
      </c>
      <c r="N20" s="290">
        <v>0</v>
      </c>
      <c r="O20" s="290">
        <v>0</v>
      </c>
      <c r="P20" s="290">
        <v>4.4468611237116038</v>
      </c>
      <c r="Q20" s="290">
        <v>0</v>
      </c>
      <c r="R20" s="291">
        <f>'Unit Savings Calculations'!$G16</f>
        <v>1</v>
      </c>
      <c r="S20" s="291">
        <f>'Unit Savings Calculations'!$G16</f>
        <v>1</v>
      </c>
      <c r="T20" s="291">
        <f>'Unit Savings Calculations'!$G16</f>
        <v>1</v>
      </c>
      <c r="U20" s="291">
        <f>'Unit Savings Calculations'!$G16</f>
        <v>1</v>
      </c>
      <c r="V20" s="292">
        <f t="shared" si="30"/>
        <v>0</v>
      </c>
      <c r="W20" s="292">
        <f t="shared" si="31"/>
        <v>0</v>
      </c>
      <c r="X20" s="292">
        <f t="shared" si="32"/>
        <v>0</v>
      </c>
      <c r="Y20" s="292">
        <f t="shared" si="33"/>
        <v>0</v>
      </c>
      <c r="Z20" s="292">
        <f t="shared" si="34"/>
        <v>0</v>
      </c>
      <c r="AA20" s="287"/>
      <c r="AB20" s="287"/>
      <c r="AC20" s="293">
        <f>'Unit Savings Calculations'!N16</f>
        <v>0</v>
      </c>
      <c r="AD20" s="287"/>
      <c r="AE20" s="292">
        <f t="shared" si="35"/>
        <v>0</v>
      </c>
      <c r="AF20" s="289">
        <f t="shared" si="36"/>
        <v>0</v>
      </c>
      <c r="AG20" s="287"/>
      <c r="AH20" s="287">
        <f t="shared" si="37"/>
        <v>0</v>
      </c>
      <c r="AI20" s="290">
        <f>'Unit Savings Calculations'!O16</f>
        <v>0</v>
      </c>
      <c r="AJ20" s="287" t="s">
        <v>872</v>
      </c>
      <c r="AK20" s="292">
        <f t="shared" si="38"/>
        <v>0</v>
      </c>
      <c r="AL20" s="289">
        <f t="shared" si="39"/>
        <v>0</v>
      </c>
      <c r="AM20" s="287"/>
      <c r="AN20" s="287"/>
      <c r="AO20" s="290">
        <f>'Unit Savings Calculations'!P16</f>
        <v>4.4468611237116038</v>
      </c>
      <c r="AP20" s="287" t="s">
        <v>764</v>
      </c>
      <c r="AQ20" s="292">
        <f t="shared" si="40"/>
        <v>0</v>
      </c>
      <c r="AR20" s="289">
        <f t="shared" si="41"/>
        <v>0</v>
      </c>
      <c r="AS20" s="287"/>
      <c r="AT20" s="287"/>
      <c r="AU20" s="290">
        <f>'Unit Savings Calculations'!Q16</f>
        <v>0</v>
      </c>
      <c r="AV20" s="287" t="str">
        <f t="shared" si="14"/>
        <v>n/a</v>
      </c>
      <c r="AW20" s="292">
        <f t="shared" si="42"/>
        <v>0</v>
      </c>
      <c r="AX20" s="289">
        <f t="shared" si="43"/>
        <v>0</v>
      </c>
      <c r="AY20" s="292">
        <f t="shared" si="17"/>
        <v>0</v>
      </c>
      <c r="AZ20" s="292">
        <f t="shared" si="18"/>
        <v>0</v>
      </c>
      <c r="BA20" s="292">
        <f t="shared" si="19"/>
        <v>0</v>
      </c>
      <c r="BB20" s="292">
        <f t="shared" si="20"/>
        <v>0</v>
      </c>
      <c r="BC20" s="294">
        <f t="shared" si="21"/>
        <v>0</v>
      </c>
      <c r="BD20" s="287" t="s">
        <v>764</v>
      </c>
      <c r="BE20" s="295" t="str">
        <f t="shared" si="22"/>
        <v>Exhibit 1.5B_R Peoples Gas EEPS_Adjustable_Savings_Goal_Template.xlsx, Behavior Tab</v>
      </c>
      <c r="BF20" s="297"/>
    </row>
    <row r="21" spans="1:58" ht="13.5" customHeight="1">
      <c r="A21" s="287" t="str">
        <f>'Unit Savings Calculations'!C17</f>
        <v>Res - Outreach &amp; Education</v>
      </c>
      <c r="B21" s="287" t="str">
        <f>'Unit Savings Calculations'!D17</f>
        <v>Behavior 2020 Y2 Persistence</v>
      </c>
      <c r="C21" s="288">
        <f t="shared" si="29"/>
        <v>1</v>
      </c>
      <c r="D21" s="287" t="str">
        <f>'Unit Savings Calculations'!T17</f>
        <v>6.1.1</v>
      </c>
      <c r="E21" s="287">
        <f>INDEX('Unit Savings Calculations'!$H$4:$H$421,MATCH('Measure-Level Adjustments Tab'!$A21&amp;"_"&amp;'Measure-Level Adjustments Tab'!$B21,'Unit Savings Calculations'!$A$4:$A$421,0))</f>
        <v>0</v>
      </c>
      <c r="F21" s="287">
        <f>INDEX('Unit Savings Calculations'!$I$4:$I$421,MATCH('Measure-Level Adjustments Tab'!A21&amp;"_"&amp;'Measure-Level Adjustments Tab'!B21,'Unit Savings Calculations'!$A$4:$A$421,0))</f>
        <v>0</v>
      </c>
      <c r="G21" s="287" t="str">
        <f>'Unit Savings Calculations'!E17</f>
        <v>each</v>
      </c>
      <c r="H21" s="289">
        <v>0</v>
      </c>
      <c r="I21" s="289">
        <v>0</v>
      </c>
      <c r="J21" s="289">
        <v>0</v>
      </c>
      <c r="K21" s="289">
        <f>'Unit Savings Calculations'!$F17*'Unit Savings Calculations'!M17</f>
        <v>0</v>
      </c>
      <c r="L21" s="287" t="str">
        <f>'Unit Savings Calculations'!U17</f>
        <v>CC-BEH-BEHP-V02-16061</v>
      </c>
      <c r="M21" s="363" t="s">
        <v>826</v>
      </c>
      <c r="N21" s="290">
        <v>0</v>
      </c>
      <c r="O21" s="290">
        <v>0</v>
      </c>
      <c r="P21" s="290">
        <v>1.9311032550036686</v>
      </c>
      <c r="Q21" s="290">
        <v>0</v>
      </c>
      <c r="R21" s="291">
        <f>'Unit Savings Calculations'!$G17</f>
        <v>1</v>
      </c>
      <c r="S21" s="291">
        <f>'Unit Savings Calculations'!$G17</f>
        <v>1</v>
      </c>
      <c r="T21" s="291">
        <f>'Unit Savings Calculations'!$G17</f>
        <v>1</v>
      </c>
      <c r="U21" s="291">
        <f>'Unit Savings Calculations'!$G17</f>
        <v>1</v>
      </c>
      <c r="V21" s="292">
        <f t="shared" si="30"/>
        <v>0</v>
      </c>
      <c r="W21" s="292">
        <f t="shared" si="31"/>
        <v>0</v>
      </c>
      <c r="X21" s="292">
        <f t="shared" si="32"/>
        <v>0</v>
      </c>
      <c r="Y21" s="292">
        <f t="shared" si="33"/>
        <v>0</v>
      </c>
      <c r="Z21" s="292">
        <f t="shared" si="34"/>
        <v>0</v>
      </c>
      <c r="AA21" s="287"/>
      <c r="AB21" s="287"/>
      <c r="AC21" s="293">
        <f>'Unit Savings Calculations'!N17</f>
        <v>0</v>
      </c>
      <c r="AD21" s="287"/>
      <c r="AE21" s="292">
        <f t="shared" si="35"/>
        <v>0</v>
      </c>
      <c r="AF21" s="289">
        <f t="shared" si="36"/>
        <v>0</v>
      </c>
      <c r="AG21" s="287"/>
      <c r="AH21" s="287">
        <f t="shared" si="37"/>
        <v>0</v>
      </c>
      <c r="AI21" s="290">
        <f>'Unit Savings Calculations'!O17</f>
        <v>0</v>
      </c>
      <c r="AJ21" s="287" t="s">
        <v>872</v>
      </c>
      <c r="AK21" s="292">
        <f t="shared" si="38"/>
        <v>0</v>
      </c>
      <c r="AL21" s="289">
        <f t="shared" si="39"/>
        <v>0</v>
      </c>
      <c r="AM21" s="287"/>
      <c r="AN21" s="287"/>
      <c r="AO21" s="290">
        <f>'Unit Savings Calculations'!P17</f>
        <v>1.9311032550036686</v>
      </c>
      <c r="AP21" s="287" t="s">
        <v>764</v>
      </c>
      <c r="AQ21" s="292">
        <f t="shared" si="40"/>
        <v>0</v>
      </c>
      <c r="AR21" s="289">
        <f t="shared" si="41"/>
        <v>0</v>
      </c>
      <c r="AS21" s="287"/>
      <c r="AT21" s="287"/>
      <c r="AU21" s="290">
        <f>'Unit Savings Calculations'!Q17</f>
        <v>0</v>
      </c>
      <c r="AV21" s="287" t="str">
        <f t="shared" si="14"/>
        <v>n/a</v>
      </c>
      <c r="AW21" s="292">
        <f t="shared" si="42"/>
        <v>0</v>
      </c>
      <c r="AX21" s="289">
        <f t="shared" si="43"/>
        <v>0</v>
      </c>
      <c r="AY21" s="292">
        <f t="shared" si="17"/>
        <v>0</v>
      </c>
      <c r="AZ21" s="292">
        <f t="shared" si="18"/>
        <v>0</v>
      </c>
      <c r="BA21" s="292">
        <f t="shared" si="19"/>
        <v>0</v>
      </c>
      <c r="BB21" s="292">
        <f t="shared" si="20"/>
        <v>0</v>
      </c>
      <c r="BC21" s="294">
        <f t="shared" si="21"/>
        <v>0</v>
      </c>
      <c r="BD21" s="287" t="s">
        <v>764</v>
      </c>
      <c r="BE21" s="295" t="str">
        <f t="shared" si="22"/>
        <v>Exhibit 1.5B_R Peoples Gas EEPS_Adjustable_Savings_Goal_Template.xlsx, Behavior Tab</v>
      </c>
      <c r="BF21" s="297"/>
    </row>
    <row r="22" spans="1:58" ht="13.5" customHeight="1">
      <c r="A22" s="287" t="str">
        <f>'Unit Savings Calculations'!C18</f>
        <v>Res - Outreach &amp; Education</v>
      </c>
      <c r="B22" s="287" t="str">
        <f>'Unit Savings Calculations'!D18</f>
        <v>Behavior 2020 Y3 Persistence</v>
      </c>
      <c r="C22" s="288">
        <f t="shared" si="29"/>
        <v>1</v>
      </c>
      <c r="D22" s="287" t="str">
        <f>'Unit Savings Calculations'!T18</f>
        <v>6.1.1</v>
      </c>
      <c r="E22" s="287">
        <f>INDEX('Unit Savings Calculations'!$H$4:$H$421,MATCH('Measure-Level Adjustments Tab'!$A22&amp;"_"&amp;'Measure-Level Adjustments Tab'!$B22,'Unit Savings Calculations'!$A$4:$A$421,0))</f>
        <v>0</v>
      </c>
      <c r="F22" s="287">
        <f>INDEX('Unit Savings Calculations'!$I$4:$I$421,MATCH('Measure-Level Adjustments Tab'!A22&amp;"_"&amp;'Measure-Level Adjustments Tab'!B22,'Unit Savings Calculations'!$A$4:$A$421,0))</f>
        <v>0</v>
      </c>
      <c r="G22" s="287" t="str">
        <f>'Unit Savings Calculations'!E18</f>
        <v>each</v>
      </c>
      <c r="H22" s="289">
        <v>0</v>
      </c>
      <c r="I22" s="289">
        <v>0</v>
      </c>
      <c r="J22" s="289">
        <v>0</v>
      </c>
      <c r="K22" s="289">
        <f>'Unit Savings Calculations'!$F18*'Unit Savings Calculations'!M18</f>
        <v>0</v>
      </c>
      <c r="L22" s="287" t="str">
        <f>'Unit Savings Calculations'!U18</f>
        <v>CC-BEH-BEHP-V02-16061</v>
      </c>
      <c r="M22" s="363" t="s">
        <v>826</v>
      </c>
      <c r="N22" s="290">
        <v>0</v>
      </c>
      <c r="O22" s="290">
        <v>0</v>
      </c>
      <c r="P22" s="290">
        <v>0.84908751897402623</v>
      </c>
      <c r="Q22" s="290">
        <v>0</v>
      </c>
      <c r="R22" s="291">
        <f>'Unit Savings Calculations'!$G18</f>
        <v>1</v>
      </c>
      <c r="S22" s="291">
        <f>'Unit Savings Calculations'!$G18</f>
        <v>1</v>
      </c>
      <c r="T22" s="291">
        <f>'Unit Savings Calculations'!$G18</f>
        <v>1</v>
      </c>
      <c r="U22" s="291">
        <f>'Unit Savings Calculations'!$G18</f>
        <v>1</v>
      </c>
      <c r="V22" s="292">
        <f t="shared" si="30"/>
        <v>0</v>
      </c>
      <c r="W22" s="292">
        <f t="shared" si="31"/>
        <v>0</v>
      </c>
      <c r="X22" s="292">
        <f t="shared" si="32"/>
        <v>0</v>
      </c>
      <c r="Y22" s="292">
        <f t="shared" si="33"/>
        <v>0</v>
      </c>
      <c r="Z22" s="292">
        <f t="shared" si="34"/>
        <v>0</v>
      </c>
      <c r="AA22" s="287"/>
      <c r="AB22" s="287"/>
      <c r="AC22" s="293">
        <f>'Unit Savings Calculations'!N18</f>
        <v>0</v>
      </c>
      <c r="AD22" s="287"/>
      <c r="AE22" s="292">
        <f t="shared" si="35"/>
        <v>0</v>
      </c>
      <c r="AF22" s="289">
        <f t="shared" si="36"/>
        <v>0</v>
      </c>
      <c r="AG22" s="287"/>
      <c r="AH22" s="287">
        <f t="shared" si="37"/>
        <v>0</v>
      </c>
      <c r="AI22" s="290">
        <f>'Unit Savings Calculations'!O18</f>
        <v>0</v>
      </c>
      <c r="AJ22" s="287" t="s">
        <v>872</v>
      </c>
      <c r="AK22" s="292">
        <f t="shared" si="38"/>
        <v>0</v>
      </c>
      <c r="AL22" s="289">
        <f t="shared" si="39"/>
        <v>0</v>
      </c>
      <c r="AM22" s="287"/>
      <c r="AN22" s="287"/>
      <c r="AO22" s="290">
        <f>'Unit Savings Calculations'!P18</f>
        <v>0.84908751897402623</v>
      </c>
      <c r="AP22" s="287" t="s">
        <v>764</v>
      </c>
      <c r="AQ22" s="292">
        <f t="shared" si="40"/>
        <v>0</v>
      </c>
      <c r="AR22" s="289">
        <f t="shared" si="41"/>
        <v>0</v>
      </c>
      <c r="AS22" s="287"/>
      <c r="AT22" s="287"/>
      <c r="AU22" s="290">
        <f>'Unit Savings Calculations'!Q18</f>
        <v>0</v>
      </c>
      <c r="AV22" s="287" t="str">
        <f t="shared" si="14"/>
        <v>n/a</v>
      </c>
      <c r="AW22" s="292">
        <f t="shared" si="42"/>
        <v>0</v>
      </c>
      <c r="AX22" s="289">
        <f t="shared" si="43"/>
        <v>0</v>
      </c>
      <c r="AY22" s="292">
        <f t="shared" si="17"/>
        <v>0</v>
      </c>
      <c r="AZ22" s="292">
        <f t="shared" si="18"/>
        <v>0</v>
      </c>
      <c r="BA22" s="292">
        <f t="shared" si="19"/>
        <v>0</v>
      </c>
      <c r="BB22" s="292">
        <f t="shared" si="20"/>
        <v>0</v>
      </c>
      <c r="BC22" s="294">
        <f t="shared" si="21"/>
        <v>0</v>
      </c>
      <c r="BD22" s="287" t="s">
        <v>764</v>
      </c>
      <c r="BE22" s="295" t="str">
        <f t="shared" si="22"/>
        <v>Exhibit 1.5B_R Peoples Gas EEPS_Adjustable_Savings_Goal_Template.xlsx, Behavior Tab</v>
      </c>
      <c r="BF22" s="297"/>
    </row>
    <row r="23" spans="1:58" ht="13.5" customHeight="1">
      <c r="A23" s="287" t="str">
        <f>'Unit Savings Calculations'!C19</f>
        <v>Res - Outreach &amp; Education</v>
      </c>
      <c r="B23" s="287" t="str">
        <f>'Unit Savings Calculations'!D19</f>
        <v>Behavior 2020 Y4 Persistence</v>
      </c>
      <c r="C23" s="288">
        <f t="shared" si="29"/>
        <v>1</v>
      </c>
      <c r="D23" s="287" t="str">
        <f>'Unit Savings Calculations'!T19</f>
        <v>6.1.1</v>
      </c>
      <c r="E23" s="287">
        <f>INDEX('Unit Savings Calculations'!$H$4:$H$421,MATCH('Measure-Level Adjustments Tab'!$A23&amp;"_"&amp;'Measure-Level Adjustments Tab'!$B23,'Unit Savings Calculations'!$A$4:$A$421,0))</f>
        <v>0</v>
      </c>
      <c r="F23" s="287">
        <f>INDEX('Unit Savings Calculations'!$I$4:$I$421,MATCH('Measure-Level Adjustments Tab'!A23&amp;"_"&amp;'Measure-Level Adjustments Tab'!B23,'Unit Savings Calculations'!$A$4:$A$421,0))</f>
        <v>0</v>
      </c>
      <c r="G23" s="287" t="str">
        <f>'Unit Savings Calculations'!E19</f>
        <v>each</v>
      </c>
      <c r="H23" s="289">
        <v>0</v>
      </c>
      <c r="I23" s="289">
        <v>0</v>
      </c>
      <c r="J23" s="289">
        <v>0</v>
      </c>
      <c r="K23" s="289">
        <f>'Unit Savings Calculations'!$F19*'Unit Savings Calculations'!M19</f>
        <v>0</v>
      </c>
      <c r="L23" s="287" t="str">
        <f>'Unit Savings Calculations'!U19</f>
        <v>CC-BEH-BEHP-V02-16061</v>
      </c>
      <c r="M23" s="363" t="s">
        <v>826</v>
      </c>
      <c r="N23" s="290">
        <v>0</v>
      </c>
      <c r="O23" s="290">
        <v>0</v>
      </c>
      <c r="P23" s="290">
        <v>0.36872653003050482</v>
      </c>
      <c r="Q23" s="290">
        <v>0</v>
      </c>
      <c r="R23" s="291">
        <f>'Unit Savings Calculations'!$G19</f>
        <v>1</v>
      </c>
      <c r="S23" s="291">
        <f>'Unit Savings Calculations'!$G19</f>
        <v>1</v>
      </c>
      <c r="T23" s="291">
        <f>'Unit Savings Calculations'!$G19</f>
        <v>1</v>
      </c>
      <c r="U23" s="291">
        <f>'Unit Savings Calculations'!$G19</f>
        <v>1</v>
      </c>
      <c r="V23" s="292">
        <f t="shared" si="30"/>
        <v>0</v>
      </c>
      <c r="W23" s="292">
        <f t="shared" si="31"/>
        <v>0</v>
      </c>
      <c r="X23" s="292">
        <f t="shared" si="32"/>
        <v>0</v>
      </c>
      <c r="Y23" s="292">
        <f t="shared" si="33"/>
        <v>0</v>
      </c>
      <c r="Z23" s="292">
        <f t="shared" si="34"/>
        <v>0</v>
      </c>
      <c r="AA23" s="287"/>
      <c r="AB23" s="287"/>
      <c r="AC23" s="293">
        <f>'Unit Savings Calculations'!N19</f>
        <v>0</v>
      </c>
      <c r="AD23" s="287"/>
      <c r="AE23" s="292">
        <f t="shared" si="35"/>
        <v>0</v>
      </c>
      <c r="AF23" s="289">
        <f t="shared" si="36"/>
        <v>0</v>
      </c>
      <c r="AG23" s="287"/>
      <c r="AH23" s="287">
        <f t="shared" si="37"/>
        <v>0</v>
      </c>
      <c r="AI23" s="290">
        <f>'Unit Savings Calculations'!O19</f>
        <v>0</v>
      </c>
      <c r="AJ23" s="287" t="s">
        <v>872</v>
      </c>
      <c r="AK23" s="292">
        <f t="shared" si="38"/>
        <v>0</v>
      </c>
      <c r="AL23" s="289">
        <f t="shared" si="39"/>
        <v>0</v>
      </c>
      <c r="AM23" s="287"/>
      <c r="AN23" s="287"/>
      <c r="AO23" s="290">
        <f>'Unit Savings Calculations'!P19</f>
        <v>0.36872653003050482</v>
      </c>
      <c r="AP23" s="287" t="s">
        <v>764</v>
      </c>
      <c r="AQ23" s="292">
        <f t="shared" si="40"/>
        <v>0</v>
      </c>
      <c r="AR23" s="289">
        <f t="shared" si="41"/>
        <v>0</v>
      </c>
      <c r="AS23" s="287"/>
      <c r="AT23" s="287"/>
      <c r="AU23" s="290">
        <f>'Unit Savings Calculations'!Q19</f>
        <v>0</v>
      </c>
      <c r="AV23" s="287" t="str">
        <f t="shared" si="14"/>
        <v>n/a</v>
      </c>
      <c r="AW23" s="292">
        <f t="shared" si="42"/>
        <v>0</v>
      </c>
      <c r="AX23" s="289">
        <f t="shared" si="43"/>
        <v>0</v>
      </c>
      <c r="AY23" s="292">
        <f t="shared" si="17"/>
        <v>0</v>
      </c>
      <c r="AZ23" s="292">
        <f t="shared" si="18"/>
        <v>0</v>
      </c>
      <c r="BA23" s="292">
        <f t="shared" si="19"/>
        <v>0</v>
      </c>
      <c r="BB23" s="292">
        <f t="shared" si="20"/>
        <v>0</v>
      </c>
      <c r="BC23" s="294">
        <f t="shared" si="21"/>
        <v>0</v>
      </c>
      <c r="BD23" s="287" t="s">
        <v>764</v>
      </c>
      <c r="BE23" s="295" t="str">
        <f t="shared" si="22"/>
        <v>Exhibit 1.5B_R Peoples Gas EEPS_Adjustable_Savings_Goal_Template.xlsx, Behavior Tab</v>
      </c>
      <c r="BF23" s="297"/>
    </row>
    <row r="24" spans="1:58" ht="13.5" customHeight="1">
      <c r="A24" s="287" t="str">
        <f>'Unit Savings Calculations'!C20</f>
        <v>Res - Outreach &amp; Education</v>
      </c>
      <c r="B24" s="287" t="str">
        <f>'Unit Savings Calculations'!D20</f>
        <v>Behavior 2021 Y1 Persistence</v>
      </c>
      <c r="C24" s="288">
        <f t="shared" si="29"/>
        <v>1</v>
      </c>
      <c r="D24" s="287" t="str">
        <f>'Unit Savings Calculations'!T20</f>
        <v>6.1.1</v>
      </c>
      <c r="E24" s="287">
        <f>INDEX('Unit Savings Calculations'!$H$4:$H$421,MATCH('Measure-Level Adjustments Tab'!$A24&amp;"_"&amp;'Measure-Level Adjustments Tab'!$B24,'Unit Savings Calculations'!$A$4:$A$421,0))</f>
        <v>0</v>
      </c>
      <c r="F24" s="287">
        <f>INDEX('Unit Savings Calculations'!$I$4:$I$421,MATCH('Measure-Level Adjustments Tab'!A24&amp;"_"&amp;'Measure-Level Adjustments Tab'!B24,'Unit Savings Calculations'!$A$4:$A$421,0))</f>
        <v>0</v>
      </c>
      <c r="G24" s="287" t="str">
        <f>'Unit Savings Calculations'!E20</f>
        <v>each</v>
      </c>
      <c r="H24" s="289">
        <v>0</v>
      </c>
      <c r="I24" s="289">
        <v>0</v>
      </c>
      <c r="J24" s="289">
        <v>0</v>
      </c>
      <c r="K24" s="289">
        <v>0</v>
      </c>
      <c r="L24" s="287" t="str">
        <f>'Unit Savings Calculations'!U20</f>
        <v>CC-BEH-BEHP-V02-16061</v>
      </c>
      <c r="M24" s="363" t="s">
        <v>826</v>
      </c>
      <c r="N24" s="290">
        <v>0</v>
      </c>
      <c r="O24" s="290">
        <v>0</v>
      </c>
      <c r="P24" s="290">
        <v>0</v>
      </c>
      <c r="Q24" s="290">
        <v>4.4787621495763874</v>
      </c>
      <c r="R24" s="291">
        <f>'Unit Savings Calculations'!$G20</f>
        <v>1</v>
      </c>
      <c r="S24" s="291">
        <f>'Unit Savings Calculations'!$G20</f>
        <v>1</v>
      </c>
      <c r="T24" s="291">
        <f>'Unit Savings Calculations'!$G20</f>
        <v>1</v>
      </c>
      <c r="U24" s="291">
        <f>'Unit Savings Calculations'!$G20</f>
        <v>1</v>
      </c>
      <c r="V24" s="292">
        <f t="shared" si="30"/>
        <v>0</v>
      </c>
      <c r="W24" s="292">
        <f t="shared" si="31"/>
        <v>0</v>
      </c>
      <c r="X24" s="292">
        <f t="shared" si="32"/>
        <v>0</v>
      </c>
      <c r="Y24" s="292">
        <f t="shared" si="33"/>
        <v>0</v>
      </c>
      <c r="Z24" s="292">
        <f t="shared" si="34"/>
        <v>0</v>
      </c>
      <c r="AA24" s="287"/>
      <c r="AB24" s="287"/>
      <c r="AC24" s="293">
        <f>'Unit Savings Calculations'!N20</f>
        <v>0</v>
      </c>
      <c r="AD24" s="287"/>
      <c r="AE24" s="292">
        <f t="shared" si="35"/>
        <v>0</v>
      </c>
      <c r="AF24" s="289">
        <f t="shared" si="36"/>
        <v>0</v>
      </c>
      <c r="AG24" s="287"/>
      <c r="AH24" s="287">
        <f t="shared" si="37"/>
        <v>0</v>
      </c>
      <c r="AI24" s="290">
        <f>'Unit Savings Calculations'!O20</f>
        <v>0</v>
      </c>
      <c r="AJ24" s="287" t="s">
        <v>872</v>
      </c>
      <c r="AK24" s="292">
        <f t="shared" si="38"/>
        <v>0</v>
      </c>
      <c r="AL24" s="289">
        <f t="shared" si="39"/>
        <v>0</v>
      </c>
      <c r="AM24" s="287"/>
      <c r="AN24" s="287"/>
      <c r="AO24" s="290">
        <f>'Unit Savings Calculations'!P20</f>
        <v>0</v>
      </c>
      <c r="AP24" s="287" t="s">
        <v>764</v>
      </c>
      <c r="AQ24" s="292">
        <f t="shared" si="40"/>
        <v>0</v>
      </c>
      <c r="AR24" s="289">
        <f t="shared" si="41"/>
        <v>0</v>
      </c>
      <c r="AS24" s="287"/>
      <c r="AT24" s="287"/>
      <c r="AU24" s="290">
        <f>'Unit Savings Calculations'!Q20</f>
        <v>4.4787621495763874</v>
      </c>
      <c r="AV24" s="287" t="str">
        <f t="shared" si="14"/>
        <v>n/a</v>
      </c>
      <c r="AW24" s="292">
        <f t="shared" si="42"/>
        <v>0</v>
      </c>
      <c r="AX24" s="289">
        <f t="shared" si="43"/>
        <v>0</v>
      </c>
      <c r="AY24" s="292">
        <f t="shared" si="17"/>
        <v>0</v>
      </c>
      <c r="AZ24" s="292">
        <f t="shared" si="18"/>
        <v>0</v>
      </c>
      <c r="BA24" s="292">
        <f t="shared" si="19"/>
        <v>0</v>
      </c>
      <c r="BB24" s="292">
        <f t="shared" si="20"/>
        <v>0</v>
      </c>
      <c r="BC24" s="294">
        <f t="shared" si="21"/>
        <v>0</v>
      </c>
      <c r="BD24" s="287" t="s">
        <v>764</v>
      </c>
      <c r="BE24" s="295" t="str">
        <f t="shared" si="22"/>
        <v>Exhibit 1.5B_R Peoples Gas EEPS_Adjustable_Savings_Goal_Template.xlsx, Behavior Tab</v>
      </c>
      <c r="BF24" s="297"/>
    </row>
    <row r="25" spans="1:58" ht="13.5" customHeight="1">
      <c r="A25" s="287" t="str">
        <f>'Unit Savings Calculations'!C21</f>
        <v>Res - Outreach &amp; Education</v>
      </c>
      <c r="B25" s="287" t="str">
        <f>'Unit Savings Calculations'!D21</f>
        <v>Behavior 2021 Y2 Persistence</v>
      </c>
      <c r="C25" s="288">
        <f t="shared" si="29"/>
        <v>1</v>
      </c>
      <c r="D25" s="287" t="str">
        <f>'Unit Savings Calculations'!T21</f>
        <v>6.1.1</v>
      </c>
      <c r="E25" s="287">
        <f>INDEX('Unit Savings Calculations'!$H$4:$H$421,MATCH('Measure-Level Adjustments Tab'!$A25&amp;"_"&amp;'Measure-Level Adjustments Tab'!$B25,'Unit Savings Calculations'!$A$4:$A$421,0))</f>
        <v>0</v>
      </c>
      <c r="F25" s="287">
        <f>INDEX('Unit Savings Calculations'!$I$4:$I$421,MATCH('Measure-Level Adjustments Tab'!A25&amp;"_"&amp;'Measure-Level Adjustments Tab'!B25,'Unit Savings Calculations'!$A$4:$A$421,0))</f>
        <v>0</v>
      </c>
      <c r="G25" s="287" t="str">
        <f>'Unit Savings Calculations'!E21</f>
        <v>each</v>
      </c>
      <c r="H25" s="289">
        <v>0</v>
      </c>
      <c r="I25" s="289">
        <v>0</v>
      </c>
      <c r="J25" s="289">
        <v>0</v>
      </c>
      <c r="K25" s="289">
        <v>0</v>
      </c>
      <c r="L25" s="287" t="str">
        <f>'Unit Savings Calculations'!U21</f>
        <v>CC-BEH-BEHP-V02-16061</v>
      </c>
      <c r="M25" s="363" t="s">
        <v>826</v>
      </c>
      <c r="N25" s="290">
        <v>0</v>
      </c>
      <c r="O25" s="290">
        <v>0</v>
      </c>
      <c r="P25" s="290">
        <v>0</v>
      </c>
      <c r="Q25" s="290">
        <v>1.9449566615238212</v>
      </c>
      <c r="R25" s="291">
        <f>'Unit Savings Calculations'!$G21</f>
        <v>1</v>
      </c>
      <c r="S25" s="291">
        <f>'Unit Savings Calculations'!$G21</f>
        <v>1</v>
      </c>
      <c r="T25" s="291">
        <f>'Unit Savings Calculations'!$G21</f>
        <v>1</v>
      </c>
      <c r="U25" s="291">
        <f>'Unit Savings Calculations'!$G21</f>
        <v>1</v>
      </c>
      <c r="V25" s="292">
        <f t="shared" si="30"/>
        <v>0</v>
      </c>
      <c r="W25" s="292">
        <f t="shared" si="31"/>
        <v>0</v>
      </c>
      <c r="X25" s="292">
        <f t="shared" si="32"/>
        <v>0</v>
      </c>
      <c r="Y25" s="292">
        <f t="shared" si="33"/>
        <v>0</v>
      </c>
      <c r="Z25" s="292">
        <f t="shared" si="34"/>
        <v>0</v>
      </c>
      <c r="AA25" s="287"/>
      <c r="AB25" s="287"/>
      <c r="AC25" s="293">
        <f>'Unit Savings Calculations'!N21</f>
        <v>0</v>
      </c>
      <c r="AD25" s="287"/>
      <c r="AE25" s="292">
        <f t="shared" si="35"/>
        <v>0</v>
      </c>
      <c r="AF25" s="289">
        <f t="shared" si="36"/>
        <v>0</v>
      </c>
      <c r="AG25" s="287"/>
      <c r="AH25" s="287">
        <f t="shared" si="37"/>
        <v>0</v>
      </c>
      <c r="AI25" s="290">
        <f>'Unit Savings Calculations'!O21</f>
        <v>0</v>
      </c>
      <c r="AJ25" s="287" t="s">
        <v>872</v>
      </c>
      <c r="AK25" s="292">
        <f t="shared" si="38"/>
        <v>0</v>
      </c>
      <c r="AL25" s="289">
        <f t="shared" si="39"/>
        <v>0</v>
      </c>
      <c r="AM25" s="287"/>
      <c r="AN25" s="287"/>
      <c r="AO25" s="290">
        <f>'Unit Savings Calculations'!P21</f>
        <v>0</v>
      </c>
      <c r="AP25" s="287" t="s">
        <v>764</v>
      </c>
      <c r="AQ25" s="292">
        <f t="shared" si="40"/>
        <v>0</v>
      </c>
      <c r="AR25" s="289">
        <f t="shared" si="41"/>
        <v>0</v>
      </c>
      <c r="AS25" s="287"/>
      <c r="AT25" s="287"/>
      <c r="AU25" s="290">
        <f>'Unit Savings Calculations'!Q21</f>
        <v>1.9449566615238212</v>
      </c>
      <c r="AV25" s="287" t="str">
        <f t="shared" si="14"/>
        <v>n/a</v>
      </c>
      <c r="AW25" s="292">
        <f t="shared" si="42"/>
        <v>0</v>
      </c>
      <c r="AX25" s="289">
        <f t="shared" si="43"/>
        <v>0</v>
      </c>
      <c r="AY25" s="292">
        <f t="shared" si="17"/>
        <v>0</v>
      </c>
      <c r="AZ25" s="292">
        <f t="shared" si="18"/>
        <v>0</v>
      </c>
      <c r="BA25" s="292">
        <f t="shared" si="19"/>
        <v>0</v>
      </c>
      <c r="BB25" s="292">
        <f t="shared" si="20"/>
        <v>0</v>
      </c>
      <c r="BC25" s="294">
        <f t="shared" si="21"/>
        <v>0</v>
      </c>
      <c r="BD25" s="287" t="s">
        <v>764</v>
      </c>
      <c r="BE25" s="295" t="str">
        <f t="shared" si="22"/>
        <v>Exhibit 1.5B_R Peoples Gas EEPS_Adjustable_Savings_Goal_Template.xlsx, Behavior Tab</v>
      </c>
      <c r="BF25" s="297"/>
    </row>
    <row r="26" spans="1:58" ht="13.5" customHeight="1">
      <c r="A26" s="287" t="str">
        <f>'Unit Savings Calculations'!C22</f>
        <v>Res - Outreach &amp; Education</v>
      </c>
      <c r="B26" s="287" t="str">
        <f>'Unit Savings Calculations'!D22</f>
        <v>Behavior 2021 Y3 Persistence</v>
      </c>
      <c r="C26" s="288">
        <f t="shared" si="29"/>
        <v>1</v>
      </c>
      <c r="D26" s="287" t="str">
        <f>'Unit Savings Calculations'!T22</f>
        <v>6.1.1</v>
      </c>
      <c r="E26" s="287">
        <f>INDEX('Unit Savings Calculations'!$H$4:$H$421,MATCH('Measure-Level Adjustments Tab'!$A26&amp;"_"&amp;'Measure-Level Adjustments Tab'!$B26,'Unit Savings Calculations'!$A$4:$A$421,0))</f>
        <v>0</v>
      </c>
      <c r="F26" s="287">
        <f>INDEX('Unit Savings Calculations'!$I$4:$I$421,MATCH('Measure-Level Adjustments Tab'!A26&amp;"_"&amp;'Measure-Level Adjustments Tab'!B26,'Unit Savings Calculations'!$A$4:$A$421,0))</f>
        <v>0</v>
      </c>
      <c r="G26" s="287" t="str">
        <f>'Unit Savings Calculations'!E22</f>
        <v>each</v>
      </c>
      <c r="H26" s="289">
        <v>0</v>
      </c>
      <c r="I26" s="289">
        <v>0</v>
      </c>
      <c r="J26" s="289">
        <v>0</v>
      </c>
      <c r="K26" s="289">
        <v>0</v>
      </c>
      <c r="L26" s="287" t="str">
        <f>'Unit Savings Calculations'!U22</f>
        <v>CC-BEH-BEHP-V02-16061</v>
      </c>
      <c r="M26" s="363" t="s">
        <v>826</v>
      </c>
      <c r="N26" s="290">
        <v>0</v>
      </c>
      <c r="O26" s="290">
        <v>0</v>
      </c>
      <c r="P26" s="290">
        <v>0</v>
      </c>
      <c r="Q26" s="290">
        <v>0.85517872851502641</v>
      </c>
      <c r="R26" s="291">
        <f>'Unit Savings Calculations'!$G22</f>
        <v>1</v>
      </c>
      <c r="S26" s="291">
        <f>'Unit Savings Calculations'!$G22</f>
        <v>1</v>
      </c>
      <c r="T26" s="291">
        <f>'Unit Savings Calculations'!$G22</f>
        <v>1</v>
      </c>
      <c r="U26" s="291">
        <f>'Unit Savings Calculations'!$G22</f>
        <v>1</v>
      </c>
      <c r="V26" s="292">
        <f t="shared" si="30"/>
        <v>0</v>
      </c>
      <c r="W26" s="292">
        <f t="shared" si="31"/>
        <v>0</v>
      </c>
      <c r="X26" s="292">
        <f t="shared" si="32"/>
        <v>0</v>
      </c>
      <c r="Y26" s="292">
        <f t="shared" si="33"/>
        <v>0</v>
      </c>
      <c r="Z26" s="292">
        <f t="shared" si="34"/>
        <v>0</v>
      </c>
      <c r="AA26" s="287"/>
      <c r="AB26" s="287"/>
      <c r="AC26" s="293">
        <f>'Unit Savings Calculations'!N22</f>
        <v>0</v>
      </c>
      <c r="AD26" s="287"/>
      <c r="AE26" s="292">
        <f t="shared" si="35"/>
        <v>0</v>
      </c>
      <c r="AF26" s="289">
        <f t="shared" si="36"/>
        <v>0</v>
      </c>
      <c r="AG26" s="287"/>
      <c r="AH26" s="287">
        <f t="shared" si="37"/>
        <v>0</v>
      </c>
      <c r="AI26" s="290">
        <f>'Unit Savings Calculations'!O22</f>
        <v>0</v>
      </c>
      <c r="AJ26" s="287" t="s">
        <v>872</v>
      </c>
      <c r="AK26" s="292">
        <f t="shared" si="38"/>
        <v>0</v>
      </c>
      <c r="AL26" s="289">
        <f t="shared" si="39"/>
        <v>0</v>
      </c>
      <c r="AM26" s="287"/>
      <c r="AN26" s="287"/>
      <c r="AO26" s="290">
        <f>'Unit Savings Calculations'!P22</f>
        <v>0</v>
      </c>
      <c r="AP26" s="287" t="s">
        <v>764</v>
      </c>
      <c r="AQ26" s="292">
        <f t="shared" si="40"/>
        <v>0</v>
      </c>
      <c r="AR26" s="289">
        <f t="shared" si="41"/>
        <v>0</v>
      </c>
      <c r="AS26" s="287"/>
      <c r="AT26" s="287"/>
      <c r="AU26" s="290">
        <f>'Unit Savings Calculations'!Q22</f>
        <v>0.85517872851502641</v>
      </c>
      <c r="AV26" s="287" t="str">
        <f t="shared" si="14"/>
        <v>n/a</v>
      </c>
      <c r="AW26" s="292">
        <f t="shared" si="42"/>
        <v>0</v>
      </c>
      <c r="AX26" s="289">
        <f t="shared" si="43"/>
        <v>0</v>
      </c>
      <c r="AY26" s="292">
        <f t="shared" si="17"/>
        <v>0</v>
      </c>
      <c r="AZ26" s="292">
        <f t="shared" si="18"/>
        <v>0</v>
      </c>
      <c r="BA26" s="292">
        <f t="shared" si="19"/>
        <v>0</v>
      </c>
      <c r="BB26" s="292">
        <f t="shared" si="20"/>
        <v>0</v>
      </c>
      <c r="BC26" s="294">
        <f t="shared" si="21"/>
        <v>0</v>
      </c>
      <c r="BD26" s="287" t="s">
        <v>764</v>
      </c>
      <c r="BE26" s="295" t="str">
        <f t="shared" si="22"/>
        <v>Exhibit 1.5B_R Peoples Gas EEPS_Adjustable_Savings_Goal_Template.xlsx, Behavior Tab</v>
      </c>
      <c r="BF26" s="297"/>
    </row>
    <row r="27" spans="1:58" ht="13.5" customHeight="1">
      <c r="A27" s="287" t="str">
        <f>'Unit Savings Calculations'!C23</f>
        <v>Res - Outreach &amp; Education</v>
      </c>
      <c r="B27" s="287" t="str">
        <f>'Unit Savings Calculations'!D23</f>
        <v>Behavior 2021 Y4 Persistence</v>
      </c>
      <c r="C27" s="288">
        <f t="shared" si="29"/>
        <v>1</v>
      </c>
      <c r="D27" s="287" t="str">
        <f>'Unit Savings Calculations'!T23</f>
        <v>6.1.1</v>
      </c>
      <c r="E27" s="287">
        <f>INDEX('Unit Savings Calculations'!$H$4:$H$421,MATCH('Measure-Level Adjustments Tab'!$A27&amp;"_"&amp;'Measure-Level Adjustments Tab'!$B27,'Unit Savings Calculations'!$A$4:$A$421,0))</f>
        <v>0</v>
      </c>
      <c r="F27" s="287">
        <f>INDEX('Unit Savings Calculations'!$I$4:$I$421,MATCH('Measure-Level Adjustments Tab'!A27&amp;"_"&amp;'Measure-Level Adjustments Tab'!B27,'Unit Savings Calculations'!$A$4:$A$421,0))</f>
        <v>0</v>
      </c>
      <c r="G27" s="287" t="str">
        <f>'Unit Savings Calculations'!E23</f>
        <v>each</v>
      </c>
      <c r="H27" s="289">
        <v>0</v>
      </c>
      <c r="I27" s="289">
        <v>0</v>
      </c>
      <c r="J27" s="289">
        <v>0</v>
      </c>
      <c r="K27" s="289">
        <v>0</v>
      </c>
      <c r="L27" s="287" t="str">
        <f>'Unit Savings Calculations'!U23</f>
        <v>CC-BEH-BEHP-V02-16061</v>
      </c>
      <c r="M27" s="363" t="s">
        <v>826</v>
      </c>
      <c r="N27" s="290">
        <v>0</v>
      </c>
      <c r="O27" s="290">
        <v>0</v>
      </c>
      <c r="P27" s="290">
        <v>0</v>
      </c>
      <c r="Q27" s="290">
        <v>0.37137171148418541</v>
      </c>
      <c r="R27" s="291">
        <f>'Unit Savings Calculations'!$G23</f>
        <v>1</v>
      </c>
      <c r="S27" s="291">
        <f>'Unit Savings Calculations'!$G23</f>
        <v>1</v>
      </c>
      <c r="T27" s="291">
        <f>'Unit Savings Calculations'!$G23</f>
        <v>1</v>
      </c>
      <c r="U27" s="291">
        <f>'Unit Savings Calculations'!$G23</f>
        <v>1</v>
      </c>
      <c r="V27" s="292">
        <f t="shared" si="30"/>
        <v>0</v>
      </c>
      <c r="W27" s="292">
        <f t="shared" si="31"/>
        <v>0</v>
      </c>
      <c r="X27" s="292">
        <f t="shared" si="32"/>
        <v>0</v>
      </c>
      <c r="Y27" s="292">
        <f t="shared" si="33"/>
        <v>0</v>
      </c>
      <c r="Z27" s="292">
        <f t="shared" si="34"/>
        <v>0</v>
      </c>
      <c r="AA27" s="287"/>
      <c r="AB27" s="287"/>
      <c r="AC27" s="293">
        <f>'Unit Savings Calculations'!N23</f>
        <v>0</v>
      </c>
      <c r="AD27" s="287"/>
      <c r="AE27" s="292">
        <f t="shared" si="35"/>
        <v>0</v>
      </c>
      <c r="AF27" s="289">
        <f t="shared" si="36"/>
        <v>0</v>
      </c>
      <c r="AG27" s="287"/>
      <c r="AH27" s="287">
        <f t="shared" si="37"/>
        <v>0</v>
      </c>
      <c r="AI27" s="290">
        <f>'Unit Savings Calculations'!O23</f>
        <v>0</v>
      </c>
      <c r="AJ27" s="287" t="s">
        <v>872</v>
      </c>
      <c r="AK27" s="292">
        <f t="shared" si="38"/>
        <v>0</v>
      </c>
      <c r="AL27" s="289">
        <f t="shared" si="39"/>
        <v>0</v>
      </c>
      <c r="AM27" s="287"/>
      <c r="AN27" s="287"/>
      <c r="AO27" s="290">
        <f>'Unit Savings Calculations'!P23</f>
        <v>0</v>
      </c>
      <c r="AP27" s="287" t="s">
        <v>764</v>
      </c>
      <c r="AQ27" s="292">
        <f t="shared" si="40"/>
        <v>0</v>
      </c>
      <c r="AR27" s="289">
        <f t="shared" si="41"/>
        <v>0</v>
      </c>
      <c r="AS27" s="287"/>
      <c r="AT27" s="287"/>
      <c r="AU27" s="290">
        <f>'Unit Savings Calculations'!Q23</f>
        <v>0.37137171148418541</v>
      </c>
      <c r="AV27" s="287" t="str">
        <f t="shared" si="14"/>
        <v>n/a</v>
      </c>
      <c r="AW27" s="292">
        <f t="shared" si="42"/>
        <v>0</v>
      </c>
      <c r="AX27" s="289">
        <f t="shared" si="43"/>
        <v>0</v>
      </c>
      <c r="AY27" s="292">
        <f t="shared" si="17"/>
        <v>0</v>
      </c>
      <c r="AZ27" s="292">
        <f t="shared" si="18"/>
        <v>0</v>
      </c>
      <c r="BA27" s="292">
        <f t="shared" si="19"/>
        <v>0</v>
      </c>
      <c r="BB27" s="292">
        <f t="shared" si="20"/>
        <v>0</v>
      </c>
      <c r="BC27" s="294">
        <f t="shared" si="21"/>
        <v>0</v>
      </c>
      <c r="BD27" s="287" t="s">
        <v>764</v>
      </c>
      <c r="BE27" s="295" t="str">
        <f t="shared" si="22"/>
        <v>Exhibit 1.5B_R Peoples Gas EEPS_Adjustable_Savings_Goal_Template.xlsx, Behavior Tab</v>
      </c>
      <c r="BF27" s="297"/>
    </row>
    <row r="28" spans="1:58" ht="13.5" customHeight="1">
      <c r="A28" s="287" t="str">
        <f>'Unit Savings Calculations'!C24</f>
        <v>Res - Outreach &amp; Education</v>
      </c>
      <c r="B28" s="287" t="str">
        <f>'Unit Savings Calculations'!D24</f>
        <v>Energy Education</v>
      </c>
      <c r="C28" s="288">
        <f t="shared" si="29"/>
        <v>0</v>
      </c>
      <c r="D28" s="287" t="str">
        <f>'Unit Savings Calculations'!T24</f>
        <v>Custom</v>
      </c>
      <c r="E28" s="287">
        <f>INDEX('Unit Savings Calculations'!$H$4:$H$421,MATCH('Measure-Level Adjustments Tab'!$A28&amp;"_"&amp;'Measure-Level Adjustments Tab'!$B28,'Unit Savings Calculations'!$A$4:$A$421,0))</f>
        <v>1</v>
      </c>
      <c r="F28" s="287">
        <f>INDEX('Unit Savings Calculations'!$I$4:$I$421,MATCH('Measure-Level Adjustments Tab'!A28&amp;"_"&amp;'Measure-Level Adjustments Tab'!B28,'Unit Savings Calculations'!$A$4:$A$421,0))</f>
        <v>1</v>
      </c>
      <c r="G28" s="287" t="str">
        <f>'Unit Savings Calculations'!E24</f>
        <v>each</v>
      </c>
      <c r="H28" s="289">
        <f>'Unit Savings Calculations'!$F24*'Unit Savings Calculations'!J24</f>
        <v>5528</v>
      </c>
      <c r="I28" s="289">
        <f>'Unit Savings Calculations'!$F24*'Unit Savings Calculations'!K24</f>
        <v>5528</v>
      </c>
      <c r="J28" s="289">
        <f>'Unit Savings Calculations'!$F24*'Unit Savings Calculations'!L24</f>
        <v>5528</v>
      </c>
      <c r="K28" s="289">
        <f>'Unit Savings Calculations'!$F24*'Unit Savings Calculations'!M24</f>
        <v>5528</v>
      </c>
      <c r="L28" s="287" t="str">
        <f>'Unit Savings Calculations'!U24</f>
        <v>Custom</v>
      </c>
      <c r="M28" s="287" t="str">
        <f>'Unit Savings Calculations'!S24</f>
        <v>Custom</v>
      </c>
      <c r="N28" s="290">
        <v>10</v>
      </c>
      <c r="O28" s="290">
        <v>10</v>
      </c>
      <c r="P28" s="290">
        <v>10</v>
      </c>
      <c r="Q28" s="290">
        <v>10</v>
      </c>
      <c r="R28" s="291">
        <f>'Unit Savings Calculations'!$G24</f>
        <v>1</v>
      </c>
      <c r="S28" s="291">
        <f>'Unit Savings Calculations'!$G24</f>
        <v>1</v>
      </c>
      <c r="T28" s="291">
        <f>'Unit Savings Calculations'!$G24</f>
        <v>1</v>
      </c>
      <c r="U28" s="291">
        <f>'Unit Savings Calculations'!$G24</f>
        <v>1</v>
      </c>
      <c r="V28" s="292">
        <f t="shared" si="30"/>
        <v>55280</v>
      </c>
      <c r="W28" s="292">
        <f t="shared" si="31"/>
        <v>55280</v>
      </c>
      <c r="X28" s="292">
        <f t="shared" si="32"/>
        <v>55280</v>
      </c>
      <c r="Y28" s="292">
        <f t="shared" si="33"/>
        <v>55280</v>
      </c>
      <c r="Z28" s="292">
        <f t="shared" si="34"/>
        <v>221120</v>
      </c>
      <c r="AA28" s="364"/>
      <c r="AB28" s="364"/>
      <c r="AC28" s="365">
        <f>'Unit Savings Calculations'!N24</f>
        <v>10</v>
      </c>
      <c r="AD28" s="364"/>
      <c r="AE28" s="366">
        <f t="shared" si="35"/>
        <v>55280</v>
      </c>
      <c r="AF28" s="367">
        <f t="shared" si="36"/>
        <v>0</v>
      </c>
      <c r="AG28" s="364"/>
      <c r="AH28" s="364">
        <f t="shared" si="37"/>
        <v>0</v>
      </c>
      <c r="AI28" s="368">
        <f>'Unit Savings Calculations'!O24</f>
        <v>10</v>
      </c>
      <c r="AJ28" s="364" t="s">
        <v>872</v>
      </c>
      <c r="AK28" s="366">
        <f t="shared" si="38"/>
        <v>55280</v>
      </c>
      <c r="AL28" s="367">
        <f t="shared" si="39"/>
        <v>0</v>
      </c>
      <c r="AM28" s="364"/>
      <c r="AN28" s="364"/>
      <c r="AO28" s="368">
        <f>'Unit Savings Calculations'!P24</f>
        <v>10</v>
      </c>
      <c r="AP28" s="364" t="s">
        <v>764</v>
      </c>
      <c r="AQ28" s="366">
        <f t="shared" si="40"/>
        <v>55280</v>
      </c>
      <c r="AR28" s="367">
        <f t="shared" si="41"/>
        <v>0</v>
      </c>
      <c r="AS28" s="364"/>
      <c r="AT28" s="364"/>
      <c r="AU28" s="368">
        <f>'Unit Savings Calculations'!Q24</f>
        <v>10</v>
      </c>
      <c r="AV28" s="364" t="str">
        <f t="shared" si="14"/>
        <v>n/a</v>
      </c>
      <c r="AW28" s="366">
        <f t="shared" si="42"/>
        <v>55280</v>
      </c>
      <c r="AX28" s="367">
        <f t="shared" si="43"/>
        <v>0</v>
      </c>
      <c r="AY28" s="292">
        <f t="shared" si="17"/>
        <v>55280</v>
      </c>
      <c r="AZ28" s="292">
        <f t="shared" si="18"/>
        <v>55280</v>
      </c>
      <c r="BA28" s="292">
        <f t="shared" si="19"/>
        <v>55280</v>
      </c>
      <c r="BB28" s="292">
        <f t="shared" si="20"/>
        <v>55280</v>
      </c>
      <c r="BC28" s="294">
        <f t="shared" si="21"/>
        <v>221120</v>
      </c>
      <c r="BD28" s="287" t="s">
        <v>764</v>
      </c>
      <c r="BE28" s="295" t="str">
        <f t="shared" si="22"/>
        <v>Custom</v>
      </c>
      <c r="BF28" s="297"/>
    </row>
    <row r="29" spans="1:58" ht="13.5" customHeight="1">
      <c r="A29" s="287" t="str">
        <f>'Unit Savings Calculations'!C25</f>
        <v>Res - SF Assessments</v>
      </c>
      <c r="B29" s="287" t="str">
        <f>'Unit Savings Calculations'!D25</f>
        <v>Bathroom Aerator</v>
      </c>
      <c r="C29" s="288">
        <f t="shared" si="23"/>
        <v>1</v>
      </c>
      <c r="D29" s="287" t="str">
        <f>'Unit Savings Calculations'!T25</f>
        <v>5.4.4</v>
      </c>
      <c r="E29" s="287">
        <f>INDEX('Unit Savings Calculations'!$H$4:$H$421,MATCH('Measure-Level Adjustments Tab'!$A29&amp;"_"&amp;'Measure-Level Adjustments Tab'!$B29,'Unit Savings Calculations'!$A$4:$A$421,0))</f>
        <v>9</v>
      </c>
      <c r="F29" s="287">
        <f>INDEX('Unit Savings Calculations'!$I$4:$I$421,MATCH('Measure-Level Adjustments Tab'!A29&amp;"_"&amp;'Measure-Level Adjustments Tab'!B29,'Unit Savings Calculations'!$A$4:$A$421,0))</f>
        <v>10</v>
      </c>
      <c r="G29" s="287" t="str">
        <f>'Unit Savings Calculations'!E25</f>
        <v>each</v>
      </c>
      <c r="H29" s="289">
        <f>'Unit Savings Calculations'!$F25*'Unit Savings Calculations'!J25</f>
        <v>8037</v>
      </c>
      <c r="I29" s="289">
        <f>'Unit Savings Calculations'!$F25*'Unit Savings Calculations'!K25</f>
        <v>8037</v>
      </c>
      <c r="J29" s="289">
        <f>'Unit Savings Calculations'!$F25*'Unit Savings Calculations'!L25</f>
        <v>7495</v>
      </c>
      <c r="K29" s="289">
        <f>'Unit Savings Calculations'!$F25*'Unit Savings Calculations'!M25</f>
        <v>8037</v>
      </c>
      <c r="L29" s="287" t="str">
        <f>'Unit Savings Calculations'!U25</f>
        <v>RS-HWE-LFFA-V06-180101</v>
      </c>
      <c r="M29" s="363" t="s">
        <v>830</v>
      </c>
      <c r="N29" s="290">
        <v>0.69292055940766484</v>
      </c>
      <c r="O29" s="290">
        <v>0.69292055940766484</v>
      </c>
      <c r="P29" s="290">
        <v>0.69292055940766484</v>
      </c>
      <c r="Q29" s="290">
        <v>0.69292055940766484</v>
      </c>
      <c r="R29" s="291">
        <f>'Unit Savings Calculations'!$G25</f>
        <v>0.96</v>
      </c>
      <c r="S29" s="291">
        <f>'Unit Savings Calculations'!$G25</f>
        <v>0.96</v>
      </c>
      <c r="T29" s="291">
        <f>'Unit Savings Calculations'!$G25</f>
        <v>0.96</v>
      </c>
      <c r="U29" s="291">
        <f>'Unit Savings Calculations'!$G25</f>
        <v>0.96</v>
      </c>
      <c r="V29" s="292">
        <f t="shared" ref="V29:V92" si="44">H29*N29*R29</f>
        <v>5346.2424345210256</v>
      </c>
      <c r="W29" s="292">
        <f t="shared" ref="W29:W92" si="45">I29*O29*S29</f>
        <v>5346.2424345210256</v>
      </c>
      <c r="X29" s="292">
        <f t="shared" ref="X29:X92" si="46">J29*P29*T29</f>
        <v>4985.70200905003</v>
      </c>
      <c r="Y29" s="292">
        <f t="shared" ref="Y29:Y92" si="47">K29*Q29*U29</f>
        <v>5346.2424345210256</v>
      </c>
      <c r="Z29" s="292">
        <f t="shared" ref="Z29:Z92" si="48">V29+W29+X29+Y29</f>
        <v>21024.429312613109</v>
      </c>
      <c r="AA29" s="287"/>
      <c r="AB29" s="287"/>
      <c r="AC29" s="293">
        <f>'Unit Savings Calculations'!N25</f>
        <v>0.90849584455671673</v>
      </c>
      <c r="AD29" s="287"/>
      <c r="AE29" s="292">
        <f t="shared" si="7"/>
        <v>7009.5178585942385</v>
      </c>
      <c r="AF29" s="289">
        <f t="shared" si="8"/>
        <v>1663.2754240732129</v>
      </c>
      <c r="AG29" s="287"/>
      <c r="AH29" s="287">
        <f t="shared" si="9"/>
        <v>0</v>
      </c>
      <c r="AI29" s="290">
        <f>'Unit Savings Calculations'!O25</f>
        <v>0.90849584455671673</v>
      </c>
      <c r="AJ29" s="287" t="s">
        <v>1010</v>
      </c>
      <c r="AK29" s="292">
        <f t="shared" si="10"/>
        <v>7009.5178585942385</v>
      </c>
      <c r="AL29" s="289">
        <f t="shared" si="11"/>
        <v>1663.2754240732129</v>
      </c>
      <c r="AM29" s="287"/>
      <c r="AN29" s="287"/>
      <c r="AO29" s="290">
        <f>'Unit Savings Calculations'!P25</f>
        <v>0.90849584455671673</v>
      </c>
      <c r="AP29" s="287" t="s">
        <v>764</v>
      </c>
      <c r="AQ29" s="292">
        <f t="shared" si="12"/>
        <v>6536.8093007544885</v>
      </c>
      <c r="AR29" s="289">
        <f t="shared" si="13"/>
        <v>1551.1072917044585</v>
      </c>
      <c r="AS29" s="287"/>
      <c r="AT29" s="287"/>
      <c r="AU29" s="290">
        <f>'Unit Savings Calculations'!Q25</f>
        <v>0.90849584455671673</v>
      </c>
      <c r="AV29" s="287" t="str">
        <f t="shared" si="14"/>
        <v>n/a</v>
      </c>
      <c r="AW29" s="292">
        <f t="shared" si="15"/>
        <v>7009.5178585942385</v>
      </c>
      <c r="AX29" s="289">
        <f t="shared" si="16"/>
        <v>1663.2754240732129</v>
      </c>
      <c r="AY29" s="292">
        <f t="shared" si="17"/>
        <v>7009.5178585942385</v>
      </c>
      <c r="AZ29" s="292">
        <f t="shared" si="18"/>
        <v>7009.5178585942385</v>
      </c>
      <c r="BA29" s="292">
        <f t="shared" si="19"/>
        <v>6536.8093007544885</v>
      </c>
      <c r="BB29" s="292">
        <f t="shared" si="20"/>
        <v>7009.5178585942385</v>
      </c>
      <c r="BC29" s="294">
        <f t="shared" si="21"/>
        <v>27565.362876537201</v>
      </c>
      <c r="BD29" s="287" t="s">
        <v>764</v>
      </c>
      <c r="BE29" s="295" t="str">
        <f t="shared" si="22"/>
        <v>Exhibit 1.5B_R Peoples Gas EEPS_Adjustable_Savings_Goal_Template.xlsx, Unit Savings Calculations Tab</v>
      </c>
      <c r="BF29" s="297"/>
    </row>
    <row r="30" spans="1:58" ht="13.5" customHeight="1">
      <c r="A30" s="287" t="str">
        <f>'Unit Savings Calculations'!C26</f>
        <v>Res - SF Assessments</v>
      </c>
      <c r="B30" s="287" t="str">
        <f>'Unit Savings Calculations'!D26</f>
        <v>Kitchen Aerator</v>
      </c>
      <c r="C30" s="288">
        <f t="shared" si="23"/>
        <v>1</v>
      </c>
      <c r="D30" s="287" t="str">
        <f>'Unit Savings Calculations'!T26</f>
        <v>5.4.4</v>
      </c>
      <c r="E30" s="287">
        <f>INDEX('Unit Savings Calculations'!$H$4:$H$421,MATCH('Measure-Level Adjustments Tab'!$A30&amp;"_"&amp;'Measure-Level Adjustments Tab'!$B30,'Unit Savings Calculations'!$A$4:$A$421,0))</f>
        <v>9</v>
      </c>
      <c r="F30" s="287">
        <f>INDEX('Unit Savings Calculations'!$I$4:$I$421,MATCH('Measure-Level Adjustments Tab'!A30&amp;"_"&amp;'Measure-Level Adjustments Tab'!B30,'Unit Savings Calculations'!$A$4:$A$421,0))</f>
        <v>10</v>
      </c>
      <c r="G30" s="287" t="str">
        <f>'Unit Savings Calculations'!E26</f>
        <v>each</v>
      </c>
      <c r="H30" s="289">
        <f>'Unit Savings Calculations'!$F26*'Unit Savings Calculations'!J26</f>
        <v>4429</v>
      </c>
      <c r="I30" s="289">
        <f>'Unit Savings Calculations'!$F26*'Unit Savings Calculations'!K26</f>
        <v>4429</v>
      </c>
      <c r="J30" s="289">
        <f>'Unit Savings Calculations'!$F26*'Unit Savings Calculations'!L26</f>
        <v>4130</v>
      </c>
      <c r="K30" s="289">
        <f>'Unit Savings Calculations'!$F26*'Unit Savings Calculations'!M26</f>
        <v>4429</v>
      </c>
      <c r="L30" s="287" t="str">
        <f>'Unit Savings Calculations'!U26</f>
        <v>RS-HWE-LFFA-V06-180101</v>
      </c>
      <c r="M30" s="363" t="s">
        <v>830</v>
      </c>
      <c r="N30" s="290">
        <v>5.6045414594076925</v>
      </c>
      <c r="O30" s="290">
        <v>5.6045414594076925</v>
      </c>
      <c r="P30" s="290">
        <v>5.6045414594076925</v>
      </c>
      <c r="Q30" s="290">
        <v>5.6045414594076925</v>
      </c>
      <c r="R30" s="291">
        <f>'Unit Savings Calculations'!$G26</f>
        <v>0.96</v>
      </c>
      <c r="S30" s="291">
        <f>'Unit Savings Calculations'!$G26</f>
        <v>0.96</v>
      </c>
      <c r="T30" s="291">
        <f>'Unit Savings Calculations'!$G26</f>
        <v>0.96</v>
      </c>
      <c r="U30" s="291">
        <f>'Unit Savings Calculations'!$G26</f>
        <v>0.96</v>
      </c>
      <c r="V30" s="292">
        <f t="shared" si="44"/>
        <v>23829.613558768004</v>
      </c>
      <c r="W30" s="292">
        <f t="shared" si="45"/>
        <v>23829.613558768004</v>
      </c>
      <c r="X30" s="292">
        <f t="shared" si="46"/>
        <v>22220.885978259619</v>
      </c>
      <c r="Y30" s="292">
        <f t="shared" si="47"/>
        <v>23829.613558768004</v>
      </c>
      <c r="Z30" s="292">
        <f t="shared" si="48"/>
        <v>93709.726654563623</v>
      </c>
      <c r="AA30" s="287"/>
      <c r="AB30" s="287"/>
      <c r="AC30" s="293">
        <f>'Unit Savings Calculations'!N26</f>
        <v>8.5936302377584592</v>
      </c>
      <c r="AD30" s="287"/>
      <c r="AE30" s="292">
        <f t="shared" si="7"/>
        <v>36538.740790110925</v>
      </c>
      <c r="AF30" s="289">
        <f t="shared" si="8"/>
        <v>12709.127231342922</v>
      </c>
      <c r="AG30" s="287"/>
      <c r="AH30" s="287">
        <f t="shared" si="9"/>
        <v>0</v>
      </c>
      <c r="AI30" s="290">
        <f>'Unit Savings Calculations'!O26</f>
        <v>8.5936302377584592</v>
      </c>
      <c r="AJ30" s="287" t="s">
        <v>1010</v>
      </c>
      <c r="AK30" s="292">
        <f t="shared" si="10"/>
        <v>36538.740790110925</v>
      </c>
      <c r="AL30" s="289">
        <f t="shared" si="11"/>
        <v>12709.127231342922</v>
      </c>
      <c r="AM30" s="287"/>
      <c r="AN30" s="287"/>
      <c r="AO30" s="290">
        <f>'Unit Savings Calculations'!P26</f>
        <v>8.5936302377584592</v>
      </c>
      <c r="AP30" s="287" t="s">
        <v>764</v>
      </c>
      <c r="AQ30" s="292">
        <f t="shared" si="12"/>
        <v>34072.025166664738</v>
      </c>
      <c r="AR30" s="289">
        <f t="shared" si="13"/>
        <v>11851.139188405119</v>
      </c>
      <c r="AS30" s="287"/>
      <c r="AT30" s="287"/>
      <c r="AU30" s="290">
        <f>'Unit Savings Calculations'!Q26</f>
        <v>8.5936302377584592</v>
      </c>
      <c r="AV30" s="287" t="str">
        <f t="shared" si="14"/>
        <v>n/a</v>
      </c>
      <c r="AW30" s="292">
        <f t="shared" si="15"/>
        <v>36538.740790110925</v>
      </c>
      <c r="AX30" s="289">
        <f t="shared" si="16"/>
        <v>12709.127231342922</v>
      </c>
      <c r="AY30" s="292">
        <f t="shared" si="17"/>
        <v>36538.740790110925</v>
      </c>
      <c r="AZ30" s="292">
        <f t="shared" si="18"/>
        <v>36538.740790110925</v>
      </c>
      <c r="BA30" s="292">
        <f t="shared" si="19"/>
        <v>34072.025166664738</v>
      </c>
      <c r="BB30" s="292">
        <f t="shared" si="20"/>
        <v>36538.740790110925</v>
      </c>
      <c r="BC30" s="294">
        <f t="shared" si="21"/>
        <v>143688.24753699751</v>
      </c>
      <c r="BD30" s="287" t="s">
        <v>764</v>
      </c>
      <c r="BE30" s="295" t="str">
        <f t="shared" si="22"/>
        <v>Exhibit 1.5B_R Peoples Gas EEPS_Adjustable_Savings_Goal_Template.xlsx, Unit Savings Calculations Tab</v>
      </c>
      <c r="BF30" s="297"/>
    </row>
    <row r="31" spans="1:58" ht="13.5" customHeight="1">
      <c r="A31" s="287" t="str">
        <f>'Unit Savings Calculations'!C27</f>
        <v>Res - SF Assessments</v>
      </c>
      <c r="B31" s="287" t="str">
        <f>'Unit Savings Calculations'!D27</f>
        <v>Showerhead</v>
      </c>
      <c r="C31" s="288">
        <f t="shared" si="23"/>
        <v>1</v>
      </c>
      <c r="D31" s="287" t="str">
        <f>'Unit Savings Calculations'!T27</f>
        <v>5.4.5</v>
      </c>
      <c r="E31" s="287">
        <f>INDEX('Unit Savings Calculations'!$H$4:$H$421,MATCH('Measure-Level Adjustments Tab'!$A31&amp;"_"&amp;'Measure-Level Adjustments Tab'!$B31,'Unit Savings Calculations'!$A$4:$A$421,0))</f>
        <v>10</v>
      </c>
      <c r="F31" s="287">
        <f>INDEX('Unit Savings Calculations'!$I$4:$I$421,MATCH('Measure-Level Adjustments Tab'!A31&amp;"_"&amp;'Measure-Level Adjustments Tab'!B31,'Unit Savings Calculations'!$A$4:$A$421,0))</f>
        <v>10</v>
      </c>
      <c r="G31" s="287" t="str">
        <f>'Unit Savings Calculations'!E27</f>
        <v>each</v>
      </c>
      <c r="H31" s="289">
        <f>'Unit Savings Calculations'!$F27*'Unit Savings Calculations'!J27</f>
        <v>9349</v>
      </c>
      <c r="I31" s="289">
        <f>'Unit Savings Calculations'!$F27*'Unit Savings Calculations'!K27</f>
        <v>9349</v>
      </c>
      <c r="J31" s="289">
        <f>'Unit Savings Calculations'!$F27*'Unit Savings Calculations'!L27</f>
        <v>8719</v>
      </c>
      <c r="K31" s="289">
        <f>'Unit Savings Calculations'!$F27*'Unit Savings Calculations'!M27</f>
        <v>9349</v>
      </c>
      <c r="L31" s="287" t="str">
        <f>'Unit Savings Calculations'!U27</f>
        <v>RS-HWE-LFSH-V05-180101</v>
      </c>
      <c r="M31" s="363" t="s">
        <v>830</v>
      </c>
      <c r="N31" s="290">
        <v>14.03971173442217</v>
      </c>
      <c r="O31" s="290">
        <v>14.03971173442217</v>
      </c>
      <c r="P31" s="290">
        <v>14.03971173442217</v>
      </c>
      <c r="Q31" s="290">
        <v>14.03971173442217</v>
      </c>
      <c r="R31" s="291">
        <f>'Unit Savings Calculations'!$G27</f>
        <v>0.96</v>
      </c>
      <c r="S31" s="291">
        <f>'Unit Savings Calculations'!$G27</f>
        <v>0.96</v>
      </c>
      <c r="T31" s="291">
        <f>'Unit Savings Calculations'!$G27</f>
        <v>0.96</v>
      </c>
      <c r="U31" s="291">
        <f>'Unit Savings Calculations'!$G27</f>
        <v>0.96</v>
      </c>
      <c r="V31" s="292">
        <f t="shared" si="44"/>
        <v>126006.97440490834</v>
      </c>
      <c r="W31" s="292">
        <f t="shared" si="45"/>
        <v>126006.97440490834</v>
      </c>
      <c r="X31" s="292">
        <f t="shared" si="46"/>
        <v>117515.75674792982</v>
      </c>
      <c r="Y31" s="292">
        <f t="shared" si="47"/>
        <v>126006.97440490834</v>
      </c>
      <c r="Z31" s="292">
        <f t="shared" si="48"/>
        <v>495536.67996265483</v>
      </c>
      <c r="AA31" s="287"/>
      <c r="AB31" s="287"/>
      <c r="AC31" s="293">
        <f>'Unit Savings Calculations'!N27</f>
        <v>8.7892072937103034</v>
      </c>
      <c r="AD31" s="287"/>
      <c r="AE31" s="292">
        <f t="shared" si="7"/>
        <v>78883.487029341719</v>
      </c>
      <c r="AF31" s="289">
        <f t="shared" si="8"/>
        <v>-47123.487375566619</v>
      </c>
      <c r="AG31" s="287"/>
      <c r="AH31" s="287">
        <f t="shared" si="9"/>
        <v>0</v>
      </c>
      <c r="AI31" s="290">
        <f>'Unit Savings Calculations'!O27</f>
        <v>8.7892072937103034</v>
      </c>
      <c r="AJ31" s="287" t="s">
        <v>1010</v>
      </c>
      <c r="AK31" s="292">
        <f t="shared" si="10"/>
        <v>78883.487029341719</v>
      </c>
      <c r="AL31" s="289">
        <f t="shared" si="11"/>
        <v>-47123.487375566619</v>
      </c>
      <c r="AM31" s="287"/>
      <c r="AN31" s="287"/>
      <c r="AO31" s="290">
        <f>'Unit Savings Calculations'!P27</f>
        <v>8.7892072937103034</v>
      </c>
      <c r="AP31" s="287" t="s">
        <v>1442</v>
      </c>
      <c r="AQ31" s="292">
        <f t="shared" si="12"/>
        <v>73567.774458105734</v>
      </c>
      <c r="AR31" s="289">
        <f t="shared" si="13"/>
        <v>-43947.982289824082</v>
      </c>
      <c r="AS31" s="287"/>
      <c r="AT31" s="287"/>
      <c r="AU31" s="290">
        <f>'Unit Savings Calculations'!Q27</f>
        <v>8.7892072937103034</v>
      </c>
      <c r="AV31" s="287" t="str">
        <f t="shared" si="14"/>
        <v>Updated SF ISR</v>
      </c>
      <c r="AW31" s="292">
        <f t="shared" si="15"/>
        <v>78883.487029341719</v>
      </c>
      <c r="AX31" s="289">
        <f t="shared" si="16"/>
        <v>-47123.487375566619</v>
      </c>
      <c r="AY31" s="292">
        <f t="shared" si="17"/>
        <v>78883.487029341719</v>
      </c>
      <c r="AZ31" s="292">
        <f t="shared" si="18"/>
        <v>78883.487029341719</v>
      </c>
      <c r="BA31" s="292">
        <f t="shared" si="19"/>
        <v>73567.774458105734</v>
      </c>
      <c r="BB31" s="292">
        <f t="shared" si="20"/>
        <v>78883.487029341719</v>
      </c>
      <c r="BC31" s="294">
        <f t="shared" si="21"/>
        <v>310218.23554613092</v>
      </c>
      <c r="BD31" s="287" t="s">
        <v>764</v>
      </c>
      <c r="BE31" s="295" t="str">
        <f t="shared" si="22"/>
        <v>Exhibit 1.5B_R Peoples Gas EEPS_Adjustable_Savings_Goal_Template.xlsx, Unit Savings Calculations Tab</v>
      </c>
      <c r="BF31" s="297"/>
    </row>
    <row r="32" spans="1:58" ht="13.5" customHeight="1">
      <c r="A32" s="287" t="str">
        <f>'Unit Savings Calculations'!C28</f>
        <v>Res - SF Assessments</v>
      </c>
      <c r="B32" s="287" t="str">
        <f>'Unit Savings Calculations'!D28</f>
        <v>Pipe Insulation (DHW)</v>
      </c>
      <c r="C32" s="288">
        <f t="shared" si="23"/>
        <v>1</v>
      </c>
      <c r="D32" s="287" t="str">
        <f>'Unit Savings Calculations'!T28</f>
        <v>5.4.1</v>
      </c>
      <c r="E32" s="287">
        <f>INDEX('Unit Savings Calculations'!$H$4:$H$421,MATCH('Measure-Level Adjustments Tab'!$A32&amp;"_"&amp;'Measure-Level Adjustments Tab'!$B32,'Unit Savings Calculations'!$A$4:$A$421,0))</f>
        <v>15</v>
      </c>
      <c r="F32" s="287">
        <f>INDEX('Unit Savings Calculations'!$I$4:$I$421,MATCH('Measure-Level Adjustments Tab'!A32&amp;"_"&amp;'Measure-Level Adjustments Tab'!B32,'Unit Savings Calculations'!$A$4:$A$421,0))</f>
        <v>15</v>
      </c>
      <c r="G32" s="287" t="str">
        <f>'Unit Savings Calculations'!E28</f>
        <v>ft</v>
      </c>
      <c r="H32" s="289">
        <f>'Unit Savings Calculations'!$F28*'Unit Savings Calculations'!J28</f>
        <v>27237</v>
      </c>
      <c r="I32" s="289">
        <f>'Unit Savings Calculations'!$F28*'Unit Savings Calculations'!K28</f>
        <v>27237</v>
      </c>
      <c r="J32" s="289">
        <f>'Unit Savings Calculations'!$F28*'Unit Savings Calculations'!L28</f>
        <v>25398</v>
      </c>
      <c r="K32" s="289">
        <f>'Unit Savings Calculations'!$F28*'Unit Savings Calculations'!M28</f>
        <v>27237</v>
      </c>
      <c r="L32" s="287" t="str">
        <f>'Unit Savings Calculations'!U28</f>
        <v>RS-HVC-PINS-V02-150601</v>
      </c>
      <c r="M32" s="363" t="s">
        <v>831</v>
      </c>
      <c r="N32" s="290">
        <v>0.99123230769230763</v>
      </c>
      <c r="O32" s="290">
        <v>0.99123230769230763</v>
      </c>
      <c r="P32" s="290">
        <v>0.99123230769230763</v>
      </c>
      <c r="Q32" s="290">
        <v>0.99123230769230763</v>
      </c>
      <c r="R32" s="291">
        <f>'Unit Savings Calculations'!$G28</f>
        <v>0.96</v>
      </c>
      <c r="S32" s="291">
        <f>'Unit Savings Calculations'!$G28</f>
        <v>0.96</v>
      </c>
      <c r="T32" s="291">
        <f>'Unit Savings Calculations'!$G28</f>
        <v>0.96</v>
      </c>
      <c r="U32" s="291">
        <f>'Unit Savings Calculations'!$G28</f>
        <v>0.96</v>
      </c>
      <c r="V32" s="292">
        <f t="shared" si="44"/>
        <v>25918.266590030766</v>
      </c>
      <c r="W32" s="292">
        <f t="shared" si="45"/>
        <v>25918.266590030766</v>
      </c>
      <c r="X32" s="292">
        <f t="shared" si="46"/>
        <v>24168.305424738457</v>
      </c>
      <c r="Y32" s="292">
        <f t="shared" si="47"/>
        <v>25918.266590030766</v>
      </c>
      <c r="Z32" s="292">
        <f t="shared" si="48"/>
        <v>101923.10519483076</v>
      </c>
      <c r="AA32" s="287"/>
      <c r="AB32" s="287"/>
      <c r="AC32" s="293">
        <f>'Unit Savings Calculations'!N28</f>
        <v>0.77039653846153844</v>
      </c>
      <c r="AD32" s="287"/>
      <c r="AE32" s="292">
        <f t="shared" si="7"/>
        <v>20143.958897353845</v>
      </c>
      <c r="AF32" s="289">
        <f t="shared" si="8"/>
        <v>-5774.3076926769209</v>
      </c>
      <c r="AG32" s="287"/>
      <c r="AH32" s="287">
        <f t="shared" si="9"/>
        <v>0</v>
      </c>
      <c r="AI32" s="290">
        <f>'Unit Savings Calculations'!O28</f>
        <v>0.77039653846153844</v>
      </c>
      <c r="AJ32" s="287" t="s">
        <v>1005</v>
      </c>
      <c r="AK32" s="292">
        <f t="shared" si="10"/>
        <v>20143.958897353845</v>
      </c>
      <c r="AL32" s="289">
        <f t="shared" si="11"/>
        <v>-5774.3076926769209</v>
      </c>
      <c r="AM32" s="287"/>
      <c r="AN32" s="287"/>
      <c r="AO32" s="290">
        <f>'Unit Savings Calculations'!P28</f>
        <v>0.77039653846153844</v>
      </c>
      <c r="AP32" s="287" t="s">
        <v>764</v>
      </c>
      <c r="AQ32" s="292">
        <f t="shared" si="12"/>
        <v>18783.870032492308</v>
      </c>
      <c r="AR32" s="289">
        <f t="shared" si="13"/>
        <v>-5384.4353922461487</v>
      </c>
      <c r="AS32" s="287"/>
      <c r="AT32" s="287"/>
      <c r="AU32" s="290">
        <f>'Unit Savings Calculations'!Q28</f>
        <v>0.77039653846153844</v>
      </c>
      <c r="AV32" s="287" t="str">
        <f t="shared" si="14"/>
        <v>n/a</v>
      </c>
      <c r="AW32" s="292">
        <f t="shared" si="15"/>
        <v>20143.958897353845</v>
      </c>
      <c r="AX32" s="289">
        <f t="shared" si="16"/>
        <v>-5774.3076926769209</v>
      </c>
      <c r="AY32" s="292">
        <f t="shared" si="17"/>
        <v>20143.958897353845</v>
      </c>
      <c r="AZ32" s="292">
        <f t="shared" si="18"/>
        <v>20143.958897353845</v>
      </c>
      <c r="BA32" s="292">
        <f t="shared" si="19"/>
        <v>18783.870032492308</v>
      </c>
      <c r="BB32" s="292">
        <f t="shared" si="20"/>
        <v>20143.958897353845</v>
      </c>
      <c r="BC32" s="294">
        <f t="shared" si="21"/>
        <v>79215.746724553843</v>
      </c>
      <c r="BD32" s="287" t="s">
        <v>764</v>
      </c>
      <c r="BE32" s="295" t="str">
        <f t="shared" si="22"/>
        <v>Exhibit 1.5B_R Peoples Gas EEPS_Adjustable_Savings_Goal_Template.xlsx,Pipe Insulation Detail Tab</v>
      </c>
      <c r="BF32" s="297"/>
    </row>
    <row r="33" spans="1:58" ht="13.5" customHeight="1">
      <c r="A33" s="287" t="str">
        <f>'Unit Savings Calculations'!C29</f>
        <v>Res - SF Assessments</v>
      </c>
      <c r="B33" s="287" t="str">
        <f>'Unit Savings Calculations'!D29</f>
        <v>Pipe Insulation (Boiler)</v>
      </c>
      <c r="C33" s="288">
        <f t="shared" si="23"/>
        <v>1</v>
      </c>
      <c r="D33" s="287" t="str">
        <f>'Unit Savings Calculations'!T29</f>
        <v>5.3.2</v>
      </c>
      <c r="E33" s="287">
        <f>INDEX('Unit Savings Calculations'!$H$4:$H$421,MATCH('Measure-Level Adjustments Tab'!$A33&amp;"_"&amp;'Measure-Level Adjustments Tab'!$B33,'Unit Savings Calculations'!$A$4:$A$421,0))</f>
        <v>15</v>
      </c>
      <c r="F33" s="287">
        <f>INDEX('Unit Savings Calculations'!$I$4:$I$421,MATCH('Measure-Level Adjustments Tab'!A33&amp;"_"&amp;'Measure-Level Adjustments Tab'!B33,'Unit Savings Calculations'!$A$4:$A$421,0))</f>
        <v>15</v>
      </c>
      <c r="G33" s="287" t="str">
        <f>'Unit Savings Calculations'!E29</f>
        <v>ft</v>
      </c>
      <c r="H33" s="289">
        <f>'Unit Savings Calculations'!$F29*'Unit Savings Calculations'!J29</f>
        <v>13287</v>
      </c>
      <c r="I33" s="289">
        <f>'Unit Savings Calculations'!$F29*'Unit Savings Calculations'!K29</f>
        <v>13287</v>
      </c>
      <c r="J33" s="289">
        <f>'Unit Savings Calculations'!$F29*'Unit Savings Calculations'!L29</f>
        <v>12390</v>
      </c>
      <c r="K33" s="289">
        <f>'Unit Savings Calculations'!$F29*'Unit Savings Calculations'!M29</f>
        <v>13287</v>
      </c>
      <c r="L33" s="287" t="str">
        <f>'Unit Savings Calculations'!U29</f>
        <v>RS-HVC-PINS-V02-160601</v>
      </c>
      <c r="M33" s="363" t="s">
        <v>830</v>
      </c>
      <c r="N33" s="290">
        <v>0.41554055468341189</v>
      </c>
      <c r="O33" s="290">
        <v>0.41554055468341189</v>
      </c>
      <c r="P33" s="290">
        <v>0.41554055468341189</v>
      </c>
      <c r="Q33" s="290">
        <v>0.41554055468341189</v>
      </c>
      <c r="R33" s="291">
        <f>'Unit Savings Calculations'!$G29</f>
        <v>0.96</v>
      </c>
      <c r="S33" s="291">
        <f>'Unit Savings Calculations'!$G29</f>
        <v>0.96</v>
      </c>
      <c r="T33" s="291">
        <f>'Unit Savings Calculations'!$G29</f>
        <v>0.96</v>
      </c>
      <c r="U33" s="291">
        <f>'Unit Savings Calculations'!$G29</f>
        <v>0.96</v>
      </c>
      <c r="V33" s="292">
        <f t="shared" si="44"/>
        <v>5300.4358560753535</v>
      </c>
      <c r="W33" s="292">
        <f t="shared" si="45"/>
        <v>5300.4358560753535</v>
      </c>
      <c r="X33" s="292">
        <f t="shared" si="46"/>
        <v>4942.6055736263743</v>
      </c>
      <c r="Y33" s="292">
        <f t="shared" si="47"/>
        <v>5300.4358560753535</v>
      </c>
      <c r="Z33" s="292">
        <f t="shared" si="48"/>
        <v>20843.913141852434</v>
      </c>
      <c r="AA33" s="287"/>
      <c r="AB33" s="287"/>
      <c r="AC33" s="293">
        <f>'Unit Savings Calculations'!N29</f>
        <v>0.41554055468341189</v>
      </c>
      <c r="AD33" s="287"/>
      <c r="AE33" s="292">
        <f t="shared" si="7"/>
        <v>5300.4358560753535</v>
      </c>
      <c r="AF33" s="289">
        <f t="shared" si="8"/>
        <v>0</v>
      </c>
      <c r="AG33" s="287"/>
      <c r="AH33" s="287">
        <f t="shared" si="9"/>
        <v>0</v>
      </c>
      <c r="AI33" s="290">
        <f>'Unit Savings Calculations'!O29</f>
        <v>0.41554055468341189</v>
      </c>
      <c r="AJ33" s="287" t="s">
        <v>872</v>
      </c>
      <c r="AK33" s="292">
        <f t="shared" si="10"/>
        <v>5300.4358560753535</v>
      </c>
      <c r="AL33" s="289">
        <f t="shared" si="11"/>
        <v>0</v>
      </c>
      <c r="AM33" s="287"/>
      <c r="AN33" s="287"/>
      <c r="AO33" s="290">
        <f>'Unit Savings Calculations'!P29</f>
        <v>0.41554055468341189</v>
      </c>
      <c r="AP33" s="287" t="s">
        <v>764</v>
      </c>
      <c r="AQ33" s="292">
        <f t="shared" si="12"/>
        <v>4942.6055736263743</v>
      </c>
      <c r="AR33" s="289">
        <f t="shared" si="13"/>
        <v>0</v>
      </c>
      <c r="AS33" s="287"/>
      <c r="AT33" s="287"/>
      <c r="AU33" s="290">
        <f>'Unit Savings Calculations'!Q29</f>
        <v>0.41554055468341189</v>
      </c>
      <c r="AV33" s="287" t="str">
        <f t="shared" si="14"/>
        <v>n/a</v>
      </c>
      <c r="AW33" s="292">
        <f t="shared" si="15"/>
        <v>5300.4358560753535</v>
      </c>
      <c r="AX33" s="289">
        <f t="shared" si="16"/>
        <v>0</v>
      </c>
      <c r="AY33" s="292">
        <f t="shared" si="17"/>
        <v>5300.4358560753535</v>
      </c>
      <c r="AZ33" s="292">
        <f t="shared" si="18"/>
        <v>5300.4358560753535</v>
      </c>
      <c r="BA33" s="292">
        <f t="shared" si="19"/>
        <v>4942.6055736263743</v>
      </c>
      <c r="BB33" s="292">
        <f t="shared" si="20"/>
        <v>5300.4358560753535</v>
      </c>
      <c r="BC33" s="294">
        <f t="shared" si="21"/>
        <v>20843.913141852434</v>
      </c>
      <c r="BD33" s="287" t="s">
        <v>764</v>
      </c>
      <c r="BE33" s="295" t="str">
        <f t="shared" si="22"/>
        <v>Exhibit 1.5B_R Peoples Gas EEPS_Adjustable_Savings_Goal_Template.xlsx, Unit Savings Calculations Tab</v>
      </c>
      <c r="BF33" s="297"/>
    </row>
    <row r="34" spans="1:58" ht="13.5" customHeight="1">
      <c r="A34" s="287" t="str">
        <f>'Unit Savings Calculations'!C30</f>
        <v>Res - SF Assessments</v>
      </c>
      <c r="B34" s="287" t="str">
        <f>'Unit Savings Calculations'!D30</f>
        <v>Programmable Thermostat - Furnace</v>
      </c>
      <c r="C34" s="288">
        <f t="shared" si="23"/>
        <v>1</v>
      </c>
      <c r="D34" s="287" t="str">
        <f>'Unit Savings Calculations'!T30</f>
        <v>5.3.11</v>
      </c>
      <c r="E34" s="287">
        <f>INDEX('Unit Savings Calculations'!$H$4:$H$421,MATCH('Measure-Level Adjustments Tab'!$A34&amp;"_"&amp;'Measure-Level Adjustments Tab'!$B34,'Unit Savings Calculations'!$A$4:$A$421,0))</f>
        <v>5</v>
      </c>
      <c r="F34" s="287">
        <f>INDEX('Unit Savings Calculations'!$I$4:$I$421,MATCH('Measure-Level Adjustments Tab'!A34&amp;"_"&amp;'Measure-Level Adjustments Tab'!B34,'Unit Savings Calculations'!$A$4:$A$421,0))</f>
        <v>8</v>
      </c>
      <c r="G34" s="287" t="str">
        <f>'Unit Savings Calculations'!E30</f>
        <v>each</v>
      </c>
      <c r="H34" s="289">
        <f>'Unit Savings Calculations'!$F30*'Unit Savings Calculations'!J30</f>
        <v>1640</v>
      </c>
      <c r="I34" s="289">
        <f>'Unit Savings Calculations'!$F30*'Unit Savings Calculations'!K30</f>
        <v>1640</v>
      </c>
      <c r="J34" s="289">
        <f>'Unit Savings Calculations'!$F30*'Unit Savings Calculations'!L30</f>
        <v>1530</v>
      </c>
      <c r="K34" s="289">
        <f>'Unit Savings Calculations'!$F30*'Unit Savings Calculations'!M30</f>
        <v>1640</v>
      </c>
      <c r="L34" s="287" t="str">
        <f>'Unit Savings Calculations'!U30</f>
        <v>RS-HVC-PROG-V04-180101</v>
      </c>
      <c r="M34" s="363" t="s">
        <v>830</v>
      </c>
      <c r="N34" s="290">
        <v>62.31</v>
      </c>
      <c r="O34" s="290">
        <v>62.31</v>
      </c>
      <c r="P34" s="290">
        <v>62.31</v>
      </c>
      <c r="Q34" s="290">
        <v>62.31</v>
      </c>
      <c r="R34" s="291">
        <f>'Unit Savings Calculations'!$G30</f>
        <v>0.96</v>
      </c>
      <c r="S34" s="291">
        <f>'Unit Savings Calculations'!$G30</f>
        <v>0.96</v>
      </c>
      <c r="T34" s="291">
        <f>'Unit Savings Calculations'!$G30</f>
        <v>0.96</v>
      </c>
      <c r="U34" s="291">
        <f>'Unit Savings Calculations'!$G30</f>
        <v>0.96</v>
      </c>
      <c r="V34" s="292">
        <f t="shared" si="44"/>
        <v>98100.864000000001</v>
      </c>
      <c r="W34" s="292">
        <f t="shared" si="45"/>
        <v>98100.864000000001</v>
      </c>
      <c r="X34" s="292">
        <f t="shared" si="46"/>
        <v>91520.928</v>
      </c>
      <c r="Y34" s="292">
        <f t="shared" si="47"/>
        <v>98100.864000000001</v>
      </c>
      <c r="Z34" s="292">
        <f t="shared" si="48"/>
        <v>385823.52</v>
      </c>
      <c r="AA34" s="287"/>
      <c r="AB34" s="287"/>
      <c r="AC34" s="293">
        <f>'Unit Savings Calculations'!N30</f>
        <v>62.31</v>
      </c>
      <c r="AD34" s="287"/>
      <c r="AE34" s="292">
        <f t="shared" si="7"/>
        <v>98100.864000000001</v>
      </c>
      <c r="AF34" s="289">
        <f t="shared" si="8"/>
        <v>0</v>
      </c>
      <c r="AG34" s="287"/>
      <c r="AH34" s="287">
        <f t="shared" si="9"/>
        <v>0</v>
      </c>
      <c r="AI34" s="290">
        <f>'Unit Savings Calculations'!O30</f>
        <v>62.31</v>
      </c>
      <c r="AJ34" s="287" t="s">
        <v>872</v>
      </c>
      <c r="AK34" s="292">
        <f t="shared" si="10"/>
        <v>98100.864000000001</v>
      </c>
      <c r="AL34" s="289">
        <f t="shared" si="11"/>
        <v>0</v>
      </c>
      <c r="AM34" s="287"/>
      <c r="AN34" s="287"/>
      <c r="AO34" s="290">
        <f>'Unit Savings Calculations'!P30</f>
        <v>62.31</v>
      </c>
      <c r="AP34" s="287" t="s">
        <v>764</v>
      </c>
      <c r="AQ34" s="292">
        <f t="shared" si="12"/>
        <v>91520.928</v>
      </c>
      <c r="AR34" s="289">
        <f t="shared" si="13"/>
        <v>0</v>
      </c>
      <c r="AS34" s="287"/>
      <c r="AT34" s="287"/>
      <c r="AU34" s="290">
        <f>'Unit Savings Calculations'!Q30</f>
        <v>62.31</v>
      </c>
      <c r="AV34" s="287" t="str">
        <f t="shared" si="14"/>
        <v>n/a</v>
      </c>
      <c r="AW34" s="292">
        <f t="shared" si="15"/>
        <v>98100.864000000001</v>
      </c>
      <c r="AX34" s="289">
        <f t="shared" si="16"/>
        <v>0</v>
      </c>
      <c r="AY34" s="292">
        <f t="shared" si="17"/>
        <v>98100.864000000001</v>
      </c>
      <c r="AZ34" s="292">
        <f t="shared" si="18"/>
        <v>98100.864000000001</v>
      </c>
      <c r="BA34" s="292">
        <f t="shared" si="19"/>
        <v>91520.928</v>
      </c>
      <c r="BB34" s="292">
        <f t="shared" si="20"/>
        <v>98100.864000000001</v>
      </c>
      <c r="BC34" s="294">
        <f t="shared" si="21"/>
        <v>385823.52</v>
      </c>
      <c r="BD34" s="287" t="s">
        <v>764</v>
      </c>
      <c r="BE34" s="295" t="str">
        <f t="shared" si="22"/>
        <v>Exhibit 1.5B_R Peoples Gas EEPS_Adjustable_Savings_Goal_Template.xlsx, Unit Savings Calculations Tab</v>
      </c>
      <c r="BF34" s="297"/>
    </row>
    <row r="35" spans="1:58" ht="13.5" customHeight="1">
      <c r="A35" s="287" t="str">
        <f>'Unit Savings Calculations'!C31</f>
        <v>Res - SF Assessments</v>
      </c>
      <c r="B35" s="287" t="str">
        <f>'Unit Savings Calculations'!D31</f>
        <v>Programmable Thermostat - Boiler</v>
      </c>
      <c r="C35" s="288">
        <f t="shared" si="23"/>
        <v>1</v>
      </c>
      <c r="D35" s="287" t="str">
        <f>'Unit Savings Calculations'!T31</f>
        <v>5.3.11</v>
      </c>
      <c r="E35" s="287">
        <f>INDEX('Unit Savings Calculations'!$H$4:$H$421,MATCH('Measure-Level Adjustments Tab'!$A35&amp;"_"&amp;'Measure-Level Adjustments Tab'!$B35,'Unit Savings Calculations'!$A$4:$A$421,0))</f>
        <v>5</v>
      </c>
      <c r="F35" s="287">
        <f>INDEX('Unit Savings Calculations'!$I$4:$I$421,MATCH('Measure-Level Adjustments Tab'!A35&amp;"_"&amp;'Measure-Level Adjustments Tab'!B35,'Unit Savings Calculations'!$A$4:$A$421,0))</f>
        <v>8</v>
      </c>
      <c r="G35" s="287" t="str">
        <f>'Unit Savings Calculations'!E31</f>
        <v>each</v>
      </c>
      <c r="H35" s="289">
        <f>'Unit Savings Calculations'!$F31*'Unit Savings Calculations'!J31</f>
        <v>164</v>
      </c>
      <c r="I35" s="289">
        <f>'Unit Savings Calculations'!$F31*'Unit Savings Calculations'!K31</f>
        <v>164</v>
      </c>
      <c r="J35" s="289">
        <f>'Unit Savings Calculations'!$F31*'Unit Savings Calculations'!L31</f>
        <v>153</v>
      </c>
      <c r="K35" s="289">
        <f>'Unit Savings Calculations'!$F31*'Unit Savings Calculations'!M31</f>
        <v>164</v>
      </c>
      <c r="L35" s="287" t="str">
        <f>'Unit Savings Calculations'!U31</f>
        <v>RS-HVC-PROG-V04-180101</v>
      </c>
      <c r="M35" s="363" t="s">
        <v>830</v>
      </c>
      <c r="N35" s="290">
        <v>75.516000000000005</v>
      </c>
      <c r="O35" s="290">
        <v>75.516000000000005</v>
      </c>
      <c r="P35" s="290">
        <v>75.516000000000005</v>
      </c>
      <c r="Q35" s="290">
        <v>75.516000000000005</v>
      </c>
      <c r="R35" s="291">
        <f>'Unit Savings Calculations'!$G31</f>
        <v>0.96</v>
      </c>
      <c r="S35" s="291">
        <f>'Unit Savings Calculations'!$G31</f>
        <v>0.96</v>
      </c>
      <c r="T35" s="291">
        <f>'Unit Savings Calculations'!$G31</f>
        <v>0.96</v>
      </c>
      <c r="U35" s="291">
        <f>'Unit Savings Calculations'!$G31</f>
        <v>0.96</v>
      </c>
      <c r="V35" s="292">
        <f t="shared" si="44"/>
        <v>11889.23904</v>
      </c>
      <c r="W35" s="292">
        <f t="shared" si="45"/>
        <v>11889.23904</v>
      </c>
      <c r="X35" s="292">
        <f t="shared" si="46"/>
        <v>11091.790080000001</v>
      </c>
      <c r="Y35" s="292">
        <f t="shared" si="47"/>
        <v>11889.23904</v>
      </c>
      <c r="Z35" s="292">
        <f t="shared" si="48"/>
        <v>46759.5072</v>
      </c>
      <c r="AA35" s="287"/>
      <c r="AB35" s="287"/>
      <c r="AC35" s="293">
        <f>'Unit Savings Calculations'!N31</f>
        <v>75.516000000000005</v>
      </c>
      <c r="AD35" s="287"/>
      <c r="AE35" s="292">
        <f t="shared" si="7"/>
        <v>11889.23904</v>
      </c>
      <c r="AF35" s="289">
        <f t="shared" si="8"/>
        <v>0</v>
      </c>
      <c r="AG35" s="287"/>
      <c r="AH35" s="287">
        <f t="shared" si="9"/>
        <v>0</v>
      </c>
      <c r="AI35" s="290">
        <f>'Unit Savings Calculations'!O31</f>
        <v>75.516000000000005</v>
      </c>
      <c r="AJ35" s="287" t="s">
        <v>872</v>
      </c>
      <c r="AK35" s="292">
        <f t="shared" si="10"/>
        <v>11889.23904</v>
      </c>
      <c r="AL35" s="289">
        <f t="shared" si="11"/>
        <v>0</v>
      </c>
      <c r="AM35" s="287"/>
      <c r="AN35" s="287"/>
      <c r="AO35" s="290">
        <f>'Unit Savings Calculations'!P31</f>
        <v>75.516000000000005</v>
      </c>
      <c r="AP35" s="287" t="s">
        <v>764</v>
      </c>
      <c r="AQ35" s="292">
        <f t="shared" si="12"/>
        <v>11091.790080000001</v>
      </c>
      <c r="AR35" s="289">
        <f t="shared" si="13"/>
        <v>0</v>
      </c>
      <c r="AS35" s="287"/>
      <c r="AT35" s="287"/>
      <c r="AU35" s="290">
        <f>'Unit Savings Calculations'!Q31</f>
        <v>75.516000000000005</v>
      </c>
      <c r="AV35" s="287" t="str">
        <f t="shared" si="14"/>
        <v>n/a</v>
      </c>
      <c r="AW35" s="292">
        <f t="shared" si="15"/>
        <v>11889.23904</v>
      </c>
      <c r="AX35" s="289">
        <f t="shared" si="16"/>
        <v>0</v>
      </c>
      <c r="AY35" s="292">
        <f t="shared" si="17"/>
        <v>11889.23904</v>
      </c>
      <c r="AZ35" s="292">
        <f t="shared" si="18"/>
        <v>11889.23904</v>
      </c>
      <c r="BA35" s="292">
        <f t="shared" si="19"/>
        <v>11091.790080000001</v>
      </c>
      <c r="BB35" s="292">
        <f t="shared" si="20"/>
        <v>11889.23904</v>
      </c>
      <c r="BC35" s="294">
        <f t="shared" si="21"/>
        <v>46759.5072</v>
      </c>
      <c r="BD35" s="287" t="s">
        <v>764</v>
      </c>
      <c r="BE35" s="295" t="str">
        <f t="shared" si="22"/>
        <v>Exhibit 1.5B_R Peoples Gas EEPS_Adjustable_Savings_Goal_Template.xlsx, Unit Savings Calculations Tab</v>
      </c>
      <c r="BF35" s="297"/>
    </row>
    <row r="36" spans="1:58" ht="13.5" customHeight="1">
      <c r="A36" s="287" t="str">
        <f>'Unit Savings Calculations'!C32</f>
        <v>Res - SF Assessments</v>
      </c>
      <c r="B36" s="287" t="str">
        <f>'Unit Savings Calculations'!D32</f>
        <v>Advanced Thermostat - Furnace (Replace Manual)</v>
      </c>
      <c r="C36" s="288">
        <f t="shared" si="23"/>
        <v>1</v>
      </c>
      <c r="D36" s="287" t="str">
        <f>'Unit Savings Calculations'!T32</f>
        <v>5.3.16</v>
      </c>
      <c r="E36" s="287">
        <f>INDEX('Unit Savings Calculations'!$H$4:$H$421,MATCH('Measure-Level Adjustments Tab'!$A36&amp;"_"&amp;'Measure-Level Adjustments Tab'!$B36,'Unit Savings Calculations'!$A$4:$A$421,0))</f>
        <v>10</v>
      </c>
      <c r="F36" s="287">
        <f>INDEX('Unit Savings Calculations'!$I$4:$I$421,MATCH('Measure-Level Adjustments Tab'!A36&amp;"_"&amp;'Measure-Level Adjustments Tab'!B36,'Unit Savings Calculations'!$A$4:$A$421,0))</f>
        <v>11</v>
      </c>
      <c r="G36" s="287" t="str">
        <f>'Unit Savings Calculations'!E32</f>
        <v>each</v>
      </c>
      <c r="H36" s="289">
        <f>'Unit Savings Calculations'!$F32*'Unit Savings Calculations'!J32</f>
        <v>328</v>
      </c>
      <c r="I36" s="289">
        <f>'Unit Savings Calculations'!$F32*'Unit Savings Calculations'!K32</f>
        <v>328</v>
      </c>
      <c r="J36" s="289">
        <f>'Unit Savings Calculations'!$F32*'Unit Savings Calculations'!L32</f>
        <v>306</v>
      </c>
      <c r="K36" s="289">
        <f>'Unit Savings Calculations'!$F32*'Unit Savings Calculations'!M32</f>
        <v>328</v>
      </c>
      <c r="L36" s="287" t="str">
        <f>'Unit Savings Calculations'!U32</f>
        <v>RS-HVC-ADTH-V02-180101</v>
      </c>
      <c r="M36" s="363" t="s">
        <v>830</v>
      </c>
      <c r="N36" s="290">
        <v>88.44</v>
      </c>
      <c r="O36" s="290">
        <v>88.44</v>
      </c>
      <c r="P36" s="290">
        <v>88.44</v>
      </c>
      <c r="Q36" s="290">
        <v>88.44</v>
      </c>
      <c r="R36" s="291">
        <f>'Unit Savings Calculations'!$G32</f>
        <v>1</v>
      </c>
      <c r="S36" s="291">
        <f>'Unit Savings Calculations'!$G32</f>
        <v>1</v>
      </c>
      <c r="T36" s="291">
        <f>'Unit Savings Calculations'!$G32</f>
        <v>1</v>
      </c>
      <c r="U36" s="291">
        <f>'Unit Savings Calculations'!$G32</f>
        <v>1</v>
      </c>
      <c r="V36" s="292">
        <f t="shared" si="44"/>
        <v>29008.32</v>
      </c>
      <c r="W36" s="292">
        <f t="shared" si="45"/>
        <v>29008.32</v>
      </c>
      <c r="X36" s="292">
        <f t="shared" si="46"/>
        <v>27062.639999999999</v>
      </c>
      <c r="Y36" s="292">
        <f t="shared" si="47"/>
        <v>29008.32</v>
      </c>
      <c r="Z36" s="292">
        <f t="shared" si="48"/>
        <v>114087.6</v>
      </c>
      <c r="AA36" s="287"/>
      <c r="AB36" s="287"/>
      <c r="AC36" s="293">
        <f>'Unit Savings Calculations'!N32</f>
        <v>88.44</v>
      </c>
      <c r="AD36" s="287"/>
      <c r="AE36" s="292">
        <f t="shared" si="7"/>
        <v>29008.32</v>
      </c>
      <c r="AF36" s="289">
        <f t="shared" si="8"/>
        <v>0</v>
      </c>
      <c r="AG36" s="287"/>
      <c r="AH36" s="287">
        <f t="shared" si="9"/>
        <v>0</v>
      </c>
      <c r="AI36" s="290">
        <f>'Unit Savings Calculations'!O32</f>
        <v>88.44</v>
      </c>
      <c r="AJ36" s="287" t="s">
        <v>872</v>
      </c>
      <c r="AK36" s="292">
        <f t="shared" si="10"/>
        <v>29008.32</v>
      </c>
      <c r="AL36" s="289">
        <f t="shared" si="11"/>
        <v>0</v>
      </c>
      <c r="AM36" s="287"/>
      <c r="AN36" s="287"/>
      <c r="AO36" s="290">
        <f>'Unit Savings Calculations'!P32</f>
        <v>88.44</v>
      </c>
      <c r="AP36" s="287" t="s">
        <v>764</v>
      </c>
      <c r="AQ36" s="292">
        <f t="shared" si="12"/>
        <v>27062.639999999999</v>
      </c>
      <c r="AR36" s="289">
        <f t="shared" si="13"/>
        <v>0</v>
      </c>
      <c r="AS36" s="287"/>
      <c r="AT36" s="287"/>
      <c r="AU36" s="290">
        <f>'Unit Savings Calculations'!Q32</f>
        <v>88.44</v>
      </c>
      <c r="AV36" s="287" t="str">
        <f t="shared" si="14"/>
        <v>n/a</v>
      </c>
      <c r="AW36" s="292">
        <f t="shared" si="15"/>
        <v>29008.32</v>
      </c>
      <c r="AX36" s="289">
        <f t="shared" si="16"/>
        <v>0</v>
      </c>
      <c r="AY36" s="292">
        <f t="shared" si="17"/>
        <v>29008.32</v>
      </c>
      <c r="AZ36" s="292">
        <f t="shared" si="18"/>
        <v>29008.32</v>
      </c>
      <c r="BA36" s="292">
        <f t="shared" si="19"/>
        <v>27062.639999999999</v>
      </c>
      <c r="BB36" s="292">
        <f t="shared" si="20"/>
        <v>29008.32</v>
      </c>
      <c r="BC36" s="294">
        <f t="shared" si="21"/>
        <v>114087.6</v>
      </c>
      <c r="BD36" s="287" t="s">
        <v>764</v>
      </c>
      <c r="BE36" s="295" t="str">
        <f t="shared" si="22"/>
        <v>Exhibit 1.5B_R Peoples Gas EEPS_Adjustable_Savings_Goal_Template.xlsx, Unit Savings Calculations Tab</v>
      </c>
      <c r="BF36" s="297"/>
    </row>
    <row r="37" spans="1:58" ht="13.5" customHeight="1">
      <c r="A37" s="287" t="str">
        <f>'Unit Savings Calculations'!C33</f>
        <v>Res - SF Assessments</v>
      </c>
      <c r="B37" s="287" t="str">
        <f>'Unit Savings Calculations'!D33</f>
        <v>Advanced Thermostat - Boiler (Replace Manual)</v>
      </c>
      <c r="C37" s="288">
        <f t="shared" si="23"/>
        <v>1</v>
      </c>
      <c r="D37" s="287" t="str">
        <f>'Unit Savings Calculations'!T33</f>
        <v>5.3.16</v>
      </c>
      <c r="E37" s="287">
        <f>INDEX('Unit Savings Calculations'!$H$4:$H$421,MATCH('Measure-Level Adjustments Tab'!$A37&amp;"_"&amp;'Measure-Level Adjustments Tab'!$B37,'Unit Savings Calculations'!$A$4:$A$421,0))</f>
        <v>10</v>
      </c>
      <c r="F37" s="287">
        <f>INDEX('Unit Savings Calculations'!$I$4:$I$421,MATCH('Measure-Level Adjustments Tab'!A37&amp;"_"&amp;'Measure-Level Adjustments Tab'!B37,'Unit Savings Calculations'!$A$4:$A$421,0))</f>
        <v>11</v>
      </c>
      <c r="G37" s="287" t="str">
        <f>'Unit Savings Calculations'!E33</f>
        <v>each</v>
      </c>
      <c r="H37" s="289">
        <f>'Unit Savings Calculations'!$F33*'Unit Savings Calculations'!J33</f>
        <v>57</v>
      </c>
      <c r="I37" s="289">
        <f>'Unit Savings Calculations'!$F33*'Unit Savings Calculations'!K33</f>
        <v>57</v>
      </c>
      <c r="J37" s="289">
        <f>'Unit Savings Calculations'!$F33*'Unit Savings Calculations'!L33</f>
        <v>54</v>
      </c>
      <c r="K37" s="289">
        <f>'Unit Savings Calculations'!$F33*'Unit Savings Calculations'!M33</f>
        <v>57</v>
      </c>
      <c r="L37" s="287" t="str">
        <f>'Unit Savings Calculations'!U33</f>
        <v>RS-HVC-ADTH-V02-180101</v>
      </c>
      <c r="M37" s="363" t="s">
        <v>830</v>
      </c>
      <c r="N37" s="290">
        <v>107.184</v>
      </c>
      <c r="O37" s="290">
        <v>107.184</v>
      </c>
      <c r="P37" s="290">
        <v>107.184</v>
      </c>
      <c r="Q37" s="290">
        <v>107.184</v>
      </c>
      <c r="R37" s="291">
        <f>'Unit Savings Calculations'!$G33</f>
        <v>1</v>
      </c>
      <c r="S37" s="291">
        <f>'Unit Savings Calculations'!$G33</f>
        <v>1</v>
      </c>
      <c r="T37" s="291">
        <f>'Unit Savings Calculations'!$G33</f>
        <v>1</v>
      </c>
      <c r="U37" s="291">
        <f>'Unit Savings Calculations'!$G33</f>
        <v>1</v>
      </c>
      <c r="V37" s="292">
        <f t="shared" si="44"/>
        <v>6109.4880000000003</v>
      </c>
      <c r="W37" s="292">
        <f t="shared" si="45"/>
        <v>6109.4880000000003</v>
      </c>
      <c r="X37" s="292">
        <f t="shared" si="46"/>
        <v>5787.9359999999997</v>
      </c>
      <c r="Y37" s="292">
        <f t="shared" si="47"/>
        <v>6109.4880000000003</v>
      </c>
      <c r="Z37" s="292">
        <f t="shared" si="48"/>
        <v>24116.400000000001</v>
      </c>
      <c r="AA37" s="287"/>
      <c r="AB37" s="287"/>
      <c r="AC37" s="293">
        <f>'Unit Savings Calculations'!N33</f>
        <v>107.184</v>
      </c>
      <c r="AD37" s="287"/>
      <c r="AE37" s="292">
        <f t="shared" si="7"/>
        <v>6109.4880000000003</v>
      </c>
      <c r="AF37" s="289">
        <f t="shared" si="8"/>
        <v>0</v>
      </c>
      <c r="AG37" s="287"/>
      <c r="AH37" s="287">
        <f t="shared" si="9"/>
        <v>0</v>
      </c>
      <c r="AI37" s="290">
        <f>'Unit Savings Calculations'!O33</f>
        <v>107.184</v>
      </c>
      <c r="AJ37" s="287" t="s">
        <v>872</v>
      </c>
      <c r="AK37" s="292">
        <f t="shared" si="10"/>
        <v>6109.4880000000003</v>
      </c>
      <c r="AL37" s="289">
        <f t="shared" si="11"/>
        <v>0</v>
      </c>
      <c r="AM37" s="287"/>
      <c r="AN37" s="287"/>
      <c r="AO37" s="290">
        <f>'Unit Savings Calculations'!P33</f>
        <v>107.184</v>
      </c>
      <c r="AP37" s="287" t="s">
        <v>764</v>
      </c>
      <c r="AQ37" s="292">
        <f t="shared" si="12"/>
        <v>5787.9359999999997</v>
      </c>
      <c r="AR37" s="289">
        <f t="shared" si="13"/>
        <v>0</v>
      </c>
      <c r="AS37" s="287"/>
      <c r="AT37" s="287"/>
      <c r="AU37" s="290">
        <f>'Unit Savings Calculations'!Q33</f>
        <v>107.184</v>
      </c>
      <c r="AV37" s="287" t="str">
        <f t="shared" si="14"/>
        <v>n/a</v>
      </c>
      <c r="AW37" s="292">
        <f t="shared" si="15"/>
        <v>6109.4880000000003</v>
      </c>
      <c r="AX37" s="289">
        <f t="shared" si="16"/>
        <v>0</v>
      </c>
      <c r="AY37" s="292">
        <f t="shared" si="17"/>
        <v>6109.4880000000003</v>
      </c>
      <c r="AZ37" s="292">
        <f t="shared" si="18"/>
        <v>6109.4880000000003</v>
      </c>
      <c r="BA37" s="292">
        <f t="shared" si="19"/>
        <v>5787.9359999999997</v>
      </c>
      <c r="BB37" s="292">
        <f t="shared" si="20"/>
        <v>6109.4880000000003</v>
      </c>
      <c r="BC37" s="294">
        <f t="shared" si="21"/>
        <v>24116.400000000001</v>
      </c>
      <c r="BD37" s="287" t="s">
        <v>764</v>
      </c>
      <c r="BE37" s="295" t="str">
        <f t="shared" si="22"/>
        <v>Exhibit 1.5B_R Peoples Gas EEPS_Adjustable_Savings_Goal_Template.xlsx, Unit Savings Calculations Tab</v>
      </c>
      <c r="BF37" s="297"/>
    </row>
    <row r="38" spans="1:58" ht="13.5" customHeight="1">
      <c r="A38" s="287" t="str">
        <f>'Unit Savings Calculations'!C34</f>
        <v>Res - SF Assessments</v>
      </c>
      <c r="B38" s="287" t="str">
        <f>'Unit Savings Calculations'!D34</f>
        <v>Advanced Thermostat - Furnace (Replace Programmable)</v>
      </c>
      <c r="C38" s="288">
        <f t="shared" si="23"/>
        <v>1</v>
      </c>
      <c r="D38" s="287" t="str">
        <f>'Unit Savings Calculations'!T34</f>
        <v>5.3.16</v>
      </c>
      <c r="E38" s="287">
        <f>INDEX('Unit Savings Calculations'!$H$4:$H$421,MATCH('Measure-Level Adjustments Tab'!$A38&amp;"_"&amp;'Measure-Level Adjustments Tab'!$B38,'Unit Savings Calculations'!$A$4:$A$421,0))</f>
        <v>10</v>
      </c>
      <c r="F38" s="287">
        <f>INDEX('Unit Savings Calculations'!$I$4:$I$421,MATCH('Measure-Level Adjustments Tab'!A38&amp;"_"&amp;'Measure-Level Adjustments Tab'!B38,'Unit Savings Calculations'!$A$4:$A$421,0))</f>
        <v>11</v>
      </c>
      <c r="G38" s="287" t="str">
        <f>'Unit Savings Calculations'!E34</f>
        <v>each</v>
      </c>
      <c r="H38" s="289">
        <f>'Unit Savings Calculations'!$F34*'Unit Savings Calculations'!J34</f>
        <v>328</v>
      </c>
      <c r="I38" s="289">
        <f>'Unit Savings Calculations'!$F34*'Unit Savings Calculations'!K34</f>
        <v>328</v>
      </c>
      <c r="J38" s="289">
        <f>'Unit Savings Calculations'!$F34*'Unit Savings Calculations'!L34</f>
        <v>306</v>
      </c>
      <c r="K38" s="289">
        <f>'Unit Savings Calculations'!$F34*'Unit Savings Calculations'!M34</f>
        <v>328</v>
      </c>
      <c r="L38" s="287" t="str">
        <f>'Unit Savings Calculations'!U34</f>
        <v>RS-HVC-ADTH-V02-180101</v>
      </c>
      <c r="M38" s="363" t="s">
        <v>830</v>
      </c>
      <c r="N38" s="290">
        <v>56.28</v>
      </c>
      <c r="O38" s="290">
        <v>56.28</v>
      </c>
      <c r="P38" s="290">
        <v>56.28</v>
      </c>
      <c r="Q38" s="290">
        <v>56.28</v>
      </c>
      <c r="R38" s="291">
        <f>'Unit Savings Calculations'!$G34</f>
        <v>1</v>
      </c>
      <c r="S38" s="291">
        <f>'Unit Savings Calculations'!$G34</f>
        <v>1</v>
      </c>
      <c r="T38" s="291">
        <f>'Unit Savings Calculations'!$G34</f>
        <v>1</v>
      </c>
      <c r="U38" s="291">
        <f>'Unit Savings Calculations'!$G34</f>
        <v>1</v>
      </c>
      <c r="V38" s="292">
        <f t="shared" si="44"/>
        <v>18459.84</v>
      </c>
      <c r="W38" s="292">
        <f t="shared" si="45"/>
        <v>18459.84</v>
      </c>
      <c r="X38" s="292">
        <f t="shared" si="46"/>
        <v>17221.68</v>
      </c>
      <c r="Y38" s="292">
        <f t="shared" si="47"/>
        <v>18459.84</v>
      </c>
      <c r="Z38" s="292">
        <f t="shared" si="48"/>
        <v>72601.2</v>
      </c>
      <c r="AA38" s="287"/>
      <c r="AB38" s="287"/>
      <c r="AC38" s="293">
        <f>'Unit Savings Calculations'!N34</f>
        <v>56.28</v>
      </c>
      <c r="AD38" s="287"/>
      <c r="AE38" s="292">
        <f t="shared" si="7"/>
        <v>18459.84</v>
      </c>
      <c r="AF38" s="289">
        <f t="shared" si="8"/>
        <v>0</v>
      </c>
      <c r="AG38" s="287"/>
      <c r="AH38" s="287">
        <f t="shared" si="9"/>
        <v>0</v>
      </c>
      <c r="AI38" s="290">
        <f>'Unit Savings Calculations'!O34</f>
        <v>56.28</v>
      </c>
      <c r="AJ38" s="287" t="s">
        <v>872</v>
      </c>
      <c r="AK38" s="292">
        <f t="shared" si="10"/>
        <v>18459.84</v>
      </c>
      <c r="AL38" s="289">
        <f t="shared" si="11"/>
        <v>0</v>
      </c>
      <c r="AM38" s="287"/>
      <c r="AN38" s="287"/>
      <c r="AO38" s="290">
        <f>'Unit Savings Calculations'!P34</f>
        <v>56.28</v>
      </c>
      <c r="AP38" s="287" t="s">
        <v>764</v>
      </c>
      <c r="AQ38" s="292">
        <f t="shared" si="12"/>
        <v>17221.68</v>
      </c>
      <c r="AR38" s="289">
        <f t="shared" si="13"/>
        <v>0</v>
      </c>
      <c r="AS38" s="287"/>
      <c r="AT38" s="287"/>
      <c r="AU38" s="290">
        <f>'Unit Savings Calculations'!Q34</f>
        <v>56.28</v>
      </c>
      <c r="AV38" s="287" t="str">
        <f t="shared" si="14"/>
        <v>n/a</v>
      </c>
      <c r="AW38" s="292">
        <f t="shared" si="15"/>
        <v>18459.84</v>
      </c>
      <c r="AX38" s="289">
        <f t="shared" si="16"/>
        <v>0</v>
      </c>
      <c r="AY38" s="292">
        <f t="shared" si="17"/>
        <v>18459.84</v>
      </c>
      <c r="AZ38" s="292">
        <f t="shared" si="18"/>
        <v>18459.84</v>
      </c>
      <c r="BA38" s="292">
        <f t="shared" si="19"/>
        <v>17221.68</v>
      </c>
      <c r="BB38" s="292">
        <f t="shared" si="20"/>
        <v>18459.84</v>
      </c>
      <c r="BC38" s="294">
        <f t="shared" si="21"/>
        <v>72601.2</v>
      </c>
      <c r="BD38" s="287" t="s">
        <v>764</v>
      </c>
      <c r="BE38" s="295" t="str">
        <f t="shared" si="22"/>
        <v>Exhibit 1.5B_R Peoples Gas EEPS_Adjustable_Savings_Goal_Template.xlsx, Unit Savings Calculations Tab</v>
      </c>
      <c r="BF38" s="297"/>
    </row>
    <row r="39" spans="1:58" ht="13.5" customHeight="1">
      <c r="A39" s="287" t="str">
        <f>'Unit Savings Calculations'!C35</f>
        <v>Res - SF Assessments</v>
      </c>
      <c r="B39" s="287" t="str">
        <f>'Unit Savings Calculations'!D35</f>
        <v>Advanced Thermostat - Boiler (Replace Programmable)</v>
      </c>
      <c r="C39" s="288">
        <f t="shared" si="23"/>
        <v>1</v>
      </c>
      <c r="D39" s="287" t="str">
        <f>'Unit Savings Calculations'!T35</f>
        <v>5.3.16</v>
      </c>
      <c r="E39" s="287">
        <f>INDEX('Unit Savings Calculations'!$H$4:$H$421,MATCH('Measure-Level Adjustments Tab'!$A39&amp;"_"&amp;'Measure-Level Adjustments Tab'!$B39,'Unit Savings Calculations'!$A$4:$A$421,0))</f>
        <v>10</v>
      </c>
      <c r="F39" s="287">
        <f>INDEX('Unit Savings Calculations'!$I$4:$I$421,MATCH('Measure-Level Adjustments Tab'!A39&amp;"_"&amp;'Measure-Level Adjustments Tab'!B39,'Unit Savings Calculations'!$A$4:$A$421,0))</f>
        <v>11</v>
      </c>
      <c r="G39" s="287" t="str">
        <f>'Unit Savings Calculations'!E35</f>
        <v>each</v>
      </c>
      <c r="H39" s="289">
        <f>'Unit Savings Calculations'!$F35*'Unit Savings Calculations'!J35</f>
        <v>57</v>
      </c>
      <c r="I39" s="289">
        <f>'Unit Savings Calculations'!$F35*'Unit Savings Calculations'!K35</f>
        <v>57</v>
      </c>
      <c r="J39" s="289">
        <f>'Unit Savings Calculations'!$F35*'Unit Savings Calculations'!L35</f>
        <v>54</v>
      </c>
      <c r="K39" s="289">
        <f>'Unit Savings Calculations'!$F35*'Unit Savings Calculations'!M35</f>
        <v>57</v>
      </c>
      <c r="L39" s="287" t="str">
        <f>'Unit Savings Calculations'!U35</f>
        <v>RS-HVC-ADTH-V02-180101</v>
      </c>
      <c r="M39" s="363" t="s">
        <v>830</v>
      </c>
      <c r="N39" s="290">
        <v>68.207999999999998</v>
      </c>
      <c r="O39" s="290">
        <v>68.207999999999998</v>
      </c>
      <c r="P39" s="290">
        <v>68.207999999999998</v>
      </c>
      <c r="Q39" s="290">
        <v>68.207999999999998</v>
      </c>
      <c r="R39" s="291">
        <f>'Unit Savings Calculations'!$G35</f>
        <v>1</v>
      </c>
      <c r="S39" s="291">
        <f>'Unit Savings Calculations'!$G35</f>
        <v>1</v>
      </c>
      <c r="T39" s="291">
        <f>'Unit Savings Calculations'!$G35</f>
        <v>1</v>
      </c>
      <c r="U39" s="291">
        <f>'Unit Savings Calculations'!$G35</f>
        <v>1</v>
      </c>
      <c r="V39" s="292">
        <f t="shared" si="44"/>
        <v>3887.8559999999998</v>
      </c>
      <c r="W39" s="292">
        <f t="shared" si="45"/>
        <v>3887.8559999999998</v>
      </c>
      <c r="X39" s="292">
        <f t="shared" si="46"/>
        <v>3683.232</v>
      </c>
      <c r="Y39" s="292">
        <f t="shared" si="47"/>
        <v>3887.8559999999998</v>
      </c>
      <c r="Z39" s="292">
        <f t="shared" si="48"/>
        <v>15346.8</v>
      </c>
      <c r="AA39" s="287"/>
      <c r="AB39" s="287"/>
      <c r="AC39" s="293">
        <f>'Unit Savings Calculations'!N35</f>
        <v>68.207999999999998</v>
      </c>
      <c r="AD39" s="287"/>
      <c r="AE39" s="292">
        <f t="shared" si="7"/>
        <v>3887.8559999999998</v>
      </c>
      <c r="AF39" s="289">
        <f t="shared" si="8"/>
        <v>0</v>
      </c>
      <c r="AG39" s="287"/>
      <c r="AH39" s="287">
        <f t="shared" si="9"/>
        <v>0</v>
      </c>
      <c r="AI39" s="290">
        <f>'Unit Savings Calculations'!O35</f>
        <v>68.207999999999998</v>
      </c>
      <c r="AJ39" s="287" t="s">
        <v>872</v>
      </c>
      <c r="AK39" s="292">
        <f t="shared" si="10"/>
        <v>3887.8559999999998</v>
      </c>
      <c r="AL39" s="289">
        <f t="shared" si="11"/>
        <v>0</v>
      </c>
      <c r="AM39" s="287"/>
      <c r="AN39" s="287"/>
      <c r="AO39" s="290">
        <f>'Unit Savings Calculations'!P35</f>
        <v>68.207999999999998</v>
      </c>
      <c r="AP39" s="287" t="s">
        <v>764</v>
      </c>
      <c r="AQ39" s="292">
        <f t="shared" si="12"/>
        <v>3683.232</v>
      </c>
      <c r="AR39" s="289">
        <f t="shared" si="13"/>
        <v>0</v>
      </c>
      <c r="AS39" s="287"/>
      <c r="AT39" s="287"/>
      <c r="AU39" s="290">
        <f>'Unit Savings Calculations'!Q35</f>
        <v>68.207999999999998</v>
      </c>
      <c r="AV39" s="287" t="str">
        <f t="shared" si="14"/>
        <v>n/a</v>
      </c>
      <c r="AW39" s="292">
        <f t="shared" si="15"/>
        <v>3887.8559999999998</v>
      </c>
      <c r="AX39" s="289">
        <f t="shared" si="16"/>
        <v>0</v>
      </c>
      <c r="AY39" s="292">
        <f t="shared" si="17"/>
        <v>3887.8559999999998</v>
      </c>
      <c r="AZ39" s="292">
        <f t="shared" si="18"/>
        <v>3887.8559999999998</v>
      </c>
      <c r="BA39" s="292">
        <f t="shared" si="19"/>
        <v>3683.232</v>
      </c>
      <c r="BB39" s="292">
        <f t="shared" si="20"/>
        <v>3887.8559999999998</v>
      </c>
      <c r="BC39" s="294">
        <f t="shared" si="21"/>
        <v>15346.8</v>
      </c>
      <c r="BD39" s="287" t="s">
        <v>764</v>
      </c>
      <c r="BE39" s="295" t="str">
        <f t="shared" si="22"/>
        <v>Exhibit 1.5B_R Peoples Gas EEPS_Adjustable_Savings_Goal_Template.xlsx, Unit Savings Calculations Tab</v>
      </c>
      <c r="BF39" s="297"/>
    </row>
    <row r="40" spans="1:58" ht="13.5" customHeight="1">
      <c r="A40" s="287" t="str">
        <f>'Unit Savings Calculations'!C36</f>
        <v>Res - SF Assessments</v>
      </c>
      <c r="B40" s="287" t="str">
        <f>'Unit Savings Calculations'!D36</f>
        <v>Thermostat - Reprogram</v>
      </c>
      <c r="C40" s="288">
        <f t="shared" si="23"/>
        <v>1</v>
      </c>
      <c r="D40" s="287" t="str">
        <f>'Unit Savings Calculations'!T36</f>
        <v>5.3.11</v>
      </c>
      <c r="E40" s="287">
        <f>INDEX('Unit Savings Calculations'!$H$4:$H$421,MATCH('Measure-Level Adjustments Tab'!$A40&amp;"_"&amp;'Measure-Level Adjustments Tab'!$B40,'Unit Savings Calculations'!$A$4:$A$421,0))</f>
        <v>2</v>
      </c>
      <c r="F40" s="287">
        <f>INDEX('Unit Savings Calculations'!$I$4:$I$421,MATCH('Measure-Level Adjustments Tab'!A40&amp;"_"&amp;'Measure-Level Adjustments Tab'!B40,'Unit Savings Calculations'!$A$4:$A$421,0))</f>
        <v>2</v>
      </c>
      <c r="G40" s="287" t="str">
        <f>'Unit Savings Calculations'!E36</f>
        <v>each</v>
      </c>
      <c r="H40" s="289">
        <f>'Unit Savings Calculations'!$F36*'Unit Savings Calculations'!J36</f>
        <v>1394</v>
      </c>
      <c r="I40" s="289">
        <f>'Unit Savings Calculations'!$F36*'Unit Savings Calculations'!K36</f>
        <v>1394</v>
      </c>
      <c r="J40" s="289">
        <f>'Unit Savings Calculations'!$F36*'Unit Savings Calculations'!L36</f>
        <v>1300</v>
      </c>
      <c r="K40" s="289">
        <f>'Unit Savings Calculations'!$F36*'Unit Savings Calculations'!M36</f>
        <v>1394</v>
      </c>
      <c r="L40" s="287" t="str">
        <f>'Unit Savings Calculations'!U36</f>
        <v>RS-HVC-PROG-V04-180101</v>
      </c>
      <c r="M40" s="363" t="s">
        <v>830</v>
      </c>
      <c r="N40" s="290">
        <v>62.31</v>
      </c>
      <c r="O40" s="290">
        <v>62.31</v>
      </c>
      <c r="P40" s="290">
        <v>62.31</v>
      </c>
      <c r="Q40" s="290">
        <v>62.31</v>
      </c>
      <c r="R40" s="291">
        <f>'Unit Savings Calculations'!$G36</f>
        <v>0.96</v>
      </c>
      <c r="S40" s="291">
        <f>'Unit Savings Calculations'!$G36</f>
        <v>0.96</v>
      </c>
      <c r="T40" s="291">
        <f>'Unit Savings Calculations'!$G36</f>
        <v>0.96</v>
      </c>
      <c r="U40" s="291">
        <f>'Unit Savings Calculations'!$G36</f>
        <v>0.96</v>
      </c>
      <c r="V40" s="292">
        <f t="shared" si="44"/>
        <v>83385.734400000001</v>
      </c>
      <c r="W40" s="292">
        <f t="shared" si="45"/>
        <v>83385.734400000001</v>
      </c>
      <c r="X40" s="292">
        <f t="shared" si="46"/>
        <v>77762.87999999999</v>
      </c>
      <c r="Y40" s="292">
        <f t="shared" si="47"/>
        <v>83385.734400000001</v>
      </c>
      <c r="Z40" s="292">
        <f t="shared" si="48"/>
        <v>327920.08319999999</v>
      </c>
      <c r="AA40" s="287"/>
      <c r="AB40" s="287"/>
      <c r="AC40" s="293">
        <f>'Unit Savings Calculations'!N36</f>
        <v>62.31</v>
      </c>
      <c r="AD40" s="287"/>
      <c r="AE40" s="292">
        <f t="shared" si="7"/>
        <v>83385.734400000001</v>
      </c>
      <c r="AF40" s="289">
        <f t="shared" si="8"/>
        <v>0</v>
      </c>
      <c r="AG40" s="287"/>
      <c r="AH40" s="287">
        <f t="shared" si="9"/>
        <v>0</v>
      </c>
      <c r="AI40" s="290">
        <f>'Unit Savings Calculations'!O36</f>
        <v>62.31</v>
      </c>
      <c r="AJ40" s="287" t="s">
        <v>872</v>
      </c>
      <c r="AK40" s="292">
        <f t="shared" si="10"/>
        <v>83385.734400000001</v>
      </c>
      <c r="AL40" s="289">
        <f t="shared" si="11"/>
        <v>0</v>
      </c>
      <c r="AM40" s="287"/>
      <c r="AN40" s="287"/>
      <c r="AO40" s="290">
        <f>'Unit Savings Calculations'!P36</f>
        <v>62.31</v>
      </c>
      <c r="AP40" s="287" t="s">
        <v>764</v>
      </c>
      <c r="AQ40" s="292">
        <f t="shared" si="12"/>
        <v>77762.87999999999</v>
      </c>
      <c r="AR40" s="289">
        <f t="shared" si="13"/>
        <v>0</v>
      </c>
      <c r="AS40" s="287"/>
      <c r="AT40" s="287"/>
      <c r="AU40" s="290">
        <f>'Unit Savings Calculations'!Q36</f>
        <v>62.31</v>
      </c>
      <c r="AV40" s="287" t="str">
        <f t="shared" si="14"/>
        <v>n/a</v>
      </c>
      <c r="AW40" s="292">
        <f t="shared" si="15"/>
        <v>83385.734400000001</v>
      </c>
      <c r="AX40" s="289">
        <f t="shared" si="16"/>
        <v>0</v>
      </c>
      <c r="AY40" s="292">
        <f t="shared" si="17"/>
        <v>83385.734400000001</v>
      </c>
      <c r="AZ40" s="292">
        <f t="shared" si="18"/>
        <v>83385.734400000001</v>
      </c>
      <c r="BA40" s="292">
        <f t="shared" si="19"/>
        <v>77762.87999999999</v>
      </c>
      <c r="BB40" s="292">
        <f t="shared" si="20"/>
        <v>83385.734400000001</v>
      </c>
      <c r="BC40" s="294">
        <f t="shared" si="21"/>
        <v>327920.08319999999</v>
      </c>
      <c r="BD40" s="287" t="s">
        <v>764</v>
      </c>
      <c r="BE40" s="295" t="str">
        <f t="shared" si="22"/>
        <v>Exhibit 1.5B_R Peoples Gas EEPS_Adjustable_Savings_Goal_Template.xlsx, Unit Savings Calculations Tab</v>
      </c>
      <c r="BF40" s="297"/>
    </row>
    <row r="41" spans="1:58" ht="13.5" customHeight="1">
      <c r="A41" s="287" t="str">
        <f>'Unit Savings Calculations'!C37</f>
        <v>Res - MF Assessments</v>
      </c>
      <c r="B41" s="287" t="str">
        <f>'Unit Savings Calculations'!D37</f>
        <v>Bathroom Aerator</v>
      </c>
      <c r="C41" s="288">
        <f t="shared" si="23"/>
        <v>1</v>
      </c>
      <c r="D41" s="287" t="str">
        <f>'Unit Savings Calculations'!T37</f>
        <v>5.4.4</v>
      </c>
      <c r="E41" s="287">
        <f>INDEX('Unit Savings Calculations'!$H$4:$H$421,MATCH('Measure-Level Adjustments Tab'!$A41&amp;"_"&amp;'Measure-Level Adjustments Tab'!$B41,'Unit Savings Calculations'!$A$4:$A$421,0))</f>
        <v>9</v>
      </c>
      <c r="F41" s="287">
        <f>INDEX('Unit Savings Calculations'!$I$4:$I$421,MATCH('Measure-Level Adjustments Tab'!A41&amp;"_"&amp;'Measure-Level Adjustments Tab'!B41,'Unit Savings Calculations'!$A$4:$A$421,0))</f>
        <v>10</v>
      </c>
      <c r="G41" s="287" t="str">
        <f>'Unit Savings Calculations'!E37</f>
        <v>each</v>
      </c>
      <c r="H41" s="289">
        <f>'Unit Savings Calculations'!$F37*'Unit Savings Calculations'!J37</f>
        <v>8153</v>
      </c>
      <c r="I41" s="289">
        <f>'Unit Savings Calculations'!$F37*'Unit Savings Calculations'!K37</f>
        <v>8153</v>
      </c>
      <c r="J41" s="289">
        <f>'Unit Savings Calculations'!$F37*'Unit Savings Calculations'!L37</f>
        <v>7727</v>
      </c>
      <c r="K41" s="289">
        <f>'Unit Savings Calculations'!$F37*'Unit Savings Calculations'!M37</f>
        <v>8153</v>
      </c>
      <c r="L41" s="287" t="str">
        <f>'Unit Savings Calculations'!U37</f>
        <v>RS-HWE-LFFA-V06-180101</v>
      </c>
      <c r="M41" s="363" t="s">
        <v>830</v>
      </c>
      <c r="N41" s="290">
        <v>1.2484689715316413</v>
      </c>
      <c r="O41" s="290">
        <v>1.2484689715316413</v>
      </c>
      <c r="P41" s="290">
        <v>1.2484689715316413</v>
      </c>
      <c r="Q41" s="290">
        <v>1.2484689715316413</v>
      </c>
      <c r="R41" s="291">
        <f>'Unit Savings Calculations'!$G37</f>
        <v>0.85</v>
      </c>
      <c r="S41" s="291">
        <f>'Unit Savings Calculations'!$G37</f>
        <v>0.85</v>
      </c>
      <c r="T41" s="291">
        <f>'Unit Savings Calculations'!$G37</f>
        <v>0.85</v>
      </c>
      <c r="U41" s="291">
        <f>'Unit Savings Calculations'!$G37</f>
        <v>0.85</v>
      </c>
      <c r="V41" s="292">
        <f t="shared" si="44"/>
        <v>8651.9523961628511</v>
      </c>
      <c r="W41" s="292">
        <f t="shared" si="45"/>
        <v>8651.9523961628511</v>
      </c>
      <c r="X41" s="292">
        <f t="shared" si="46"/>
        <v>8199.8817815712428</v>
      </c>
      <c r="Y41" s="292">
        <f t="shared" si="47"/>
        <v>8651.9523961628511</v>
      </c>
      <c r="Z41" s="292">
        <f t="shared" si="48"/>
        <v>34155.7389700598</v>
      </c>
      <c r="AA41" s="287"/>
      <c r="AB41" s="287"/>
      <c r="AC41" s="293">
        <f>'Unit Savings Calculations'!N37</f>
        <v>1.6368815404525978</v>
      </c>
      <c r="AD41" s="287"/>
      <c r="AE41" s="292">
        <f t="shared" si="7"/>
        <v>11343.670919413526</v>
      </c>
      <c r="AF41" s="289">
        <f t="shared" si="8"/>
        <v>2691.7185232506745</v>
      </c>
      <c r="AG41" s="287"/>
      <c r="AH41" s="287">
        <f t="shared" si="9"/>
        <v>0</v>
      </c>
      <c r="AI41" s="290">
        <f>'Unit Savings Calculations'!O37</f>
        <v>1.6368815404525978</v>
      </c>
      <c r="AJ41" s="287" t="s">
        <v>1010</v>
      </c>
      <c r="AK41" s="292">
        <f t="shared" si="10"/>
        <v>11343.670919413526</v>
      </c>
      <c r="AL41" s="289">
        <f t="shared" si="11"/>
        <v>2691.7185232506745</v>
      </c>
      <c r="AM41" s="287"/>
      <c r="AN41" s="287"/>
      <c r="AO41" s="290">
        <f>'Unit Savings Calculations'!P37</f>
        <v>1.6368815404525978</v>
      </c>
      <c r="AP41" s="287" t="s">
        <v>764</v>
      </c>
      <c r="AQ41" s="292">
        <f t="shared" si="12"/>
        <v>10750.956113615639</v>
      </c>
      <c r="AR41" s="289">
        <f t="shared" si="13"/>
        <v>2551.0743320443962</v>
      </c>
      <c r="AS41" s="287"/>
      <c r="AT41" s="287"/>
      <c r="AU41" s="290">
        <f>'Unit Savings Calculations'!Q37</f>
        <v>1.6368815404525978</v>
      </c>
      <c r="AV41" s="287" t="str">
        <f t="shared" si="14"/>
        <v>n/a</v>
      </c>
      <c r="AW41" s="292">
        <f t="shared" si="15"/>
        <v>11343.670919413526</v>
      </c>
      <c r="AX41" s="289">
        <f t="shared" si="16"/>
        <v>2691.7185232506745</v>
      </c>
      <c r="AY41" s="292">
        <f t="shared" si="17"/>
        <v>11343.670919413526</v>
      </c>
      <c r="AZ41" s="292">
        <f t="shared" si="18"/>
        <v>11343.670919413526</v>
      </c>
      <c r="BA41" s="292">
        <f t="shared" si="19"/>
        <v>10750.956113615639</v>
      </c>
      <c r="BB41" s="292">
        <f t="shared" si="20"/>
        <v>11343.670919413526</v>
      </c>
      <c r="BC41" s="294">
        <f t="shared" si="21"/>
        <v>44781.968871856217</v>
      </c>
      <c r="BD41" s="287" t="s">
        <v>764</v>
      </c>
      <c r="BE41" s="295" t="str">
        <f t="shared" si="22"/>
        <v>Exhibit 1.5B_R Peoples Gas EEPS_Adjustable_Savings_Goal_Template.xlsx, Unit Savings Calculations Tab</v>
      </c>
      <c r="BF41" s="297"/>
    </row>
    <row r="42" spans="1:58" ht="13.5" customHeight="1">
      <c r="A42" s="287" t="str">
        <f>'Unit Savings Calculations'!C38</f>
        <v>Res - MF Assessments</v>
      </c>
      <c r="B42" s="287" t="str">
        <f>'Unit Savings Calculations'!D38</f>
        <v>Kitchen Aerator</v>
      </c>
      <c r="C42" s="288">
        <f t="shared" si="23"/>
        <v>1</v>
      </c>
      <c r="D42" s="287" t="str">
        <f>'Unit Savings Calculations'!T38</f>
        <v>5.4.4</v>
      </c>
      <c r="E42" s="287">
        <f>INDEX('Unit Savings Calculations'!$H$4:$H$421,MATCH('Measure-Level Adjustments Tab'!$A42&amp;"_"&amp;'Measure-Level Adjustments Tab'!$B42,'Unit Savings Calculations'!$A$4:$A$421,0))</f>
        <v>9</v>
      </c>
      <c r="F42" s="287">
        <f>INDEX('Unit Savings Calculations'!$I$4:$I$421,MATCH('Measure-Level Adjustments Tab'!A42&amp;"_"&amp;'Measure-Level Adjustments Tab'!B42,'Unit Savings Calculations'!$A$4:$A$421,0))</f>
        <v>10</v>
      </c>
      <c r="G42" s="287" t="str">
        <f>'Unit Savings Calculations'!E38</f>
        <v>each</v>
      </c>
      <c r="H42" s="289">
        <f>'Unit Savings Calculations'!$F38*'Unit Savings Calculations'!J38</f>
        <v>6352</v>
      </c>
      <c r="I42" s="289">
        <f>'Unit Savings Calculations'!$F38*'Unit Savings Calculations'!K38</f>
        <v>6352</v>
      </c>
      <c r="J42" s="289">
        <f>'Unit Savings Calculations'!$F38*'Unit Savings Calculations'!L38</f>
        <v>6020</v>
      </c>
      <c r="K42" s="289">
        <f>'Unit Savings Calculations'!$F38*'Unit Savings Calculations'!M38</f>
        <v>6352</v>
      </c>
      <c r="L42" s="287" t="str">
        <f>'Unit Savings Calculations'!U38</f>
        <v>RS-HWE-LFFA-V06-180101</v>
      </c>
      <c r="M42" s="363" t="s">
        <v>830</v>
      </c>
      <c r="N42" s="290">
        <v>5.1269254520350058</v>
      </c>
      <c r="O42" s="290">
        <v>5.1269254520350058</v>
      </c>
      <c r="P42" s="290">
        <v>5.1269254520350058</v>
      </c>
      <c r="Q42" s="290">
        <v>5.1269254520350058</v>
      </c>
      <c r="R42" s="291">
        <f>'Unit Savings Calculations'!$G38</f>
        <v>0.85</v>
      </c>
      <c r="S42" s="291">
        <f>'Unit Savings Calculations'!$G38</f>
        <v>0.85</v>
      </c>
      <c r="T42" s="291">
        <f>'Unit Savings Calculations'!$G38</f>
        <v>0.85</v>
      </c>
      <c r="U42" s="291">
        <f>'Unit Savings Calculations'!$G38</f>
        <v>0.85</v>
      </c>
      <c r="V42" s="292">
        <f t="shared" si="44"/>
        <v>27681.295900627403</v>
      </c>
      <c r="W42" s="292">
        <f t="shared" si="45"/>
        <v>27681.295900627403</v>
      </c>
      <c r="X42" s="292">
        <f t="shared" si="46"/>
        <v>26234.477538063125</v>
      </c>
      <c r="Y42" s="292">
        <f t="shared" si="47"/>
        <v>27681.295900627403</v>
      </c>
      <c r="Z42" s="292">
        <f t="shared" si="48"/>
        <v>109278.36523994534</v>
      </c>
      <c r="AA42" s="287"/>
      <c r="AB42" s="287"/>
      <c r="AC42" s="293">
        <f>'Unit Savings Calculations'!N38</f>
        <v>7.8612856931203403</v>
      </c>
      <c r="AD42" s="287"/>
      <c r="AE42" s="292">
        <f t="shared" si="7"/>
        <v>42444.653714295338</v>
      </c>
      <c r="AF42" s="289">
        <f t="shared" si="8"/>
        <v>14763.357813667935</v>
      </c>
      <c r="AG42" s="287"/>
      <c r="AH42" s="287">
        <f t="shared" si="9"/>
        <v>0</v>
      </c>
      <c r="AI42" s="290">
        <f>'Unit Savings Calculations'!O38</f>
        <v>7.8612856931203403</v>
      </c>
      <c r="AJ42" s="287" t="s">
        <v>1010</v>
      </c>
      <c r="AK42" s="292">
        <f t="shared" si="10"/>
        <v>42444.653714295338</v>
      </c>
      <c r="AL42" s="289">
        <f t="shared" si="11"/>
        <v>14763.357813667935</v>
      </c>
      <c r="AM42" s="287"/>
      <c r="AN42" s="287"/>
      <c r="AO42" s="290">
        <f>'Unit Savings Calculations'!P38</f>
        <v>7.8612856931203403</v>
      </c>
      <c r="AP42" s="287" t="s">
        <v>764</v>
      </c>
      <c r="AQ42" s="292">
        <f t="shared" si="12"/>
        <v>40226.198891696782</v>
      </c>
      <c r="AR42" s="289">
        <f t="shared" si="13"/>
        <v>13991.721353633657</v>
      </c>
      <c r="AS42" s="287"/>
      <c r="AT42" s="287"/>
      <c r="AU42" s="290">
        <f>'Unit Savings Calculations'!Q38</f>
        <v>7.8612856931203403</v>
      </c>
      <c r="AV42" s="287" t="str">
        <f t="shared" si="14"/>
        <v>n/a</v>
      </c>
      <c r="AW42" s="292">
        <f t="shared" si="15"/>
        <v>42444.653714295338</v>
      </c>
      <c r="AX42" s="289">
        <f t="shared" si="16"/>
        <v>14763.357813667935</v>
      </c>
      <c r="AY42" s="292">
        <f t="shared" si="17"/>
        <v>42444.653714295338</v>
      </c>
      <c r="AZ42" s="292">
        <f t="shared" si="18"/>
        <v>42444.653714295338</v>
      </c>
      <c r="BA42" s="292">
        <f t="shared" si="19"/>
        <v>40226.198891696782</v>
      </c>
      <c r="BB42" s="292">
        <f t="shared" si="20"/>
        <v>42444.653714295338</v>
      </c>
      <c r="BC42" s="294">
        <f t="shared" si="21"/>
        <v>167560.1600345828</v>
      </c>
      <c r="BD42" s="287" t="s">
        <v>764</v>
      </c>
      <c r="BE42" s="295" t="str">
        <f t="shared" si="22"/>
        <v>Exhibit 1.5B_R Peoples Gas EEPS_Adjustable_Savings_Goal_Template.xlsx, Unit Savings Calculations Tab</v>
      </c>
      <c r="BF42" s="297"/>
    </row>
    <row r="43" spans="1:58" ht="13.5" customHeight="1">
      <c r="A43" s="287" t="str">
        <f>'Unit Savings Calculations'!C39</f>
        <v>Res - MF Assessments</v>
      </c>
      <c r="B43" s="287" t="str">
        <f>'Unit Savings Calculations'!D39</f>
        <v>Showerhead</v>
      </c>
      <c r="C43" s="288">
        <f t="shared" si="23"/>
        <v>1</v>
      </c>
      <c r="D43" s="287" t="str">
        <f>'Unit Savings Calculations'!T39</f>
        <v>5.4.5</v>
      </c>
      <c r="E43" s="287">
        <f>INDEX('Unit Savings Calculations'!$H$4:$H$421,MATCH('Measure-Level Adjustments Tab'!$A43&amp;"_"&amp;'Measure-Level Adjustments Tab'!$B43,'Unit Savings Calculations'!$A$4:$A$421,0))</f>
        <v>10</v>
      </c>
      <c r="F43" s="287">
        <f>INDEX('Unit Savings Calculations'!$I$4:$I$421,MATCH('Measure-Level Adjustments Tab'!A43&amp;"_"&amp;'Measure-Level Adjustments Tab'!B43,'Unit Savings Calculations'!$A$4:$A$421,0))</f>
        <v>10</v>
      </c>
      <c r="G43" s="287" t="str">
        <f>'Unit Savings Calculations'!E39</f>
        <v>each</v>
      </c>
      <c r="H43" s="289">
        <f>'Unit Savings Calculations'!$F39*'Unit Savings Calculations'!J39</f>
        <v>7679</v>
      </c>
      <c r="I43" s="289">
        <f>'Unit Savings Calculations'!$F39*'Unit Savings Calculations'!K39</f>
        <v>7679</v>
      </c>
      <c r="J43" s="289">
        <f>'Unit Savings Calculations'!$F39*'Unit Savings Calculations'!L39</f>
        <v>7278</v>
      </c>
      <c r="K43" s="289">
        <f>'Unit Savings Calculations'!$F39*'Unit Savings Calculations'!M39</f>
        <v>7679</v>
      </c>
      <c r="L43" s="287" t="str">
        <f>'Unit Savings Calculations'!U39</f>
        <v>RS-HWE-LFSH-V05-180101</v>
      </c>
      <c r="M43" s="363" t="s">
        <v>830</v>
      </c>
      <c r="N43" s="290">
        <v>17.896352631884998</v>
      </c>
      <c r="O43" s="290">
        <v>17.896352631884998</v>
      </c>
      <c r="P43" s="290">
        <v>17.896352631884998</v>
      </c>
      <c r="Q43" s="290">
        <v>17.896352631884998</v>
      </c>
      <c r="R43" s="291">
        <f>'Unit Savings Calculations'!$G39</f>
        <v>0.85</v>
      </c>
      <c r="S43" s="291">
        <f>'Unit Savings Calculations'!$G39</f>
        <v>0.85</v>
      </c>
      <c r="T43" s="291">
        <f>'Unit Savings Calculations'!$G39</f>
        <v>0.85</v>
      </c>
      <c r="U43" s="291">
        <f>'Unit Savings Calculations'!$G39</f>
        <v>0.85</v>
      </c>
      <c r="V43" s="292">
        <f t="shared" si="44"/>
        <v>116812.17808120816</v>
      </c>
      <c r="W43" s="292">
        <f t="shared" si="45"/>
        <v>116812.17808120816</v>
      </c>
      <c r="X43" s="292">
        <f t="shared" si="46"/>
        <v>110712.20628663016</v>
      </c>
      <c r="Y43" s="292">
        <f t="shared" si="47"/>
        <v>116812.17808120816</v>
      </c>
      <c r="Z43" s="292">
        <f t="shared" si="48"/>
        <v>461148.74053025461</v>
      </c>
      <c r="AA43" s="287"/>
      <c r="AB43" s="287"/>
      <c r="AC43" s="293">
        <f>'Unit Savings Calculations'!N39</f>
        <v>11.319060638970004</v>
      </c>
      <c r="AD43" s="287"/>
      <c r="AE43" s="292">
        <f t="shared" si="7"/>
        <v>73881.206649653061</v>
      </c>
      <c r="AF43" s="289">
        <f t="shared" si="8"/>
        <v>-42930.971431555095</v>
      </c>
      <c r="AG43" s="287"/>
      <c r="AH43" s="287">
        <f t="shared" si="9"/>
        <v>0</v>
      </c>
      <c r="AI43" s="290">
        <f>'Unit Savings Calculations'!O39</f>
        <v>11.319060638970004</v>
      </c>
      <c r="AJ43" s="287" t="s">
        <v>1010</v>
      </c>
      <c r="AK43" s="292">
        <f t="shared" si="10"/>
        <v>73881.206649653061</v>
      </c>
      <c r="AL43" s="289">
        <f t="shared" si="11"/>
        <v>-42930.971431555095</v>
      </c>
      <c r="AM43" s="287"/>
      <c r="AN43" s="287"/>
      <c r="AO43" s="290">
        <f>'Unit Savings Calculations'!P39</f>
        <v>11.319060638970004</v>
      </c>
      <c r="AP43" s="287" t="s">
        <v>764</v>
      </c>
      <c r="AQ43" s="292">
        <f t="shared" si="12"/>
        <v>70023.104830860146</v>
      </c>
      <c r="AR43" s="289">
        <f t="shared" si="13"/>
        <v>-40689.101455770011</v>
      </c>
      <c r="AS43" s="287"/>
      <c r="AT43" s="287"/>
      <c r="AU43" s="290">
        <f>'Unit Savings Calculations'!Q39</f>
        <v>11.319060638970004</v>
      </c>
      <c r="AV43" s="287" t="str">
        <f t="shared" si="14"/>
        <v>n/a</v>
      </c>
      <c r="AW43" s="292">
        <f t="shared" si="15"/>
        <v>73881.206649653061</v>
      </c>
      <c r="AX43" s="289">
        <f t="shared" si="16"/>
        <v>-42930.971431555095</v>
      </c>
      <c r="AY43" s="292">
        <f t="shared" si="17"/>
        <v>73881.206649653061</v>
      </c>
      <c r="AZ43" s="292">
        <f t="shared" si="18"/>
        <v>73881.206649653061</v>
      </c>
      <c r="BA43" s="292">
        <f t="shared" si="19"/>
        <v>70023.104830860146</v>
      </c>
      <c r="BB43" s="292">
        <f t="shared" si="20"/>
        <v>73881.206649653061</v>
      </c>
      <c r="BC43" s="294">
        <f t="shared" si="21"/>
        <v>291666.72477981937</v>
      </c>
      <c r="BD43" s="287" t="s">
        <v>764</v>
      </c>
      <c r="BE43" s="295" t="str">
        <f t="shared" si="22"/>
        <v>Exhibit 1.5B_R Peoples Gas EEPS_Adjustable_Savings_Goal_Template.xlsx, Unit Savings Calculations Tab</v>
      </c>
      <c r="BF43" s="297"/>
    </row>
    <row r="44" spans="1:58" ht="13.5" customHeight="1">
      <c r="A44" s="287" t="str">
        <f>'Unit Savings Calculations'!C40</f>
        <v>Res - MF Assessments</v>
      </c>
      <c r="B44" s="287" t="str">
        <f>'Unit Savings Calculations'!D40</f>
        <v>Pipe Insulation (DHW)</v>
      </c>
      <c r="C44" s="288">
        <f t="shared" si="23"/>
        <v>1</v>
      </c>
      <c r="D44" s="287" t="str">
        <f>'Unit Savings Calculations'!T40</f>
        <v>5.4.1</v>
      </c>
      <c r="E44" s="287">
        <f>INDEX('Unit Savings Calculations'!$H$4:$H$421,MATCH('Measure-Level Adjustments Tab'!$A44&amp;"_"&amp;'Measure-Level Adjustments Tab'!$B44,'Unit Savings Calculations'!$A$4:$A$421,0))</f>
        <v>15</v>
      </c>
      <c r="F44" s="287">
        <f>INDEX('Unit Savings Calculations'!$I$4:$I$421,MATCH('Measure-Level Adjustments Tab'!A44&amp;"_"&amp;'Measure-Level Adjustments Tab'!B44,'Unit Savings Calculations'!$A$4:$A$421,0))</f>
        <v>15</v>
      </c>
      <c r="G44" s="287" t="str">
        <f>'Unit Savings Calculations'!E40</f>
        <v>ft</v>
      </c>
      <c r="H44" s="289">
        <f>'Unit Savings Calculations'!$F40*'Unit Savings Calculations'!J40</f>
        <v>14505</v>
      </c>
      <c r="I44" s="289">
        <f>'Unit Savings Calculations'!$F40*'Unit Savings Calculations'!K40</f>
        <v>14505</v>
      </c>
      <c r="J44" s="289">
        <f>'Unit Savings Calculations'!$F40*'Unit Savings Calculations'!L40</f>
        <v>13746</v>
      </c>
      <c r="K44" s="289">
        <f>'Unit Savings Calculations'!$F40*'Unit Savings Calculations'!M40</f>
        <v>14505</v>
      </c>
      <c r="L44" s="287" t="str">
        <f>'Unit Savings Calculations'!U40</f>
        <v>RS-HVC-PINS-V02-150601</v>
      </c>
      <c r="M44" s="363" t="s">
        <v>830</v>
      </c>
      <c r="N44" s="290">
        <v>0.99123230769230763</v>
      </c>
      <c r="O44" s="290">
        <v>0.99123230769230763</v>
      </c>
      <c r="P44" s="290">
        <v>0.99123230769230763</v>
      </c>
      <c r="Q44" s="290">
        <v>0.99123230769230763</v>
      </c>
      <c r="R44" s="291">
        <f>'Unit Savings Calculations'!$G40</f>
        <v>0.85</v>
      </c>
      <c r="S44" s="291">
        <f>'Unit Savings Calculations'!$G40</f>
        <v>0.85</v>
      </c>
      <c r="T44" s="291">
        <f>'Unit Savings Calculations'!$G40</f>
        <v>0.85</v>
      </c>
      <c r="U44" s="291">
        <f>'Unit Savings Calculations'!$G40</f>
        <v>0.85</v>
      </c>
      <c r="V44" s="292">
        <f t="shared" si="44"/>
        <v>12221.150929615384</v>
      </c>
      <c r="W44" s="292">
        <f t="shared" si="45"/>
        <v>12221.150929615384</v>
      </c>
      <c r="X44" s="292">
        <f t="shared" si="46"/>
        <v>11581.657406307691</v>
      </c>
      <c r="Y44" s="292">
        <f t="shared" si="47"/>
        <v>12221.150929615384</v>
      </c>
      <c r="Z44" s="292">
        <f t="shared" si="48"/>
        <v>48245.110195153844</v>
      </c>
      <c r="AA44" s="287"/>
      <c r="AB44" s="287"/>
      <c r="AC44" s="293">
        <f>'Unit Savings Calculations'!N40</f>
        <v>0.77039653846153844</v>
      </c>
      <c r="AD44" s="287"/>
      <c r="AE44" s="292">
        <f t="shared" si="7"/>
        <v>9498.4115218269217</v>
      </c>
      <c r="AF44" s="289">
        <f t="shared" si="8"/>
        <v>-2722.7394077884619</v>
      </c>
      <c r="AG44" s="287"/>
      <c r="AH44" s="287">
        <f t="shared" si="9"/>
        <v>0</v>
      </c>
      <c r="AI44" s="290">
        <f>'Unit Savings Calculations'!O40</f>
        <v>0.77039653846153844</v>
      </c>
      <c r="AJ44" s="287" t="s">
        <v>1005</v>
      </c>
      <c r="AK44" s="292">
        <f t="shared" si="10"/>
        <v>9498.4115218269217</v>
      </c>
      <c r="AL44" s="289">
        <f t="shared" si="11"/>
        <v>-2722.7394077884619</v>
      </c>
      <c r="AM44" s="287"/>
      <c r="AN44" s="287"/>
      <c r="AO44" s="290">
        <f>'Unit Savings Calculations'!P40</f>
        <v>0.77039653846153844</v>
      </c>
      <c r="AP44" s="287" t="s">
        <v>764</v>
      </c>
      <c r="AQ44" s="292">
        <f t="shared" si="12"/>
        <v>9001.3901950384625</v>
      </c>
      <c r="AR44" s="289">
        <f t="shared" si="13"/>
        <v>-2580.2672112692289</v>
      </c>
      <c r="AS44" s="287"/>
      <c r="AT44" s="287"/>
      <c r="AU44" s="290">
        <f>'Unit Savings Calculations'!Q40</f>
        <v>0.77039653846153844</v>
      </c>
      <c r="AV44" s="287" t="str">
        <f t="shared" si="14"/>
        <v>n/a</v>
      </c>
      <c r="AW44" s="292">
        <f t="shared" si="15"/>
        <v>9498.4115218269217</v>
      </c>
      <c r="AX44" s="289">
        <f t="shared" si="16"/>
        <v>-2722.7394077884619</v>
      </c>
      <c r="AY44" s="292">
        <f t="shared" si="17"/>
        <v>9498.4115218269217</v>
      </c>
      <c r="AZ44" s="292">
        <f t="shared" si="18"/>
        <v>9498.4115218269217</v>
      </c>
      <c r="BA44" s="292">
        <f t="shared" si="19"/>
        <v>9001.3901950384625</v>
      </c>
      <c r="BB44" s="292">
        <f t="shared" si="20"/>
        <v>9498.4115218269217</v>
      </c>
      <c r="BC44" s="294">
        <f t="shared" si="21"/>
        <v>37496.624760519226</v>
      </c>
      <c r="BD44" s="287" t="s">
        <v>764</v>
      </c>
      <c r="BE44" s="295" t="str">
        <f t="shared" si="22"/>
        <v>Exhibit 1.5B_R Peoples Gas EEPS_Adjustable_Savings_Goal_Template.xlsx, Unit Savings Calculations Tab</v>
      </c>
      <c r="BF44" s="297"/>
    </row>
    <row r="45" spans="1:58" ht="13.5" customHeight="1">
      <c r="A45" s="287" t="str">
        <f>'Unit Savings Calculations'!C41</f>
        <v>Res - MF Assessments</v>
      </c>
      <c r="B45" s="287" t="str">
        <f>'Unit Savings Calculations'!D41</f>
        <v>Pipe Insulation (Boiler)</v>
      </c>
      <c r="C45" s="288">
        <f t="shared" si="23"/>
        <v>1</v>
      </c>
      <c r="D45" s="287" t="str">
        <f>'Unit Savings Calculations'!T41</f>
        <v>5.3.2</v>
      </c>
      <c r="E45" s="287">
        <f>INDEX('Unit Savings Calculations'!$H$4:$H$421,MATCH('Measure-Level Adjustments Tab'!$A45&amp;"_"&amp;'Measure-Level Adjustments Tab'!$B45,'Unit Savings Calculations'!$A$4:$A$421,0))</f>
        <v>15</v>
      </c>
      <c r="F45" s="287">
        <f>INDEX('Unit Savings Calculations'!$I$4:$I$421,MATCH('Measure-Level Adjustments Tab'!A45&amp;"_"&amp;'Measure-Level Adjustments Tab'!B45,'Unit Savings Calculations'!$A$4:$A$421,0))</f>
        <v>15</v>
      </c>
      <c r="G45" s="287" t="str">
        <f>'Unit Savings Calculations'!E41</f>
        <v>ft</v>
      </c>
      <c r="H45" s="289">
        <f>'Unit Savings Calculations'!$F41*'Unit Savings Calculations'!J41</f>
        <v>11376</v>
      </c>
      <c r="I45" s="289">
        <f>'Unit Savings Calculations'!$F41*'Unit Savings Calculations'!K41</f>
        <v>11376</v>
      </c>
      <c r="J45" s="289">
        <f>'Unit Savings Calculations'!$F41*'Unit Savings Calculations'!L41</f>
        <v>10782</v>
      </c>
      <c r="K45" s="289">
        <f>'Unit Savings Calculations'!$F41*'Unit Savings Calculations'!M41</f>
        <v>11376</v>
      </c>
      <c r="L45" s="287" t="str">
        <f>'Unit Savings Calculations'!U41</f>
        <v>RS-HVC-PINS-V02-160601</v>
      </c>
      <c r="M45" s="363" t="s">
        <v>830</v>
      </c>
      <c r="N45" s="290">
        <v>0.41554055468341189</v>
      </c>
      <c r="O45" s="290">
        <v>0.41554055468341189</v>
      </c>
      <c r="P45" s="290">
        <v>0.41554055468341189</v>
      </c>
      <c r="Q45" s="290">
        <v>0.41554055468341189</v>
      </c>
      <c r="R45" s="291">
        <f>'Unit Savings Calculations'!$G41</f>
        <v>0.85</v>
      </c>
      <c r="S45" s="291">
        <f>'Unit Savings Calculations'!$G41</f>
        <v>0.85</v>
      </c>
      <c r="T45" s="291">
        <f>'Unit Savings Calculations'!$G41</f>
        <v>0.85</v>
      </c>
      <c r="U45" s="291">
        <f>'Unit Savings Calculations'!$G41</f>
        <v>0.85</v>
      </c>
      <c r="V45" s="292">
        <f t="shared" si="44"/>
        <v>4018.1109475667195</v>
      </c>
      <c r="W45" s="292">
        <f t="shared" si="45"/>
        <v>4018.1109475667195</v>
      </c>
      <c r="X45" s="292">
        <f t="shared" si="46"/>
        <v>3808.3045215070647</v>
      </c>
      <c r="Y45" s="292">
        <f t="shared" si="47"/>
        <v>4018.1109475667195</v>
      </c>
      <c r="Z45" s="292">
        <f t="shared" si="48"/>
        <v>15862.637364207223</v>
      </c>
      <c r="AA45" s="287"/>
      <c r="AB45" s="287"/>
      <c r="AC45" s="293">
        <f>'Unit Savings Calculations'!N41</f>
        <v>0.41554055468341189</v>
      </c>
      <c r="AD45" s="287"/>
      <c r="AE45" s="292">
        <f t="shared" si="7"/>
        <v>4018.1109475667195</v>
      </c>
      <c r="AF45" s="289">
        <f t="shared" si="8"/>
        <v>0</v>
      </c>
      <c r="AG45" s="287"/>
      <c r="AH45" s="287">
        <f t="shared" si="9"/>
        <v>0</v>
      </c>
      <c r="AI45" s="290">
        <f>'Unit Savings Calculations'!O41</f>
        <v>0.41554055468341189</v>
      </c>
      <c r="AJ45" s="287" t="s">
        <v>872</v>
      </c>
      <c r="AK45" s="292">
        <f t="shared" si="10"/>
        <v>4018.1109475667195</v>
      </c>
      <c r="AL45" s="289">
        <f t="shared" si="11"/>
        <v>0</v>
      </c>
      <c r="AM45" s="287"/>
      <c r="AN45" s="287"/>
      <c r="AO45" s="290">
        <f>'Unit Savings Calculations'!P41</f>
        <v>0.41554055468341189</v>
      </c>
      <c r="AP45" s="287" t="s">
        <v>764</v>
      </c>
      <c r="AQ45" s="292">
        <f t="shared" si="12"/>
        <v>3808.3045215070647</v>
      </c>
      <c r="AR45" s="289">
        <f t="shared" si="13"/>
        <v>0</v>
      </c>
      <c r="AS45" s="287"/>
      <c r="AT45" s="287"/>
      <c r="AU45" s="290">
        <f>'Unit Savings Calculations'!Q41</f>
        <v>0.41554055468341189</v>
      </c>
      <c r="AV45" s="287" t="str">
        <f t="shared" si="14"/>
        <v>n/a</v>
      </c>
      <c r="AW45" s="292">
        <f t="shared" si="15"/>
        <v>4018.1109475667195</v>
      </c>
      <c r="AX45" s="289">
        <f t="shared" si="16"/>
        <v>0</v>
      </c>
      <c r="AY45" s="292">
        <f t="shared" si="17"/>
        <v>4018.1109475667195</v>
      </c>
      <c r="AZ45" s="292">
        <f t="shared" si="18"/>
        <v>4018.1109475667195</v>
      </c>
      <c r="BA45" s="292">
        <f t="shared" si="19"/>
        <v>3808.3045215070647</v>
      </c>
      <c r="BB45" s="292">
        <f t="shared" si="20"/>
        <v>4018.1109475667195</v>
      </c>
      <c r="BC45" s="294">
        <f t="shared" si="21"/>
        <v>15862.637364207223</v>
      </c>
      <c r="BD45" s="287" t="s">
        <v>764</v>
      </c>
      <c r="BE45" s="295" t="str">
        <f t="shared" si="22"/>
        <v>Exhibit 1.5B_R Peoples Gas EEPS_Adjustable_Savings_Goal_Template.xlsx, Unit Savings Calculations Tab</v>
      </c>
      <c r="BF45" s="297"/>
    </row>
    <row r="46" spans="1:58" ht="13.5" customHeight="1">
      <c r="A46" s="287" t="str">
        <f>'Unit Savings Calculations'!C42</f>
        <v>Res - MF Assessments</v>
      </c>
      <c r="B46" s="287" t="str">
        <f>'Unit Savings Calculations'!D42</f>
        <v>Programmable Thermostat - Furnace</v>
      </c>
      <c r="C46" s="288">
        <f t="shared" si="23"/>
        <v>1</v>
      </c>
      <c r="D46" s="287" t="str">
        <f>'Unit Savings Calculations'!T42</f>
        <v>5.3.11</v>
      </c>
      <c r="E46" s="287">
        <f>INDEX('Unit Savings Calculations'!$H$4:$H$421,MATCH('Measure-Level Adjustments Tab'!$A46&amp;"_"&amp;'Measure-Level Adjustments Tab'!$B46,'Unit Savings Calculations'!$A$4:$A$421,0))</f>
        <v>5</v>
      </c>
      <c r="F46" s="287">
        <f>INDEX('Unit Savings Calculations'!$I$4:$I$421,MATCH('Measure-Level Adjustments Tab'!A46&amp;"_"&amp;'Measure-Level Adjustments Tab'!B46,'Unit Savings Calculations'!$A$4:$A$421,0))</f>
        <v>8</v>
      </c>
      <c r="G46" s="287" t="str">
        <f>'Unit Savings Calculations'!E42</f>
        <v>each</v>
      </c>
      <c r="H46" s="289">
        <f>'Unit Savings Calculations'!$F42*'Unit Savings Calculations'!J42</f>
        <v>1232</v>
      </c>
      <c r="I46" s="289">
        <f>'Unit Savings Calculations'!$F42*'Unit Savings Calculations'!K42</f>
        <v>1232</v>
      </c>
      <c r="J46" s="289">
        <f>'Unit Savings Calculations'!$F42*'Unit Savings Calculations'!L42</f>
        <v>1168</v>
      </c>
      <c r="K46" s="289">
        <f>'Unit Savings Calculations'!$F42*'Unit Savings Calculations'!M42</f>
        <v>1232</v>
      </c>
      <c r="L46" s="287" t="str">
        <f>'Unit Savings Calculations'!U42</f>
        <v>RS-HVC-PROG-V04-180101</v>
      </c>
      <c r="M46" s="363" t="s">
        <v>830</v>
      </c>
      <c r="N46" s="290">
        <v>40.5015</v>
      </c>
      <c r="O46" s="290">
        <v>40.5015</v>
      </c>
      <c r="P46" s="290">
        <v>40.5015</v>
      </c>
      <c r="Q46" s="290">
        <v>40.5015</v>
      </c>
      <c r="R46" s="291">
        <f>'Unit Savings Calculations'!$G42</f>
        <v>0.85</v>
      </c>
      <c r="S46" s="291">
        <f>'Unit Savings Calculations'!$G42</f>
        <v>0.85</v>
      </c>
      <c r="T46" s="291">
        <f>'Unit Savings Calculations'!$G42</f>
        <v>0.85</v>
      </c>
      <c r="U46" s="291">
        <f>'Unit Savings Calculations'!$G42</f>
        <v>0.85</v>
      </c>
      <c r="V46" s="292">
        <f t="shared" si="44"/>
        <v>42413.1708</v>
      </c>
      <c r="W46" s="292">
        <f t="shared" si="45"/>
        <v>42413.1708</v>
      </c>
      <c r="X46" s="292">
        <f t="shared" si="46"/>
        <v>40209.889199999998</v>
      </c>
      <c r="Y46" s="292">
        <f t="shared" si="47"/>
        <v>42413.1708</v>
      </c>
      <c r="Z46" s="292">
        <f t="shared" si="48"/>
        <v>167449.40159999998</v>
      </c>
      <c r="AA46" s="287"/>
      <c r="AB46" s="287"/>
      <c r="AC46" s="293">
        <f>'Unit Savings Calculations'!N42</f>
        <v>40.5015</v>
      </c>
      <c r="AD46" s="287"/>
      <c r="AE46" s="292">
        <f t="shared" si="7"/>
        <v>42413.1708</v>
      </c>
      <c r="AF46" s="289">
        <f t="shared" si="8"/>
        <v>0</v>
      </c>
      <c r="AG46" s="287"/>
      <c r="AH46" s="287">
        <f t="shared" si="9"/>
        <v>0</v>
      </c>
      <c r="AI46" s="290">
        <f>'Unit Savings Calculations'!O42</f>
        <v>40.5015</v>
      </c>
      <c r="AJ46" s="287" t="s">
        <v>872</v>
      </c>
      <c r="AK46" s="292">
        <f t="shared" si="10"/>
        <v>42413.1708</v>
      </c>
      <c r="AL46" s="289">
        <f t="shared" si="11"/>
        <v>0</v>
      </c>
      <c r="AM46" s="287"/>
      <c r="AN46" s="287"/>
      <c r="AO46" s="290">
        <f>'Unit Savings Calculations'!P42</f>
        <v>40.5015</v>
      </c>
      <c r="AP46" s="287" t="s">
        <v>764</v>
      </c>
      <c r="AQ46" s="292">
        <f t="shared" si="12"/>
        <v>40209.889199999998</v>
      </c>
      <c r="AR46" s="289">
        <f t="shared" si="13"/>
        <v>0</v>
      </c>
      <c r="AS46" s="287"/>
      <c r="AT46" s="287"/>
      <c r="AU46" s="290">
        <f>'Unit Savings Calculations'!Q42</f>
        <v>40.5015</v>
      </c>
      <c r="AV46" s="287" t="str">
        <f t="shared" si="14"/>
        <v>n/a</v>
      </c>
      <c r="AW46" s="292">
        <f t="shared" si="15"/>
        <v>42413.1708</v>
      </c>
      <c r="AX46" s="289">
        <f t="shared" si="16"/>
        <v>0</v>
      </c>
      <c r="AY46" s="292">
        <f t="shared" si="17"/>
        <v>42413.1708</v>
      </c>
      <c r="AZ46" s="292">
        <f t="shared" si="18"/>
        <v>42413.1708</v>
      </c>
      <c r="BA46" s="292">
        <f t="shared" si="19"/>
        <v>40209.889199999998</v>
      </c>
      <c r="BB46" s="292">
        <f t="shared" si="20"/>
        <v>42413.1708</v>
      </c>
      <c r="BC46" s="294">
        <f t="shared" si="21"/>
        <v>167449.40159999998</v>
      </c>
      <c r="BD46" s="287" t="s">
        <v>764</v>
      </c>
      <c r="BE46" s="295" t="str">
        <f t="shared" si="22"/>
        <v>Exhibit 1.5B_R Peoples Gas EEPS_Adjustable_Savings_Goal_Template.xlsx, Unit Savings Calculations Tab</v>
      </c>
      <c r="BF46" s="297"/>
    </row>
    <row r="47" spans="1:58" ht="13.5" customHeight="1">
      <c r="A47" s="287" t="str">
        <f>'Unit Savings Calculations'!C43</f>
        <v>Res - MF Assessments</v>
      </c>
      <c r="B47" s="287" t="str">
        <f>'Unit Savings Calculations'!D43</f>
        <v>Programmable Thermostat - Boiler</v>
      </c>
      <c r="C47" s="288">
        <f t="shared" si="23"/>
        <v>1</v>
      </c>
      <c r="D47" s="287" t="str">
        <f>'Unit Savings Calculations'!T43</f>
        <v>5.3.11</v>
      </c>
      <c r="E47" s="287">
        <f>INDEX('Unit Savings Calculations'!$H$4:$H$421,MATCH('Measure-Level Adjustments Tab'!$A47&amp;"_"&amp;'Measure-Level Adjustments Tab'!$B47,'Unit Savings Calculations'!$A$4:$A$421,0))</f>
        <v>5</v>
      </c>
      <c r="F47" s="287">
        <f>INDEX('Unit Savings Calculations'!$I$4:$I$421,MATCH('Measure-Level Adjustments Tab'!A47&amp;"_"&amp;'Measure-Level Adjustments Tab'!B47,'Unit Savings Calculations'!$A$4:$A$421,0))</f>
        <v>8</v>
      </c>
      <c r="G47" s="287" t="str">
        <f>'Unit Savings Calculations'!E43</f>
        <v>each</v>
      </c>
      <c r="H47" s="289">
        <f>'Unit Savings Calculations'!$F43*'Unit Savings Calculations'!J43</f>
        <v>379</v>
      </c>
      <c r="I47" s="289">
        <f>'Unit Savings Calculations'!$F43*'Unit Savings Calculations'!K43</f>
        <v>379</v>
      </c>
      <c r="J47" s="289">
        <f>'Unit Savings Calculations'!$F43*'Unit Savings Calculations'!L43</f>
        <v>359</v>
      </c>
      <c r="K47" s="289">
        <f>'Unit Savings Calculations'!$F43*'Unit Savings Calculations'!M43</f>
        <v>379</v>
      </c>
      <c r="L47" s="287" t="str">
        <f>'Unit Savings Calculations'!U43</f>
        <v>RS-HVC-PROG-V04-180101</v>
      </c>
      <c r="M47" s="363" t="s">
        <v>830</v>
      </c>
      <c r="N47" s="290">
        <v>49.085400000000007</v>
      </c>
      <c r="O47" s="290">
        <v>49.085400000000007</v>
      </c>
      <c r="P47" s="290">
        <v>49.085400000000007</v>
      </c>
      <c r="Q47" s="290">
        <v>49.085400000000007</v>
      </c>
      <c r="R47" s="291">
        <f>'Unit Savings Calculations'!$G43</f>
        <v>0.85</v>
      </c>
      <c r="S47" s="291">
        <f>'Unit Savings Calculations'!$G43</f>
        <v>0.85</v>
      </c>
      <c r="T47" s="291">
        <f>'Unit Savings Calculations'!$G43</f>
        <v>0.85</v>
      </c>
      <c r="U47" s="291">
        <f>'Unit Savings Calculations'!$G43</f>
        <v>0.85</v>
      </c>
      <c r="V47" s="292">
        <f t="shared" si="44"/>
        <v>15812.86161</v>
      </c>
      <c r="W47" s="292">
        <f t="shared" si="45"/>
        <v>15812.86161</v>
      </c>
      <c r="X47" s="292">
        <f t="shared" si="46"/>
        <v>14978.409810000001</v>
      </c>
      <c r="Y47" s="292">
        <f t="shared" si="47"/>
        <v>15812.86161</v>
      </c>
      <c r="Z47" s="292">
        <f t="shared" si="48"/>
        <v>62416.994639999997</v>
      </c>
      <c r="AA47" s="287"/>
      <c r="AB47" s="287"/>
      <c r="AC47" s="293">
        <f>'Unit Savings Calculations'!N43</f>
        <v>49.085400000000007</v>
      </c>
      <c r="AD47" s="287"/>
      <c r="AE47" s="292">
        <f t="shared" si="7"/>
        <v>15812.86161</v>
      </c>
      <c r="AF47" s="289">
        <f t="shared" si="8"/>
        <v>0</v>
      </c>
      <c r="AG47" s="287"/>
      <c r="AH47" s="287">
        <f t="shared" si="9"/>
        <v>0</v>
      </c>
      <c r="AI47" s="290">
        <f>'Unit Savings Calculations'!O43</f>
        <v>49.085400000000007</v>
      </c>
      <c r="AJ47" s="287" t="s">
        <v>872</v>
      </c>
      <c r="AK47" s="292">
        <f t="shared" si="10"/>
        <v>15812.86161</v>
      </c>
      <c r="AL47" s="289">
        <f t="shared" si="11"/>
        <v>0</v>
      </c>
      <c r="AM47" s="287"/>
      <c r="AN47" s="287"/>
      <c r="AO47" s="290">
        <f>'Unit Savings Calculations'!P43</f>
        <v>49.085400000000007</v>
      </c>
      <c r="AP47" s="287" t="s">
        <v>764</v>
      </c>
      <c r="AQ47" s="292">
        <f t="shared" si="12"/>
        <v>14978.409810000001</v>
      </c>
      <c r="AR47" s="289">
        <f t="shared" si="13"/>
        <v>0</v>
      </c>
      <c r="AS47" s="287"/>
      <c r="AT47" s="287"/>
      <c r="AU47" s="290">
        <f>'Unit Savings Calculations'!Q43</f>
        <v>49.085400000000007</v>
      </c>
      <c r="AV47" s="287" t="str">
        <f t="shared" si="14"/>
        <v>n/a</v>
      </c>
      <c r="AW47" s="292">
        <f t="shared" si="15"/>
        <v>15812.86161</v>
      </c>
      <c r="AX47" s="289">
        <f t="shared" si="16"/>
        <v>0</v>
      </c>
      <c r="AY47" s="292">
        <f t="shared" si="17"/>
        <v>15812.86161</v>
      </c>
      <c r="AZ47" s="292">
        <f t="shared" si="18"/>
        <v>15812.86161</v>
      </c>
      <c r="BA47" s="292">
        <f t="shared" si="19"/>
        <v>14978.409810000001</v>
      </c>
      <c r="BB47" s="292">
        <f t="shared" si="20"/>
        <v>15812.86161</v>
      </c>
      <c r="BC47" s="294">
        <f t="shared" si="21"/>
        <v>62416.994639999997</v>
      </c>
      <c r="BD47" s="287" t="s">
        <v>764</v>
      </c>
      <c r="BE47" s="295" t="str">
        <f t="shared" si="22"/>
        <v>Exhibit 1.5B_R Peoples Gas EEPS_Adjustable_Savings_Goal_Template.xlsx, Unit Savings Calculations Tab</v>
      </c>
      <c r="BF47" s="297"/>
    </row>
    <row r="48" spans="1:58" ht="13.5" customHeight="1">
      <c r="A48" s="287" t="str">
        <f>'Unit Savings Calculations'!C44</f>
        <v>Res - MF Assessments</v>
      </c>
      <c r="B48" s="287" t="str">
        <f>'Unit Savings Calculations'!D44</f>
        <v>Advanced Thermostat - Furnace (Replace Manual)</v>
      </c>
      <c r="C48" s="288">
        <f t="shared" si="23"/>
        <v>1</v>
      </c>
      <c r="D48" s="287" t="str">
        <f>'Unit Savings Calculations'!T44</f>
        <v>5.3.16</v>
      </c>
      <c r="E48" s="287">
        <f>INDEX('Unit Savings Calculations'!$H$4:$H$421,MATCH('Measure-Level Adjustments Tab'!$A48&amp;"_"&amp;'Measure-Level Adjustments Tab'!$B48,'Unit Savings Calculations'!$A$4:$A$421,0))</f>
        <v>10</v>
      </c>
      <c r="F48" s="287">
        <f>INDEX('Unit Savings Calculations'!$I$4:$I$421,MATCH('Measure-Level Adjustments Tab'!A48&amp;"_"&amp;'Measure-Level Adjustments Tab'!B48,'Unit Savings Calculations'!$A$4:$A$421,0))</f>
        <v>11</v>
      </c>
      <c r="G48" s="287" t="str">
        <f>'Unit Savings Calculations'!E44</f>
        <v>each</v>
      </c>
      <c r="H48" s="289">
        <f>'Unit Savings Calculations'!$F44*'Unit Savings Calculations'!J44</f>
        <v>19</v>
      </c>
      <c r="I48" s="289">
        <f>'Unit Savings Calculations'!$F44*'Unit Savings Calculations'!K44</f>
        <v>19</v>
      </c>
      <c r="J48" s="289">
        <f>'Unit Savings Calculations'!$F44*'Unit Savings Calculations'!L44</f>
        <v>18</v>
      </c>
      <c r="K48" s="289">
        <f>'Unit Savings Calculations'!$F44*'Unit Savings Calculations'!M44</f>
        <v>19</v>
      </c>
      <c r="L48" s="287" t="str">
        <f>'Unit Savings Calculations'!U44</f>
        <v>RS-HVC-ADTH-V02-180101</v>
      </c>
      <c r="M48" s="363" t="s">
        <v>830</v>
      </c>
      <c r="N48" s="290">
        <v>57.485999999999997</v>
      </c>
      <c r="O48" s="290">
        <v>57.485999999999997</v>
      </c>
      <c r="P48" s="290">
        <v>57.485999999999997</v>
      </c>
      <c r="Q48" s="290">
        <v>57.485999999999997</v>
      </c>
      <c r="R48" s="291">
        <f>'Unit Savings Calculations'!$G44</f>
        <v>1</v>
      </c>
      <c r="S48" s="291">
        <f>'Unit Savings Calculations'!$G44</f>
        <v>1</v>
      </c>
      <c r="T48" s="291">
        <f>'Unit Savings Calculations'!$G44</f>
        <v>1</v>
      </c>
      <c r="U48" s="291">
        <f>'Unit Savings Calculations'!$G44</f>
        <v>1</v>
      </c>
      <c r="V48" s="292">
        <f t="shared" si="44"/>
        <v>1092.2339999999999</v>
      </c>
      <c r="W48" s="292">
        <f t="shared" si="45"/>
        <v>1092.2339999999999</v>
      </c>
      <c r="X48" s="292">
        <f t="shared" si="46"/>
        <v>1034.748</v>
      </c>
      <c r="Y48" s="292">
        <f t="shared" si="47"/>
        <v>1092.2339999999999</v>
      </c>
      <c r="Z48" s="292">
        <f t="shared" si="48"/>
        <v>4311.45</v>
      </c>
      <c r="AA48" s="287"/>
      <c r="AB48" s="287"/>
      <c r="AC48" s="293">
        <f>'Unit Savings Calculations'!N44</f>
        <v>57.485999999999997</v>
      </c>
      <c r="AD48" s="287"/>
      <c r="AE48" s="292">
        <f t="shared" si="7"/>
        <v>1092.2339999999999</v>
      </c>
      <c r="AF48" s="289">
        <f t="shared" si="8"/>
        <v>0</v>
      </c>
      <c r="AG48" s="287"/>
      <c r="AH48" s="287">
        <f t="shared" si="9"/>
        <v>0</v>
      </c>
      <c r="AI48" s="290">
        <f>'Unit Savings Calculations'!O44</f>
        <v>57.485999999999997</v>
      </c>
      <c r="AJ48" s="287" t="s">
        <v>872</v>
      </c>
      <c r="AK48" s="292">
        <f t="shared" si="10"/>
        <v>1092.2339999999999</v>
      </c>
      <c r="AL48" s="289">
        <f t="shared" si="11"/>
        <v>0</v>
      </c>
      <c r="AM48" s="287"/>
      <c r="AN48" s="287"/>
      <c r="AO48" s="290">
        <f>'Unit Savings Calculations'!P44</f>
        <v>57.485999999999997</v>
      </c>
      <c r="AP48" s="287" t="s">
        <v>764</v>
      </c>
      <c r="AQ48" s="292">
        <f t="shared" si="12"/>
        <v>1034.748</v>
      </c>
      <c r="AR48" s="289">
        <f t="shared" si="13"/>
        <v>0</v>
      </c>
      <c r="AS48" s="287"/>
      <c r="AT48" s="287"/>
      <c r="AU48" s="290">
        <f>'Unit Savings Calculations'!Q44</f>
        <v>57.485999999999997</v>
      </c>
      <c r="AV48" s="287" t="str">
        <f t="shared" si="14"/>
        <v>n/a</v>
      </c>
      <c r="AW48" s="292">
        <f t="shared" si="15"/>
        <v>1092.2339999999999</v>
      </c>
      <c r="AX48" s="289">
        <f t="shared" si="16"/>
        <v>0</v>
      </c>
      <c r="AY48" s="292">
        <f t="shared" si="17"/>
        <v>1092.2339999999999</v>
      </c>
      <c r="AZ48" s="292">
        <f t="shared" si="18"/>
        <v>1092.2339999999999</v>
      </c>
      <c r="BA48" s="292">
        <f t="shared" si="19"/>
        <v>1034.748</v>
      </c>
      <c r="BB48" s="292">
        <f t="shared" si="20"/>
        <v>1092.2339999999999</v>
      </c>
      <c r="BC48" s="294">
        <f t="shared" si="21"/>
        <v>4311.45</v>
      </c>
      <c r="BD48" s="287" t="s">
        <v>764</v>
      </c>
      <c r="BE48" s="295" t="str">
        <f t="shared" si="22"/>
        <v>Exhibit 1.5B_R Peoples Gas EEPS_Adjustable_Savings_Goal_Template.xlsx, Unit Savings Calculations Tab</v>
      </c>
      <c r="BF48" s="297"/>
    </row>
    <row r="49" spans="1:58" ht="13.5" customHeight="1">
      <c r="A49" s="287" t="str">
        <f>'Unit Savings Calculations'!C45</f>
        <v>Res - MF Assessments</v>
      </c>
      <c r="B49" s="287" t="str">
        <f>'Unit Savings Calculations'!D45</f>
        <v>Advanced Thermostat - Boiler (Replace Manual)</v>
      </c>
      <c r="C49" s="288">
        <f t="shared" si="23"/>
        <v>1</v>
      </c>
      <c r="D49" s="287" t="str">
        <f>'Unit Savings Calculations'!T45</f>
        <v>5.3.16</v>
      </c>
      <c r="E49" s="287">
        <f>INDEX('Unit Savings Calculations'!$H$4:$H$421,MATCH('Measure-Level Adjustments Tab'!$A49&amp;"_"&amp;'Measure-Level Adjustments Tab'!$B49,'Unit Savings Calculations'!$A$4:$A$421,0))</f>
        <v>10</v>
      </c>
      <c r="F49" s="287">
        <f>INDEX('Unit Savings Calculations'!$I$4:$I$421,MATCH('Measure-Level Adjustments Tab'!A49&amp;"_"&amp;'Measure-Level Adjustments Tab'!B49,'Unit Savings Calculations'!$A$4:$A$421,0))</f>
        <v>11</v>
      </c>
      <c r="G49" s="287" t="str">
        <f>'Unit Savings Calculations'!E45</f>
        <v>each</v>
      </c>
      <c r="H49" s="289">
        <f>'Unit Savings Calculations'!$F45*'Unit Savings Calculations'!J45</f>
        <v>0</v>
      </c>
      <c r="I49" s="289">
        <f>'Unit Savings Calculations'!$F45*'Unit Savings Calculations'!K45</f>
        <v>0</v>
      </c>
      <c r="J49" s="289">
        <f>'Unit Savings Calculations'!$F45*'Unit Savings Calculations'!L45</f>
        <v>0</v>
      </c>
      <c r="K49" s="289">
        <f>'Unit Savings Calculations'!$F45*'Unit Savings Calculations'!M45</f>
        <v>0</v>
      </c>
      <c r="L49" s="287" t="str">
        <f>'Unit Savings Calculations'!U45</f>
        <v>RS-HVC-ADTH-V02-180101</v>
      </c>
      <c r="M49" s="363" t="s">
        <v>830</v>
      </c>
      <c r="N49" s="290">
        <v>69.669600000000003</v>
      </c>
      <c r="O49" s="290">
        <v>69.669600000000003</v>
      </c>
      <c r="P49" s="290">
        <v>69.669600000000003</v>
      </c>
      <c r="Q49" s="290">
        <v>69.669600000000003</v>
      </c>
      <c r="R49" s="291">
        <f>'Unit Savings Calculations'!$G45</f>
        <v>1</v>
      </c>
      <c r="S49" s="291">
        <f>'Unit Savings Calculations'!$G45</f>
        <v>1</v>
      </c>
      <c r="T49" s="291">
        <f>'Unit Savings Calculations'!$G45</f>
        <v>1</v>
      </c>
      <c r="U49" s="291">
        <f>'Unit Savings Calculations'!$G45</f>
        <v>1</v>
      </c>
      <c r="V49" s="292">
        <f t="shared" si="44"/>
        <v>0</v>
      </c>
      <c r="W49" s="292">
        <f t="shared" si="45"/>
        <v>0</v>
      </c>
      <c r="X49" s="292">
        <f t="shared" si="46"/>
        <v>0</v>
      </c>
      <c r="Y49" s="292">
        <f t="shared" si="47"/>
        <v>0</v>
      </c>
      <c r="Z49" s="292">
        <f t="shared" si="48"/>
        <v>0</v>
      </c>
      <c r="AA49" s="287"/>
      <c r="AB49" s="287"/>
      <c r="AC49" s="293">
        <f>'Unit Savings Calculations'!N45</f>
        <v>69.669600000000003</v>
      </c>
      <c r="AD49" s="287"/>
      <c r="AE49" s="292">
        <f t="shared" si="7"/>
        <v>0</v>
      </c>
      <c r="AF49" s="289">
        <f t="shared" si="8"/>
        <v>0</v>
      </c>
      <c r="AG49" s="287"/>
      <c r="AH49" s="287">
        <f t="shared" si="9"/>
        <v>0</v>
      </c>
      <c r="AI49" s="290">
        <f>'Unit Savings Calculations'!O45</f>
        <v>69.669600000000003</v>
      </c>
      <c r="AJ49" s="287" t="s">
        <v>872</v>
      </c>
      <c r="AK49" s="292">
        <f t="shared" si="10"/>
        <v>0</v>
      </c>
      <c r="AL49" s="289">
        <f t="shared" si="11"/>
        <v>0</v>
      </c>
      <c r="AM49" s="287"/>
      <c r="AN49" s="287"/>
      <c r="AO49" s="290">
        <f>'Unit Savings Calculations'!P45</f>
        <v>69.669600000000003</v>
      </c>
      <c r="AP49" s="287" t="s">
        <v>764</v>
      </c>
      <c r="AQ49" s="292">
        <f t="shared" si="12"/>
        <v>0</v>
      </c>
      <c r="AR49" s="289">
        <f t="shared" si="13"/>
        <v>0</v>
      </c>
      <c r="AS49" s="287"/>
      <c r="AT49" s="287"/>
      <c r="AU49" s="290">
        <f>'Unit Savings Calculations'!Q45</f>
        <v>69.669600000000003</v>
      </c>
      <c r="AV49" s="287" t="str">
        <f t="shared" si="14"/>
        <v>n/a</v>
      </c>
      <c r="AW49" s="292">
        <f t="shared" si="15"/>
        <v>0</v>
      </c>
      <c r="AX49" s="289">
        <f t="shared" si="16"/>
        <v>0</v>
      </c>
      <c r="AY49" s="292">
        <f t="shared" si="17"/>
        <v>0</v>
      </c>
      <c r="AZ49" s="292">
        <f t="shared" si="18"/>
        <v>0</v>
      </c>
      <c r="BA49" s="292">
        <f t="shared" si="19"/>
        <v>0</v>
      </c>
      <c r="BB49" s="292">
        <f t="shared" si="20"/>
        <v>0</v>
      </c>
      <c r="BC49" s="294">
        <f t="shared" si="21"/>
        <v>0</v>
      </c>
      <c r="BD49" s="287" t="s">
        <v>764</v>
      </c>
      <c r="BE49" s="295" t="str">
        <f t="shared" si="22"/>
        <v>Exhibit 1.5B_R Peoples Gas EEPS_Adjustable_Savings_Goal_Template.xlsx, Unit Savings Calculations Tab</v>
      </c>
      <c r="BF49" s="297"/>
    </row>
    <row r="50" spans="1:58" ht="13.5" customHeight="1">
      <c r="A50" s="287" t="str">
        <f>'Unit Savings Calculations'!C46</f>
        <v>Res - MF Assessments</v>
      </c>
      <c r="B50" s="287" t="str">
        <f>'Unit Savings Calculations'!D46</f>
        <v>Advanced Thermostat - Furnace (Replace Programmable)</v>
      </c>
      <c r="C50" s="288">
        <f t="shared" si="23"/>
        <v>1</v>
      </c>
      <c r="D50" s="287" t="str">
        <f>'Unit Savings Calculations'!T46</f>
        <v>5.3.16</v>
      </c>
      <c r="E50" s="287">
        <f>INDEX('Unit Savings Calculations'!$H$4:$H$421,MATCH('Measure-Level Adjustments Tab'!$A50&amp;"_"&amp;'Measure-Level Adjustments Tab'!$B50,'Unit Savings Calculations'!$A$4:$A$421,0))</f>
        <v>10</v>
      </c>
      <c r="F50" s="287">
        <f>INDEX('Unit Savings Calculations'!$I$4:$I$421,MATCH('Measure-Level Adjustments Tab'!A50&amp;"_"&amp;'Measure-Level Adjustments Tab'!B50,'Unit Savings Calculations'!$A$4:$A$421,0))</f>
        <v>11</v>
      </c>
      <c r="G50" s="287" t="str">
        <f>'Unit Savings Calculations'!E46</f>
        <v>each</v>
      </c>
      <c r="H50" s="289">
        <f>'Unit Savings Calculations'!$F46*'Unit Savings Calculations'!J46</f>
        <v>19</v>
      </c>
      <c r="I50" s="289">
        <f>'Unit Savings Calculations'!$F46*'Unit Savings Calculations'!K46</f>
        <v>19</v>
      </c>
      <c r="J50" s="289">
        <f>'Unit Savings Calculations'!$F46*'Unit Savings Calculations'!L46</f>
        <v>18</v>
      </c>
      <c r="K50" s="289">
        <f>'Unit Savings Calculations'!$F46*'Unit Savings Calculations'!M46</f>
        <v>19</v>
      </c>
      <c r="L50" s="287" t="str">
        <f>'Unit Savings Calculations'!U46</f>
        <v>RS-HVC-ADTH-V02-180101</v>
      </c>
      <c r="M50" s="363" t="s">
        <v>830</v>
      </c>
      <c r="N50" s="290">
        <v>36.582000000000001</v>
      </c>
      <c r="O50" s="290">
        <v>36.582000000000001</v>
      </c>
      <c r="P50" s="290">
        <v>36.582000000000001</v>
      </c>
      <c r="Q50" s="290">
        <v>36.582000000000001</v>
      </c>
      <c r="R50" s="291">
        <f>'Unit Savings Calculations'!$G46</f>
        <v>1</v>
      </c>
      <c r="S50" s="291">
        <f>'Unit Savings Calculations'!$G46</f>
        <v>1</v>
      </c>
      <c r="T50" s="291">
        <f>'Unit Savings Calculations'!$G46</f>
        <v>1</v>
      </c>
      <c r="U50" s="291">
        <f>'Unit Savings Calculations'!$G46</f>
        <v>1</v>
      </c>
      <c r="V50" s="292">
        <f t="shared" si="44"/>
        <v>695.05799999999999</v>
      </c>
      <c r="W50" s="292">
        <f t="shared" si="45"/>
        <v>695.05799999999999</v>
      </c>
      <c r="X50" s="292">
        <f t="shared" si="46"/>
        <v>658.476</v>
      </c>
      <c r="Y50" s="292">
        <f t="shared" si="47"/>
        <v>695.05799999999999</v>
      </c>
      <c r="Z50" s="292">
        <f t="shared" si="48"/>
        <v>2743.65</v>
      </c>
      <c r="AA50" s="287"/>
      <c r="AB50" s="287"/>
      <c r="AC50" s="293">
        <f>'Unit Savings Calculations'!N46</f>
        <v>36.582000000000001</v>
      </c>
      <c r="AD50" s="287"/>
      <c r="AE50" s="292">
        <f t="shared" si="7"/>
        <v>695.05799999999999</v>
      </c>
      <c r="AF50" s="289">
        <f t="shared" si="8"/>
        <v>0</v>
      </c>
      <c r="AG50" s="287"/>
      <c r="AH50" s="287">
        <f t="shared" si="9"/>
        <v>0</v>
      </c>
      <c r="AI50" s="290">
        <f>'Unit Savings Calculations'!O46</f>
        <v>36.582000000000001</v>
      </c>
      <c r="AJ50" s="287" t="s">
        <v>872</v>
      </c>
      <c r="AK50" s="292">
        <f t="shared" si="10"/>
        <v>695.05799999999999</v>
      </c>
      <c r="AL50" s="289">
        <f t="shared" si="11"/>
        <v>0</v>
      </c>
      <c r="AM50" s="287"/>
      <c r="AN50" s="287"/>
      <c r="AO50" s="290">
        <f>'Unit Savings Calculations'!P46</f>
        <v>36.582000000000001</v>
      </c>
      <c r="AP50" s="287" t="s">
        <v>764</v>
      </c>
      <c r="AQ50" s="292">
        <f t="shared" si="12"/>
        <v>658.476</v>
      </c>
      <c r="AR50" s="289">
        <f t="shared" si="13"/>
        <v>0</v>
      </c>
      <c r="AS50" s="287"/>
      <c r="AT50" s="287"/>
      <c r="AU50" s="290">
        <f>'Unit Savings Calculations'!Q46</f>
        <v>36.582000000000001</v>
      </c>
      <c r="AV50" s="287" t="str">
        <f t="shared" si="14"/>
        <v>n/a</v>
      </c>
      <c r="AW50" s="292">
        <f t="shared" si="15"/>
        <v>695.05799999999999</v>
      </c>
      <c r="AX50" s="289">
        <f t="shared" si="16"/>
        <v>0</v>
      </c>
      <c r="AY50" s="292">
        <f t="shared" si="17"/>
        <v>695.05799999999999</v>
      </c>
      <c r="AZ50" s="292">
        <f t="shared" si="18"/>
        <v>695.05799999999999</v>
      </c>
      <c r="BA50" s="292">
        <f t="shared" si="19"/>
        <v>658.476</v>
      </c>
      <c r="BB50" s="292">
        <f t="shared" si="20"/>
        <v>695.05799999999999</v>
      </c>
      <c r="BC50" s="294">
        <f t="shared" si="21"/>
        <v>2743.65</v>
      </c>
      <c r="BD50" s="287" t="s">
        <v>764</v>
      </c>
      <c r="BE50" s="295" t="str">
        <f t="shared" si="22"/>
        <v>Exhibit 1.5B_R Peoples Gas EEPS_Adjustable_Savings_Goal_Template.xlsx, Unit Savings Calculations Tab</v>
      </c>
      <c r="BF50" s="297"/>
    </row>
    <row r="51" spans="1:58" ht="13.5" customHeight="1">
      <c r="A51" s="287" t="str">
        <f>'Unit Savings Calculations'!C47</f>
        <v>Res - MF Assessments</v>
      </c>
      <c r="B51" s="287" t="str">
        <f>'Unit Savings Calculations'!D47</f>
        <v>Advanced Thermostat - Boiler (Replace Programmable)</v>
      </c>
      <c r="C51" s="288">
        <f t="shared" si="23"/>
        <v>1</v>
      </c>
      <c r="D51" s="287" t="str">
        <f>'Unit Savings Calculations'!T47</f>
        <v>5.3.16</v>
      </c>
      <c r="E51" s="287">
        <f>INDEX('Unit Savings Calculations'!$H$4:$H$421,MATCH('Measure-Level Adjustments Tab'!$A51&amp;"_"&amp;'Measure-Level Adjustments Tab'!$B51,'Unit Savings Calculations'!$A$4:$A$421,0))</f>
        <v>10</v>
      </c>
      <c r="F51" s="287">
        <f>INDEX('Unit Savings Calculations'!$I$4:$I$421,MATCH('Measure-Level Adjustments Tab'!A51&amp;"_"&amp;'Measure-Level Adjustments Tab'!B51,'Unit Savings Calculations'!$A$4:$A$421,0))</f>
        <v>11</v>
      </c>
      <c r="G51" s="287" t="str">
        <f>'Unit Savings Calculations'!E47</f>
        <v>each</v>
      </c>
      <c r="H51" s="289">
        <f>'Unit Savings Calculations'!$F47*'Unit Savings Calculations'!J47</f>
        <v>0</v>
      </c>
      <c r="I51" s="289">
        <f>'Unit Savings Calculations'!$F47*'Unit Savings Calculations'!K47</f>
        <v>0</v>
      </c>
      <c r="J51" s="289">
        <f>'Unit Savings Calculations'!$F47*'Unit Savings Calculations'!L47</f>
        <v>0</v>
      </c>
      <c r="K51" s="289">
        <f>'Unit Savings Calculations'!$F47*'Unit Savings Calculations'!M47</f>
        <v>0</v>
      </c>
      <c r="L51" s="287" t="str">
        <f>'Unit Savings Calculations'!U47</f>
        <v>RS-HVC-ADTH-V02-180101</v>
      </c>
      <c r="M51" s="363" t="s">
        <v>830</v>
      </c>
      <c r="N51" s="290">
        <v>44.3352</v>
      </c>
      <c r="O51" s="290">
        <v>44.3352</v>
      </c>
      <c r="P51" s="290">
        <v>44.3352</v>
      </c>
      <c r="Q51" s="290">
        <v>44.3352</v>
      </c>
      <c r="R51" s="291">
        <f>'Unit Savings Calculations'!$G47</f>
        <v>1</v>
      </c>
      <c r="S51" s="291">
        <f>'Unit Savings Calculations'!$G47</f>
        <v>1</v>
      </c>
      <c r="T51" s="291">
        <f>'Unit Savings Calculations'!$G47</f>
        <v>1</v>
      </c>
      <c r="U51" s="291">
        <f>'Unit Savings Calculations'!$G47</f>
        <v>1</v>
      </c>
      <c r="V51" s="292">
        <f t="shared" si="44"/>
        <v>0</v>
      </c>
      <c r="W51" s="292">
        <f t="shared" si="45"/>
        <v>0</v>
      </c>
      <c r="X51" s="292">
        <f t="shared" si="46"/>
        <v>0</v>
      </c>
      <c r="Y51" s="292">
        <f t="shared" si="47"/>
        <v>0</v>
      </c>
      <c r="Z51" s="292">
        <f t="shared" si="48"/>
        <v>0</v>
      </c>
      <c r="AA51" s="287"/>
      <c r="AB51" s="287"/>
      <c r="AC51" s="293">
        <f>'Unit Savings Calculations'!N47</f>
        <v>44.3352</v>
      </c>
      <c r="AD51" s="287"/>
      <c r="AE51" s="292">
        <f t="shared" si="7"/>
        <v>0</v>
      </c>
      <c r="AF51" s="289">
        <f t="shared" si="8"/>
        <v>0</v>
      </c>
      <c r="AG51" s="287"/>
      <c r="AH51" s="287">
        <f t="shared" si="9"/>
        <v>0</v>
      </c>
      <c r="AI51" s="290">
        <f>'Unit Savings Calculations'!O47</f>
        <v>44.3352</v>
      </c>
      <c r="AJ51" s="287" t="s">
        <v>872</v>
      </c>
      <c r="AK51" s="292">
        <f t="shared" si="10"/>
        <v>0</v>
      </c>
      <c r="AL51" s="289">
        <f t="shared" si="11"/>
        <v>0</v>
      </c>
      <c r="AM51" s="287"/>
      <c r="AN51" s="287"/>
      <c r="AO51" s="290">
        <f>'Unit Savings Calculations'!P47</f>
        <v>44.3352</v>
      </c>
      <c r="AP51" s="287" t="s">
        <v>764</v>
      </c>
      <c r="AQ51" s="292">
        <f t="shared" si="12"/>
        <v>0</v>
      </c>
      <c r="AR51" s="289">
        <f t="shared" si="13"/>
        <v>0</v>
      </c>
      <c r="AS51" s="287"/>
      <c r="AT51" s="287"/>
      <c r="AU51" s="290">
        <f>'Unit Savings Calculations'!Q47</f>
        <v>44.3352</v>
      </c>
      <c r="AV51" s="287" t="str">
        <f t="shared" si="14"/>
        <v>n/a</v>
      </c>
      <c r="AW51" s="292">
        <f t="shared" si="15"/>
        <v>0</v>
      </c>
      <c r="AX51" s="289">
        <f t="shared" si="16"/>
        <v>0</v>
      </c>
      <c r="AY51" s="292">
        <f t="shared" si="17"/>
        <v>0</v>
      </c>
      <c r="AZ51" s="292">
        <f t="shared" si="18"/>
        <v>0</v>
      </c>
      <c r="BA51" s="292">
        <f t="shared" si="19"/>
        <v>0</v>
      </c>
      <c r="BB51" s="292">
        <f t="shared" si="20"/>
        <v>0</v>
      </c>
      <c r="BC51" s="294">
        <f t="shared" si="21"/>
        <v>0</v>
      </c>
      <c r="BD51" s="287" t="s">
        <v>764</v>
      </c>
      <c r="BE51" s="295" t="str">
        <f t="shared" si="22"/>
        <v>Exhibit 1.5B_R Peoples Gas EEPS_Adjustable_Savings_Goal_Template.xlsx, Unit Savings Calculations Tab</v>
      </c>
      <c r="BF51" s="297"/>
    </row>
    <row r="52" spans="1:58" ht="13.5" customHeight="1">
      <c r="A52" s="287" t="str">
        <f>'Unit Savings Calculations'!C48</f>
        <v>Res - MF Assessments</v>
      </c>
      <c r="B52" s="287" t="str">
        <f>'Unit Savings Calculations'!D48</f>
        <v>Thermostat - Reprogram</v>
      </c>
      <c r="C52" s="288">
        <f t="shared" si="23"/>
        <v>1</v>
      </c>
      <c r="D52" s="287" t="str">
        <f>'Unit Savings Calculations'!T48</f>
        <v>5.3.11</v>
      </c>
      <c r="E52" s="287">
        <f>INDEX('Unit Savings Calculations'!$H$4:$H$421,MATCH('Measure-Level Adjustments Tab'!$A52&amp;"_"&amp;'Measure-Level Adjustments Tab'!$B52,'Unit Savings Calculations'!$A$4:$A$421,0))</f>
        <v>2</v>
      </c>
      <c r="F52" s="287">
        <f>INDEX('Unit Savings Calculations'!$I$4:$I$421,MATCH('Measure-Level Adjustments Tab'!A52&amp;"_"&amp;'Measure-Level Adjustments Tab'!B52,'Unit Savings Calculations'!$A$4:$A$421,0))</f>
        <v>2</v>
      </c>
      <c r="G52" s="287" t="str">
        <f>'Unit Savings Calculations'!E48</f>
        <v>each</v>
      </c>
      <c r="H52" s="289">
        <f>'Unit Savings Calculations'!$F48*'Unit Savings Calculations'!J48</f>
        <v>95</v>
      </c>
      <c r="I52" s="289">
        <f>'Unit Savings Calculations'!$F48*'Unit Savings Calculations'!K48</f>
        <v>95</v>
      </c>
      <c r="J52" s="289">
        <f>'Unit Savings Calculations'!$F48*'Unit Savings Calculations'!L48</f>
        <v>90</v>
      </c>
      <c r="K52" s="289">
        <f>'Unit Savings Calculations'!$F48*'Unit Savings Calculations'!M48</f>
        <v>95</v>
      </c>
      <c r="L52" s="287" t="str">
        <f>'Unit Savings Calculations'!U48</f>
        <v>RS-HVC-PROG-V04-180101</v>
      </c>
      <c r="M52" s="363" t="s">
        <v>830</v>
      </c>
      <c r="N52" s="290">
        <v>40.5015</v>
      </c>
      <c r="O52" s="290">
        <v>40.5015</v>
      </c>
      <c r="P52" s="290">
        <v>40.5015</v>
      </c>
      <c r="Q52" s="290">
        <v>40.5015</v>
      </c>
      <c r="R52" s="291">
        <f>'Unit Savings Calculations'!$G48</f>
        <v>0.85</v>
      </c>
      <c r="S52" s="291">
        <f>'Unit Savings Calculations'!$G48</f>
        <v>0.85</v>
      </c>
      <c r="T52" s="291">
        <f>'Unit Savings Calculations'!$G48</f>
        <v>0.85</v>
      </c>
      <c r="U52" s="291">
        <f>'Unit Savings Calculations'!$G48</f>
        <v>0.85</v>
      </c>
      <c r="V52" s="292">
        <f t="shared" si="44"/>
        <v>3270.4961249999997</v>
      </c>
      <c r="W52" s="292">
        <f t="shared" si="45"/>
        <v>3270.4961249999997</v>
      </c>
      <c r="X52" s="292">
        <f t="shared" si="46"/>
        <v>3098.3647500000002</v>
      </c>
      <c r="Y52" s="292">
        <f t="shared" si="47"/>
        <v>3270.4961249999997</v>
      </c>
      <c r="Z52" s="292">
        <f t="shared" si="48"/>
        <v>12909.853125</v>
      </c>
      <c r="AA52" s="287"/>
      <c r="AB52" s="287"/>
      <c r="AC52" s="293">
        <f>'Unit Savings Calculations'!N48</f>
        <v>40.5015</v>
      </c>
      <c r="AD52" s="287"/>
      <c r="AE52" s="292">
        <f t="shared" si="7"/>
        <v>3270.4961249999997</v>
      </c>
      <c r="AF52" s="289">
        <f t="shared" si="8"/>
        <v>0</v>
      </c>
      <c r="AG52" s="287"/>
      <c r="AH52" s="287">
        <f t="shared" si="9"/>
        <v>0</v>
      </c>
      <c r="AI52" s="290">
        <f>'Unit Savings Calculations'!O48</f>
        <v>40.5015</v>
      </c>
      <c r="AJ52" s="287" t="s">
        <v>872</v>
      </c>
      <c r="AK52" s="292">
        <f t="shared" si="10"/>
        <v>3270.4961249999997</v>
      </c>
      <c r="AL52" s="289">
        <f t="shared" si="11"/>
        <v>0</v>
      </c>
      <c r="AM52" s="287"/>
      <c r="AN52" s="287"/>
      <c r="AO52" s="290">
        <f>'Unit Savings Calculations'!P48</f>
        <v>40.5015</v>
      </c>
      <c r="AP52" s="287" t="s">
        <v>764</v>
      </c>
      <c r="AQ52" s="292">
        <f t="shared" si="12"/>
        <v>3098.3647500000002</v>
      </c>
      <c r="AR52" s="289">
        <f t="shared" si="13"/>
        <v>0</v>
      </c>
      <c r="AS52" s="287"/>
      <c r="AT52" s="287"/>
      <c r="AU52" s="290">
        <f>'Unit Savings Calculations'!Q48</f>
        <v>40.5015</v>
      </c>
      <c r="AV52" s="287" t="str">
        <f t="shared" si="14"/>
        <v>n/a</v>
      </c>
      <c r="AW52" s="292">
        <f t="shared" si="15"/>
        <v>3270.4961249999997</v>
      </c>
      <c r="AX52" s="289">
        <f t="shared" si="16"/>
        <v>0</v>
      </c>
      <c r="AY52" s="292">
        <f t="shared" si="17"/>
        <v>3270.4961249999997</v>
      </c>
      <c r="AZ52" s="292">
        <f t="shared" si="18"/>
        <v>3270.4961249999997</v>
      </c>
      <c r="BA52" s="292">
        <f t="shared" si="19"/>
        <v>3098.3647500000002</v>
      </c>
      <c r="BB52" s="292">
        <f t="shared" si="20"/>
        <v>3270.4961249999997</v>
      </c>
      <c r="BC52" s="294">
        <f t="shared" si="21"/>
        <v>12909.853125</v>
      </c>
      <c r="BD52" s="287" t="s">
        <v>764</v>
      </c>
      <c r="BE52" s="295" t="str">
        <f t="shared" si="22"/>
        <v>Exhibit 1.5B_R Peoples Gas EEPS_Adjustable_Savings_Goal_Template.xlsx, Unit Savings Calculations Tab</v>
      </c>
      <c r="BF52" s="297"/>
    </row>
    <row r="53" spans="1:58" ht="13.5" customHeight="1">
      <c r="A53" s="287" t="str">
        <f>'Unit Savings Calculations'!C49</f>
        <v>Res - MF Assessments</v>
      </c>
      <c r="B53" s="287" t="str">
        <f>'Unit Savings Calculations'!D49</f>
        <v>Gas Optimization</v>
      </c>
      <c r="C53" s="288">
        <f t="shared" si="23"/>
        <v>0</v>
      </c>
      <c r="D53" s="287" t="str">
        <f>'Unit Savings Calculations'!T49</f>
        <v>Custom</v>
      </c>
      <c r="E53" s="287">
        <f>INDEX('Unit Savings Calculations'!$H$4:$H$421,MATCH('Measure-Level Adjustments Tab'!$A53&amp;"_"&amp;'Measure-Level Adjustments Tab'!$B53,'Unit Savings Calculations'!$A$4:$A$421,0))</f>
        <v>5</v>
      </c>
      <c r="F53" s="287">
        <f>INDEX('Unit Savings Calculations'!$I$4:$I$421,MATCH('Measure-Level Adjustments Tab'!A53&amp;"_"&amp;'Measure-Level Adjustments Tab'!B53,'Unit Savings Calculations'!$A$4:$A$421,0))</f>
        <v>5</v>
      </c>
      <c r="G53" s="287" t="str">
        <f>'Unit Savings Calculations'!E49</f>
        <v>each</v>
      </c>
      <c r="H53" s="289">
        <f>'Unit Savings Calculations'!$F49*'Unit Savings Calculations'!J49</f>
        <v>3</v>
      </c>
      <c r="I53" s="289">
        <f>'Unit Savings Calculations'!$F49*'Unit Savings Calculations'!K49</f>
        <v>3</v>
      </c>
      <c r="J53" s="289">
        <f>'Unit Savings Calculations'!$F49*'Unit Savings Calculations'!L49</f>
        <v>3</v>
      </c>
      <c r="K53" s="289">
        <f>'Unit Savings Calculations'!$F49*'Unit Savings Calculations'!M49</f>
        <v>3</v>
      </c>
      <c r="L53" s="287" t="str">
        <f>'Unit Savings Calculations'!U49</f>
        <v>Custom</v>
      </c>
      <c r="M53" s="287" t="str">
        <f>'Unit Savings Calculations'!S49</f>
        <v>Custom</v>
      </c>
      <c r="N53" s="290">
        <v>4500</v>
      </c>
      <c r="O53" s="290">
        <v>4500</v>
      </c>
      <c r="P53" s="290">
        <v>4500</v>
      </c>
      <c r="Q53" s="290">
        <v>4500</v>
      </c>
      <c r="R53" s="291">
        <f>'Unit Savings Calculations'!$G49</f>
        <v>1.02</v>
      </c>
      <c r="S53" s="291">
        <f>'Unit Savings Calculations'!$G49</f>
        <v>1.02</v>
      </c>
      <c r="T53" s="291">
        <f>'Unit Savings Calculations'!$G49</f>
        <v>1.02</v>
      </c>
      <c r="U53" s="291">
        <f>'Unit Savings Calculations'!$G49</f>
        <v>1.02</v>
      </c>
      <c r="V53" s="292">
        <f t="shared" si="44"/>
        <v>13770</v>
      </c>
      <c r="W53" s="292">
        <f t="shared" si="45"/>
        <v>13770</v>
      </c>
      <c r="X53" s="292">
        <f t="shared" si="46"/>
        <v>13770</v>
      </c>
      <c r="Y53" s="292">
        <f t="shared" si="47"/>
        <v>13770</v>
      </c>
      <c r="Z53" s="292">
        <f t="shared" si="48"/>
        <v>55080</v>
      </c>
      <c r="AA53" s="364"/>
      <c r="AB53" s="364"/>
      <c r="AC53" s="365">
        <f>'Unit Savings Calculations'!N49</f>
        <v>4500</v>
      </c>
      <c r="AD53" s="364"/>
      <c r="AE53" s="366">
        <f t="shared" si="7"/>
        <v>13770</v>
      </c>
      <c r="AF53" s="367">
        <f t="shared" si="8"/>
        <v>0</v>
      </c>
      <c r="AG53" s="364"/>
      <c r="AH53" s="364">
        <f t="shared" si="9"/>
        <v>0</v>
      </c>
      <c r="AI53" s="368">
        <f>'Unit Savings Calculations'!O49</f>
        <v>4500</v>
      </c>
      <c r="AJ53" s="364" t="s">
        <v>872</v>
      </c>
      <c r="AK53" s="366">
        <f t="shared" si="10"/>
        <v>13770</v>
      </c>
      <c r="AL53" s="367">
        <f t="shared" si="11"/>
        <v>0</v>
      </c>
      <c r="AM53" s="364"/>
      <c r="AN53" s="364"/>
      <c r="AO53" s="368">
        <f>'Unit Savings Calculations'!P49</f>
        <v>4500</v>
      </c>
      <c r="AP53" s="364" t="s">
        <v>764</v>
      </c>
      <c r="AQ53" s="366">
        <f t="shared" si="12"/>
        <v>13770</v>
      </c>
      <c r="AR53" s="367">
        <f t="shared" si="13"/>
        <v>0</v>
      </c>
      <c r="AS53" s="364"/>
      <c r="AT53" s="364"/>
      <c r="AU53" s="368">
        <f>'Unit Savings Calculations'!Q49</f>
        <v>4500</v>
      </c>
      <c r="AV53" s="364" t="str">
        <f t="shared" si="14"/>
        <v>n/a</v>
      </c>
      <c r="AW53" s="366">
        <f t="shared" si="15"/>
        <v>13770</v>
      </c>
      <c r="AX53" s="367">
        <f t="shared" si="16"/>
        <v>0</v>
      </c>
      <c r="AY53" s="292">
        <f t="shared" si="17"/>
        <v>13770</v>
      </c>
      <c r="AZ53" s="292">
        <f t="shared" si="18"/>
        <v>13770</v>
      </c>
      <c r="BA53" s="292">
        <f t="shared" si="19"/>
        <v>13770</v>
      </c>
      <c r="BB53" s="292">
        <f t="shared" si="20"/>
        <v>13770</v>
      </c>
      <c r="BC53" s="294">
        <f t="shared" si="21"/>
        <v>55080</v>
      </c>
      <c r="BD53" s="287" t="s">
        <v>764</v>
      </c>
      <c r="BE53" s="295" t="str">
        <f t="shared" si="22"/>
        <v>Custom</v>
      </c>
      <c r="BF53" s="297"/>
    </row>
    <row r="54" spans="1:58" ht="13.5" customHeight="1">
      <c r="A54" s="287" t="str">
        <f>'Unit Savings Calculations'!C50</f>
        <v>Res - SF Rebates</v>
      </c>
      <c r="B54" s="287" t="str">
        <f>'Unit Savings Calculations'!D50</f>
        <v>Boiler - DHW Two-in-One</v>
      </c>
      <c r="C54" s="288">
        <f t="shared" si="23"/>
        <v>1</v>
      </c>
      <c r="D54" s="287" t="str">
        <f>'Unit Savings Calculations'!T50</f>
        <v>5.4.2</v>
      </c>
      <c r="E54" s="287">
        <f>INDEX('Unit Savings Calculations'!$H$4:$H$421,MATCH('Measure-Level Adjustments Tab'!$A54&amp;"_"&amp;'Measure-Level Adjustments Tab'!$B54,'Unit Savings Calculations'!$A$4:$A$421,0))</f>
        <v>13</v>
      </c>
      <c r="F54" s="287">
        <f>INDEX('Unit Savings Calculations'!$I$4:$I$421,MATCH('Measure-Level Adjustments Tab'!A54&amp;"_"&amp;'Measure-Level Adjustments Tab'!B54,'Unit Savings Calculations'!$A$4:$A$421,0))</f>
        <v>13</v>
      </c>
      <c r="G54" s="287" t="str">
        <f>'Unit Savings Calculations'!E50</f>
        <v>each</v>
      </c>
      <c r="H54" s="289">
        <f>'Unit Savings Calculations'!$F50*'Unit Savings Calculations'!J50</f>
        <v>7</v>
      </c>
      <c r="I54" s="289">
        <f>'Unit Savings Calculations'!$F50*'Unit Savings Calculations'!K50</f>
        <v>7</v>
      </c>
      <c r="J54" s="289">
        <f>'Unit Savings Calculations'!$F50*'Unit Savings Calculations'!L50</f>
        <v>7</v>
      </c>
      <c r="K54" s="289">
        <f>'Unit Savings Calculations'!$F50*'Unit Savings Calculations'!M50</f>
        <v>7</v>
      </c>
      <c r="L54" s="287" t="str">
        <f>'Unit Savings Calculations'!U50</f>
        <v>RS-HWE-GWHT-V07-180101</v>
      </c>
      <c r="M54" s="363" t="s">
        <v>830</v>
      </c>
      <c r="N54" s="290">
        <v>129.76174002144199</v>
      </c>
      <c r="O54" s="290">
        <v>129.76174002144199</v>
      </c>
      <c r="P54" s="290">
        <v>129.76174002144199</v>
      </c>
      <c r="Q54" s="290">
        <v>129.76174002144199</v>
      </c>
      <c r="R54" s="291">
        <f>'Unit Savings Calculations'!$G50</f>
        <v>0.64</v>
      </c>
      <c r="S54" s="291">
        <f>'Unit Savings Calculations'!$G50</f>
        <v>0.64</v>
      </c>
      <c r="T54" s="291">
        <f>'Unit Savings Calculations'!$G50</f>
        <v>0.64</v>
      </c>
      <c r="U54" s="291">
        <f>'Unit Savings Calculations'!$G50</f>
        <v>0.64</v>
      </c>
      <c r="V54" s="292">
        <f t="shared" si="44"/>
        <v>581.33259529606016</v>
      </c>
      <c r="W54" s="292">
        <f t="shared" si="45"/>
        <v>581.33259529606016</v>
      </c>
      <c r="X54" s="292">
        <f t="shared" si="46"/>
        <v>581.33259529606016</v>
      </c>
      <c r="Y54" s="292">
        <f t="shared" si="47"/>
        <v>581.33259529606016</v>
      </c>
      <c r="Z54" s="292">
        <f t="shared" si="48"/>
        <v>2325.3303811842407</v>
      </c>
      <c r="AA54" s="287"/>
      <c r="AB54" s="287"/>
      <c r="AC54" s="293">
        <f>'Unit Savings Calculations'!N50</f>
        <v>129.76174002144199</v>
      </c>
      <c r="AD54" s="287"/>
      <c r="AE54" s="292">
        <f t="shared" si="7"/>
        <v>581.33259529606016</v>
      </c>
      <c r="AF54" s="289">
        <f t="shared" si="8"/>
        <v>0</v>
      </c>
      <c r="AG54" s="287"/>
      <c r="AH54" s="287">
        <f t="shared" si="9"/>
        <v>0</v>
      </c>
      <c r="AI54" s="290">
        <f>'Unit Savings Calculations'!O50</f>
        <v>129.76174002144199</v>
      </c>
      <c r="AJ54" s="287" t="s">
        <v>1006</v>
      </c>
      <c r="AK54" s="292">
        <f t="shared" si="10"/>
        <v>581.33259529606016</v>
      </c>
      <c r="AL54" s="289">
        <f t="shared" si="11"/>
        <v>0</v>
      </c>
      <c r="AM54" s="287"/>
      <c r="AN54" s="287"/>
      <c r="AO54" s="290">
        <f>'Unit Savings Calculations'!P50</f>
        <v>129.76174002144199</v>
      </c>
      <c r="AP54" s="287" t="s">
        <v>764</v>
      </c>
      <c r="AQ54" s="292">
        <f t="shared" si="12"/>
        <v>581.33259529606016</v>
      </c>
      <c r="AR54" s="289">
        <f t="shared" si="13"/>
        <v>0</v>
      </c>
      <c r="AS54" s="287"/>
      <c r="AT54" s="287"/>
      <c r="AU54" s="290">
        <f>'Unit Savings Calculations'!Q50</f>
        <v>129.76174002144199</v>
      </c>
      <c r="AV54" s="287" t="str">
        <f t="shared" si="14"/>
        <v>n/a</v>
      </c>
      <c r="AW54" s="292">
        <f t="shared" si="15"/>
        <v>581.33259529606016</v>
      </c>
      <c r="AX54" s="289">
        <f t="shared" si="16"/>
        <v>0</v>
      </c>
      <c r="AY54" s="292">
        <f t="shared" si="17"/>
        <v>581.33259529606016</v>
      </c>
      <c r="AZ54" s="292">
        <f t="shared" si="18"/>
        <v>581.33259529606016</v>
      </c>
      <c r="BA54" s="292">
        <f t="shared" si="19"/>
        <v>581.33259529606016</v>
      </c>
      <c r="BB54" s="292">
        <f t="shared" si="20"/>
        <v>581.33259529606016</v>
      </c>
      <c r="BC54" s="294">
        <f t="shared" si="21"/>
        <v>2325.3303811842407</v>
      </c>
      <c r="BD54" s="287" t="s">
        <v>764</v>
      </c>
      <c r="BE54" s="295" t="str">
        <f t="shared" si="22"/>
        <v>Exhibit 1.5B_R Peoples Gas EEPS_Adjustable_Savings_Goal_Template.xlsx, Unit Savings Calculations Tab</v>
      </c>
      <c r="BF54" s="297"/>
    </row>
    <row r="55" spans="1:58" ht="13.5" customHeight="1">
      <c r="A55" s="287" t="str">
        <f>'Unit Savings Calculations'!C51</f>
        <v>Res - SF Rebates</v>
      </c>
      <c r="B55" s="287" t="str">
        <f>'Unit Savings Calculations'!D51</f>
        <v>Boiler ≥90% AFUE, &lt;300MBh</v>
      </c>
      <c r="C55" s="288">
        <f t="shared" si="23"/>
        <v>1</v>
      </c>
      <c r="D55" s="287" t="str">
        <f>'Unit Savings Calculations'!T51</f>
        <v>5.3.6</v>
      </c>
      <c r="E55" s="287">
        <f>INDEX('Unit Savings Calculations'!$H$4:$H$421,MATCH('Measure-Level Adjustments Tab'!$A55&amp;"_"&amp;'Measure-Level Adjustments Tab'!$B55,'Unit Savings Calculations'!$A$4:$A$421,0))</f>
        <v>25</v>
      </c>
      <c r="F55" s="287">
        <f>INDEX('Unit Savings Calculations'!$I$4:$I$421,MATCH('Measure-Level Adjustments Tab'!A55&amp;"_"&amp;'Measure-Level Adjustments Tab'!B55,'Unit Savings Calculations'!$A$4:$A$421,0))</f>
        <v>25</v>
      </c>
      <c r="G55" s="287" t="str">
        <f>'Unit Savings Calculations'!E51</f>
        <v>each</v>
      </c>
      <c r="H55" s="289">
        <f>'Unit Savings Calculations'!$F51*'Unit Savings Calculations'!J51</f>
        <v>21</v>
      </c>
      <c r="I55" s="289">
        <f>'Unit Savings Calculations'!$F51*'Unit Savings Calculations'!K51</f>
        <v>21</v>
      </c>
      <c r="J55" s="289">
        <f>'Unit Savings Calculations'!$F51*'Unit Savings Calculations'!L51</f>
        <v>21</v>
      </c>
      <c r="K55" s="289">
        <f>'Unit Savings Calculations'!$F51*'Unit Savings Calculations'!M51</f>
        <v>21</v>
      </c>
      <c r="L55" s="287" t="str">
        <f>'Unit Savings Calculations'!U51</f>
        <v>RS-HVC-GHEB-V06-180101</v>
      </c>
      <c r="M55" s="363" t="s">
        <v>830</v>
      </c>
      <c r="N55" s="290">
        <v>132.03252032520317</v>
      </c>
      <c r="O55" s="290">
        <v>132.03252032520317</v>
      </c>
      <c r="P55" s="290">
        <v>132.03252032520317</v>
      </c>
      <c r="Q55" s="290">
        <v>132.03252032520317</v>
      </c>
      <c r="R55" s="291">
        <f>'Unit Savings Calculations'!$G51</f>
        <v>0.64</v>
      </c>
      <c r="S55" s="291">
        <f>'Unit Savings Calculations'!$G51</f>
        <v>0.64</v>
      </c>
      <c r="T55" s="291">
        <f>'Unit Savings Calculations'!$G51</f>
        <v>0.64</v>
      </c>
      <c r="U55" s="291">
        <f>'Unit Savings Calculations'!$G51</f>
        <v>0.64</v>
      </c>
      <c r="V55" s="292">
        <f t="shared" si="44"/>
        <v>1774.5170731707306</v>
      </c>
      <c r="W55" s="292">
        <f t="shared" si="45"/>
        <v>1774.5170731707306</v>
      </c>
      <c r="X55" s="292">
        <f t="shared" si="46"/>
        <v>1774.5170731707306</v>
      </c>
      <c r="Y55" s="292">
        <f t="shared" si="47"/>
        <v>1774.5170731707306</v>
      </c>
      <c r="Z55" s="292">
        <f t="shared" si="48"/>
        <v>7098.0682926829222</v>
      </c>
      <c r="AA55" s="287"/>
      <c r="AB55" s="287"/>
      <c r="AC55" s="293">
        <f>'Unit Savings Calculations'!N51</f>
        <v>95.219512195122036</v>
      </c>
      <c r="AD55" s="287"/>
      <c r="AE55" s="292">
        <f t="shared" si="7"/>
        <v>1279.7502439024402</v>
      </c>
      <c r="AF55" s="289">
        <f t="shared" si="8"/>
        <v>-494.76682926829039</v>
      </c>
      <c r="AG55" s="287"/>
      <c r="AH55" s="287">
        <f t="shared" si="9"/>
        <v>0</v>
      </c>
      <c r="AI55" s="290">
        <f>'Unit Savings Calculations'!O51</f>
        <v>95.219512195122036</v>
      </c>
      <c r="AJ55" s="287" t="s">
        <v>994</v>
      </c>
      <c r="AK55" s="292">
        <f t="shared" si="10"/>
        <v>1279.7502439024402</v>
      </c>
      <c r="AL55" s="289">
        <f t="shared" si="11"/>
        <v>-494.76682926829039</v>
      </c>
      <c r="AM55" s="287"/>
      <c r="AN55" s="287"/>
      <c r="AO55" s="290">
        <f>'Unit Savings Calculations'!P51</f>
        <v>95.219512195122036</v>
      </c>
      <c r="AP55" s="287" t="s">
        <v>764</v>
      </c>
      <c r="AQ55" s="292">
        <f t="shared" si="12"/>
        <v>1279.7502439024402</v>
      </c>
      <c r="AR55" s="289">
        <f t="shared" si="13"/>
        <v>-494.76682926829039</v>
      </c>
      <c r="AS55" s="287"/>
      <c r="AT55" s="287"/>
      <c r="AU55" s="290">
        <f>'Unit Savings Calculations'!Q51</f>
        <v>95.219512195122036</v>
      </c>
      <c r="AV55" s="287" t="str">
        <f t="shared" si="14"/>
        <v>n/a</v>
      </c>
      <c r="AW55" s="292">
        <f t="shared" si="15"/>
        <v>1279.7502439024402</v>
      </c>
      <c r="AX55" s="289">
        <f t="shared" si="16"/>
        <v>-494.76682926829039</v>
      </c>
      <c r="AY55" s="292">
        <f t="shared" si="17"/>
        <v>1279.7502439024402</v>
      </c>
      <c r="AZ55" s="292">
        <f t="shared" si="18"/>
        <v>1279.7502439024402</v>
      </c>
      <c r="BA55" s="292">
        <f t="shared" si="19"/>
        <v>1279.7502439024402</v>
      </c>
      <c r="BB55" s="292">
        <f t="shared" si="20"/>
        <v>1279.7502439024402</v>
      </c>
      <c r="BC55" s="294">
        <f t="shared" si="21"/>
        <v>5119.0009756097606</v>
      </c>
      <c r="BD55" s="287" t="s">
        <v>764</v>
      </c>
      <c r="BE55" s="295" t="str">
        <f t="shared" si="22"/>
        <v>Exhibit 1.5B_R Peoples Gas EEPS_Adjustable_Savings_Goal_Template.xlsx, Unit Savings Calculations Tab</v>
      </c>
      <c r="BF55" s="297"/>
    </row>
    <row r="56" spans="1:58" ht="13.5" customHeight="1">
      <c r="A56" s="287" t="str">
        <f>'Unit Savings Calculations'!C52</f>
        <v>Res - SF Rebates</v>
      </c>
      <c r="B56" s="287" t="str">
        <f>'Unit Savings Calculations'!D52</f>
        <v>Boiler ≥95% AFUE, &lt;300MBh</v>
      </c>
      <c r="C56" s="288">
        <f t="shared" si="23"/>
        <v>1</v>
      </c>
      <c r="D56" s="287" t="str">
        <f>'Unit Savings Calculations'!T52</f>
        <v>5.3.6</v>
      </c>
      <c r="E56" s="287">
        <f>INDEX('Unit Savings Calculations'!$H$4:$H$421,MATCH('Measure-Level Adjustments Tab'!$A56&amp;"_"&amp;'Measure-Level Adjustments Tab'!$B56,'Unit Savings Calculations'!$A$4:$A$421,0))</f>
        <v>25</v>
      </c>
      <c r="F56" s="287">
        <f>INDEX('Unit Savings Calculations'!$I$4:$I$421,MATCH('Measure-Level Adjustments Tab'!A56&amp;"_"&amp;'Measure-Level Adjustments Tab'!B56,'Unit Savings Calculations'!$A$4:$A$421,0))</f>
        <v>25</v>
      </c>
      <c r="G56" s="287" t="str">
        <f>'Unit Savings Calculations'!E52</f>
        <v>each</v>
      </c>
      <c r="H56" s="289">
        <f>'Unit Savings Calculations'!$F52*'Unit Savings Calculations'!J52</f>
        <v>11</v>
      </c>
      <c r="I56" s="289">
        <f>'Unit Savings Calculations'!$F52*'Unit Savings Calculations'!K52</f>
        <v>11</v>
      </c>
      <c r="J56" s="289">
        <f>'Unit Savings Calculations'!$F52*'Unit Savings Calculations'!L52</f>
        <v>11</v>
      </c>
      <c r="K56" s="289">
        <f>'Unit Savings Calculations'!$F52*'Unit Savings Calculations'!M52</f>
        <v>11</v>
      </c>
      <c r="L56" s="287" t="str">
        <f>'Unit Savings Calculations'!U52</f>
        <v>RS-HVC-GHEB-V06-180101</v>
      </c>
      <c r="M56" s="363" t="s">
        <v>830</v>
      </c>
      <c r="N56" s="290">
        <v>203.26059050064188</v>
      </c>
      <c r="O56" s="290">
        <v>203.26059050064188</v>
      </c>
      <c r="P56" s="290">
        <v>203.26059050064188</v>
      </c>
      <c r="Q56" s="290">
        <v>203.26059050064188</v>
      </c>
      <c r="R56" s="291">
        <f>'Unit Savings Calculations'!$G52</f>
        <v>0.64</v>
      </c>
      <c r="S56" s="291">
        <f>'Unit Savings Calculations'!$G52</f>
        <v>0.64</v>
      </c>
      <c r="T56" s="291">
        <f>'Unit Savings Calculations'!$G52</f>
        <v>0.64</v>
      </c>
      <c r="U56" s="291">
        <f>'Unit Savings Calculations'!$G52</f>
        <v>0.64</v>
      </c>
      <c r="V56" s="292">
        <f t="shared" si="44"/>
        <v>1430.9545571245189</v>
      </c>
      <c r="W56" s="292">
        <f t="shared" si="45"/>
        <v>1430.9545571245189</v>
      </c>
      <c r="X56" s="292">
        <f t="shared" si="46"/>
        <v>1430.9545571245189</v>
      </c>
      <c r="Y56" s="292">
        <f t="shared" si="47"/>
        <v>1430.9545571245189</v>
      </c>
      <c r="Z56" s="292">
        <f t="shared" si="48"/>
        <v>5723.8182284980758</v>
      </c>
      <c r="AA56" s="287"/>
      <c r="AB56" s="287"/>
      <c r="AC56" s="293">
        <f>'Unit Savings Calculations'!N52</f>
        <v>154.73170731707307</v>
      </c>
      <c r="AD56" s="287"/>
      <c r="AE56" s="292">
        <f t="shared" si="7"/>
        <v>1089.3112195121946</v>
      </c>
      <c r="AF56" s="289">
        <f t="shared" si="8"/>
        <v>-341.64333761232433</v>
      </c>
      <c r="AG56" s="287"/>
      <c r="AH56" s="287">
        <f t="shared" si="9"/>
        <v>0</v>
      </c>
      <c r="AI56" s="290">
        <f>'Unit Savings Calculations'!O52</f>
        <v>154.73170731707307</v>
      </c>
      <c r="AJ56" s="287" t="s">
        <v>994</v>
      </c>
      <c r="AK56" s="292">
        <f t="shared" si="10"/>
        <v>1089.3112195121946</v>
      </c>
      <c r="AL56" s="289">
        <f t="shared" si="11"/>
        <v>-341.64333761232433</v>
      </c>
      <c r="AM56" s="287"/>
      <c r="AN56" s="287"/>
      <c r="AO56" s="290">
        <f>'Unit Savings Calculations'!P52</f>
        <v>154.73170731707307</v>
      </c>
      <c r="AP56" s="287" t="s">
        <v>764</v>
      </c>
      <c r="AQ56" s="292">
        <f t="shared" si="12"/>
        <v>1089.3112195121946</v>
      </c>
      <c r="AR56" s="289">
        <f t="shared" si="13"/>
        <v>-341.64333761232433</v>
      </c>
      <c r="AS56" s="287"/>
      <c r="AT56" s="287"/>
      <c r="AU56" s="290">
        <f>'Unit Savings Calculations'!Q52</f>
        <v>154.73170731707307</v>
      </c>
      <c r="AV56" s="287" t="str">
        <f t="shared" si="14"/>
        <v>n/a</v>
      </c>
      <c r="AW56" s="292">
        <f t="shared" si="15"/>
        <v>1089.3112195121946</v>
      </c>
      <c r="AX56" s="289">
        <f t="shared" si="16"/>
        <v>-341.64333761232433</v>
      </c>
      <c r="AY56" s="292">
        <f t="shared" si="17"/>
        <v>1089.3112195121946</v>
      </c>
      <c r="AZ56" s="292">
        <f t="shared" si="18"/>
        <v>1089.3112195121946</v>
      </c>
      <c r="BA56" s="292">
        <f t="shared" si="19"/>
        <v>1089.3112195121946</v>
      </c>
      <c r="BB56" s="292">
        <f t="shared" si="20"/>
        <v>1089.3112195121946</v>
      </c>
      <c r="BC56" s="294">
        <f t="shared" si="21"/>
        <v>4357.2448780487784</v>
      </c>
      <c r="BD56" s="287" t="s">
        <v>764</v>
      </c>
      <c r="BE56" s="295" t="str">
        <f t="shared" si="22"/>
        <v>Exhibit 1.5B_R Peoples Gas EEPS_Adjustable_Savings_Goal_Template.xlsx, Unit Savings Calculations Tab</v>
      </c>
      <c r="BF56" s="297"/>
    </row>
    <row r="57" spans="1:58" ht="13.5" customHeight="1">
      <c r="A57" s="287" t="str">
        <f>'Unit Savings Calculations'!C53</f>
        <v>Res - SF Rebates</v>
      </c>
      <c r="B57" s="287" t="str">
        <f>'Unit Savings Calculations'!D53</f>
        <v>Furnace &gt;95% AFUE</v>
      </c>
      <c r="C57" s="288">
        <f t="shared" si="23"/>
        <v>1</v>
      </c>
      <c r="D57" s="287" t="str">
        <f>'Unit Savings Calculations'!T53</f>
        <v>5.3.7</v>
      </c>
      <c r="E57" s="287">
        <f>INDEX('Unit Savings Calculations'!$H$4:$H$421,MATCH('Measure-Level Adjustments Tab'!$A57&amp;"_"&amp;'Measure-Level Adjustments Tab'!$B57,'Unit Savings Calculations'!$A$4:$A$421,0))</f>
        <v>20</v>
      </c>
      <c r="F57" s="287">
        <f>INDEX('Unit Savings Calculations'!$I$4:$I$421,MATCH('Measure-Level Adjustments Tab'!A57&amp;"_"&amp;'Measure-Level Adjustments Tab'!B57,'Unit Savings Calculations'!$A$4:$A$421,0))</f>
        <v>20</v>
      </c>
      <c r="G57" s="287" t="str">
        <f>'Unit Savings Calculations'!E53</f>
        <v>each</v>
      </c>
      <c r="H57" s="289">
        <f>'Unit Savings Calculations'!$F53*'Unit Savings Calculations'!J53</f>
        <v>1104</v>
      </c>
      <c r="I57" s="289">
        <f>'Unit Savings Calculations'!$F53*'Unit Savings Calculations'!K53</f>
        <v>1104</v>
      </c>
      <c r="J57" s="289">
        <f>'Unit Savings Calculations'!$F53*'Unit Savings Calculations'!L53</f>
        <v>1104</v>
      </c>
      <c r="K57" s="289">
        <f>'Unit Savings Calculations'!$F53*'Unit Savings Calculations'!M53</f>
        <v>1104</v>
      </c>
      <c r="L57" s="287" t="str">
        <f>'Unit Savings Calculations'!U53</f>
        <v>RS-HVC-GHEF-V07-180101</v>
      </c>
      <c r="M57" s="363" t="s">
        <v>830</v>
      </c>
      <c r="N57" s="290">
        <v>175.86032388663946</v>
      </c>
      <c r="O57" s="290">
        <v>175.86032388663946</v>
      </c>
      <c r="P57" s="290">
        <v>175.86032388663946</v>
      </c>
      <c r="Q57" s="290">
        <v>175.86032388663946</v>
      </c>
      <c r="R57" s="291">
        <f>'Unit Savings Calculations'!$G53</f>
        <v>0.64</v>
      </c>
      <c r="S57" s="291">
        <f>'Unit Savings Calculations'!$G53</f>
        <v>0.64</v>
      </c>
      <c r="T57" s="291">
        <f>'Unit Savings Calculations'!$G53</f>
        <v>0.64</v>
      </c>
      <c r="U57" s="291">
        <f>'Unit Savings Calculations'!$G53</f>
        <v>0.64</v>
      </c>
      <c r="V57" s="292">
        <f t="shared" si="44"/>
        <v>124255.87044534399</v>
      </c>
      <c r="W57" s="292">
        <f t="shared" si="45"/>
        <v>124255.87044534399</v>
      </c>
      <c r="X57" s="292">
        <f t="shared" si="46"/>
        <v>124255.87044534399</v>
      </c>
      <c r="Y57" s="292">
        <f t="shared" si="47"/>
        <v>124255.87044534399</v>
      </c>
      <c r="Z57" s="292">
        <f t="shared" si="48"/>
        <v>497023.48178137594</v>
      </c>
      <c r="AA57" s="287"/>
      <c r="AB57" s="287"/>
      <c r="AC57" s="293">
        <f>'Unit Savings Calculations'!N53</f>
        <v>156.41025641025624</v>
      </c>
      <c r="AD57" s="287"/>
      <c r="AE57" s="292">
        <f t="shared" si="7"/>
        <v>110513.23076923065</v>
      </c>
      <c r="AF57" s="289">
        <f t="shared" si="8"/>
        <v>-13742.639676113336</v>
      </c>
      <c r="AG57" s="287"/>
      <c r="AH57" s="287">
        <f t="shared" si="9"/>
        <v>0</v>
      </c>
      <c r="AI57" s="290">
        <f>'Unit Savings Calculations'!O53</f>
        <v>156.41025641025624</v>
      </c>
      <c r="AJ57" s="287" t="s">
        <v>994</v>
      </c>
      <c r="AK57" s="292">
        <f t="shared" si="10"/>
        <v>110513.23076923065</v>
      </c>
      <c r="AL57" s="289">
        <f t="shared" si="11"/>
        <v>-13742.639676113336</v>
      </c>
      <c r="AM57" s="287"/>
      <c r="AN57" s="287"/>
      <c r="AO57" s="290">
        <f>'Unit Savings Calculations'!P53</f>
        <v>156.41025641025624</v>
      </c>
      <c r="AP57" s="287" t="s">
        <v>764</v>
      </c>
      <c r="AQ57" s="292">
        <f t="shared" si="12"/>
        <v>110513.23076923065</v>
      </c>
      <c r="AR57" s="289">
        <f t="shared" si="13"/>
        <v>-13742.639676113336</v>
      </c>
      <c r="AS57" s="287"/>
      <c r="AT57" s="287"/>
      <c r="AU57" s="290">
        <f>'Unit Savings Calculations'!Q53</f>
        <v>156.41025641025624</v>
      </c>
      <c r="AV57" s="287" t="str">
        <f t="shared" si="14"/>
        <v>n/a</v>
      </c>
      <c r="AW57" s="292">
        <f t="shared" si="15"/>
        <v>110513.23076923065</v>
      </c>
      <c r="AX57" s="289">
        <f t="shared" si="16"/>
        <v>-13742.639676113336</v>
      </c>
      <c r="AY57" s="292">
        <f t="shared" si="17"/>
        <v>110513.23076923065</v>
      </c>
      <c r="AZ57" s="292">
        <f t="shared" si="18"/>
        <v>110513.23076923065</v>
      </c>
      <c r="BA57" s="292">
        <f t="shared" si="19"/>
        <v>110513.23076923065</v>
      </c>
      <c r="BB57" s="292">
        <f t="shared" si="20"/>
        <v>110513.23076923065</v>
      </c>
      <c r="BC57" s="294">
        <f t="shared" si="21"/>
        <v>442052.9230769226</v>
      </c>
      <c r="BD57" s="287" t="s">
        <v>764</v>
      </c>
      <c r="BE57" s="295" t="str">
        <f t="shared" si="22"/>
        <v>Exhibit 1.5B_R Peoples Gas EEPS_Adjustable_Savings_Goal_Template.xlsx, Unit Savings Calculations Tab</v>
      </c>
      <c r="BF57" s="297"/>
    </row>
    <row r="58" spans="1:58" ht="13.5" customHeight="1">
      <c r="A58" s="287" t="str">
        <f>'Unit Savings Calculations'!C54</f>
        <v>Res - SF Rebates</v>
      </c>
      <c r="B58" s="287" t="str">
        <f>'Unit Savings Calculations'!D54</f>
        <v>Furnace &gt;97% AFUE</v>
      </c>
      <c r="C58" s="288">
        <f t="shared" si="23"/>
        <v>1</v>
      </c>
      <c r="D58" s="287" t="str">
        <f>'Unit Savings Calculations'!T54</f>
        <v>5.3.7</v>
      </c>
      <c r="E58" s="287">
        <f>INDEX('Unit Savings Calculations'!$H$4:$H$421,MATCH('Measure-Level Adjustments Tab'!$A58&amp;"_"&amp;'Measure-Level Adjustments Tab'!$B58,'Unit Savings Calculations'!$A$4:$A$421,0))</f>
        <v>20</v>
      </c>
      <c r="F58" s="287">
        <f>INDEX('Unit Savings Calculations'!$I$4:$I$421,MATCH('Measure-Level Adjustments Tab'!A58&amp;"_"&amp;'Measure-Level Adjustments Tab'!B58,'Unit Savings Calculations'!$A$4:$A$421,0))</f>
        <v>20</v>
      </c>
      <c r="G58" s="287" t="str">
        <f>'Unit Savings Calculations'!E54</f>
        <v>each</v>
      </c>
      <c r="H58" s="289">
        <f>'Unit Savings Calculations'!$F54*'Unit Savings Calculations'!J54</f>
        <v>242</v>
      </c>
      <c r="I58" s="289">
        <f>'Unit Savings Calculations'!$F54*'Unit Savings Calculations'!K54</f>
        <v>242</v>
      </c>
      <c r="J58" s="289">
        <f>'Unit Savings Calculations'!$F54*'Unit Savings Calculations'!L54</f>
        <v>242</v>
      </c>
      <c r="K58" s="289">
        <f>'Unit Savings Calculations'!$F54*'Unit Savings Calculations'!M54</f>
        <v>242</v>
      </c>
      <c r="L58" s="287" t="str">
        <f>'Unit Savings Calculations'!U54</f>
        <v>RS-HVC-GHEF-V07-180101</v>
      </c>
      <c r="M58" s="363" t="s">
        <v>830</v>
      </c>
      <c r="N58" s="290">
        <v>195.19891620407071</v>
      </c>
      <c r="O58" s="290">
        <v>195.19891620407071</v>
      </c>
      <c r="P58" s="290">
        <v>195.19891620407071</v>
      </c>
      <c r="Q58" s="290">
        <v>195.19891620407071</v>
      </c>
      <c r="R58" s="291">
        <f>'Unit Savings Calculations'!$G54</f>
        <v>0.64</v>
      </c>
      <c r="S58" s="291">
        <f>'Unit Savings Calculations'!$G54</f>
        <v>0.64</v>
      </c>
      <c r="T58" s="291">
        <f>'Unit Savings Calculations'!$G54</f>
        <v>0.64</v>
      </c>
      <c r="U58" s="291">
        <f>'Unit Savings Calculations'!$G54</f>
        <v>0.64</v>
      </c>
      <c r="V58" s="292">
        <f t="shared" si="44"/>
        <v>30232.408141686476</v>
      </c>
      <c r="W58" s="292">
        <f t="shared" si="45"/>
        <v>30232.408141686476</v>
      </c>
      <c r="X58" s="292">
        <f t="shared" si="46"/>
        <v>30232.408141686476</v>
      </c>
      <c r="Y58" s="292">
        <f t="shared" si="47"/>
        <v>30232.408141686476</v>
      </c>
      <c r="Z58" s="292">
        <f t="shared" si="48"/>
        <v>120929.6325667459</v>
      </c>
      <c r="AA58" s="287"/>
      <c r="AB58" s="287"/>
      <c r="AC58" s="293">
        <f>'Unit Savings Calculations'!N54</f>
        <v>177.26495726495722</v>
      </c>
      <c r="AD58" s="287"/>
      <c r="AE58" s="292">
        <f t="shared" si="7"/>
        <v>27454.796581196577</v>
      </c>
      <c r="AF58" s="289">
        <f t="shared" si="8"/>
        <v>-2777.6115604898987</v>
      </c>
      <c r="AG58" s="287"/>
      <c r="AH58" s="287">
        <f t="shared" si="9"/>
        <v>0</v>
      </c>
      <c r="AI58" s="290">
        <f>'Unit Savings Calculations'!O54</f>
        <v>177.26495726495722</v>
      </c>
      <c r="AJ58" s="287" t="s">
        <v>994</v>
      </c>
      <c r="AK58" s="292">
        <f t="shared" si="10"/>
        <v>27454.796581196577</v>
      </c>
      <c r="AL58" s="289">
        <f t="shared" si="11"/>
        <v>-2777.6115604898987</v>
      </c>
      <c r="AM58" s="287"/>
      <c r="AN58" s="287"/>
      <c r="AO58" s="290">
        <f>'Unit Savings Calculations'!P54</f>
        <v>177.26495726495722</v>
      </c>
      <c r="AP58" s="287" t="s">
        <v>764</v>
      </c>
      <c r="AQ58" s="292">
        <f t="shared" si="12"/>
        <v>27454.796581196577</v>
      </c>
      <c r="AR58" s="289">
        <f t="shared" si="13"/>
        <v>-2777.6115604898987</v>
      </c>
      <c r="AS58" s="287"/>
      <c r="AT58" s="287"/>
      <c r="AU58" s="290">
        <f>'Unit Savings Calculations'!Q54</f>
        <v>177.26495726495722</v>
      </c>
      <c r="AV58" s="287" t="str">
        <f t="shared" si="14"/>
        <v>n/a</v>
      </c>
      <c r="AW58" s="292">
        <f t="shared" si="15"/>
        <v>27454.796581196577</v>
      </c>
      <c r="AX58" s="289">
        <f t="shared" si="16"/>
        <v>-2777.6115604898987</v>
      </c>
      <c r="AY58" s="292">
        <f t="shared" si="17"/>
        <v>27454.796581196577</v>
      </c>
      <c r="AZ58" s="292">
        <f t="shared" si="18"/>
        <v>27454.796581196577</v>
      </c>
      <c r="BA58" s="292">
        <f t="shared" si="19"/>
        <v>27454.796581196577</v>
      </c>
      <c r="BB58" s="292">
        <f t="shared" si="20"/>
        <v>27454.796581196577</v>
      </c>
      <c r="BC58" s="294">
        <f t="shared" si="21"/>
        <v>109819.18632478631</v>
      </c>
      <c r="BD58" s="287" t="s">
        <v>764</v>
      </c>
      <c r="BE58" s="295" t="str">
        <f t="shared" si="22"/>
        <v>Exhibit 1.5B_R Peoples Gas EEPS_Adjustable_Savings_Goal_Template.xlsx, Unit Savings Calculations Tab</v>
      </c>
      <c r="BF58" s="297"/>
    </row>
    <row r="59" spans="1:58" ht="13.5" customHeight="1">
      <c r="A59" s="287" t="str">
        <f>'Unit Savings Calculations'!C55</f>
        <v>Res - SF Rebates</v>
      </c>
      <c r="B59" s="287" t="str">
        <f>'Unit Savings Calculations'!D55</f>
        <v>Programmable Thermostat - Furnace</v>
      </c>
      <c r="C59" s="288">
        <f t="shared" si="23"/>
        <v>1</v>
      </c>
      <c r="D59" s="287" t="str">
        <f>'Unit Savings Calculations'!T55</f>
        <v>5.3.11</v>
      </c>
      <c r="E59" s="287">
        <f>INDEX('Unit Savings Calculations'!$H$4:$H$421,MATCH('Measure-Level Adjustments Tab'!$A59&amp;"_"&amp;'Measure-Level Adjustments Tab'!$B59,'Unit Savings Calculations'!$A$4:$A$421,0))</f>
        <v>5</v>
      </c>
      <c r="F59" s="287">
        <f>INDEX('Unit Savings Calculations'!$I$4:$I$421,MATCH('Measure-Level Adjustments Tab'!A59&amp;"_"&amp;'Measure-Level Adjustments Tab'!B59,'Unit Savings Calculations'!$A$4:$A$421,0))</f>
        <v>8</v>
      </c>
      <c r="G59" s="287" t="str">
        <f>'Unit Savings Calculations'!E55</f>
        <v>each</v>
      </c>
      <c r="H59" s="289">
        <f>'Unit Savings Calculations'!$F55*'Unit Savings Calculations'!J55</f>
        <v>0</v>
      </c>
      <c r="I59" s="289">
        <f>'Unit Savings Calculations'!$F55*'Unit Savings Calculations'!K55</f>
        <v>0</v>
      </c>
      <c r="J59" s="289">
        <f>'Unit Savings Calculations'!$F55*'Unit Savings Calculations'!L55</f>
        <v>0</v>
      </c>
      <c r="K59" s="289">
        <f>'Unit Savings Calculations'!$F55*'Unit Savings Calculations'!M55</f>
        <v>0</v>
      </c>
      <c r="L59" s="287" t="str">
        <f>'Unit Savings Calculations'!U55</f>
        <v>RS-HVC-PROG-V04-180101</v>
      </c>
      <c r="M59" s="363" t="s">
        <v>830</v>
      </c>
      <c r="N59" s="290">
        <v>34.893600000000006</v>
      </c>
      <c r="O59" s="290">
        <v>34.893600000000006</v>
      </c>
      <c r="P59" s="290">
        <v>34.893600000000006</v>
      </c>
      <c r="Q59" s="290">
        <v>34.893600000000006</v>
      </c>
      <c r="R59" s="291">
        <f>'Unit Savings Calculations'!$G55</f>
        <v>0.64</v>
      </c>
      <c r="S59" s="291">
        <f>'Unit Savings Calculations'!$G55</f>
        <v>0.64</v>
      </c>
      <c r="T59" s="291">
        <f>'Unit Savings Calculations'!$G55</f>
        <v>0.64</v>
      </c>
      <c r="U59" s="291">
        <f>'Unit Savings Calculations'!$G55</f>
        <v>0.64</v>
      </c>
      <c r="V59" s="292">
        <f t="shared" si="44"/>
        <v>0</v>
      </c>
      <c r="W59" s="292">
        <f t="shared" si="45"/>
        <v>0</v>
      </c>
      <c r="X59" s="292">
        <f t="shared" si="46"/>
        <v>0</v>
      </c>
      <c r="Y59" s="292">
        <f t="shared" si="47"/>
        <v>0</v>
      </c>
      <c r="Z59" s="292">
        <f t="shared" si="48"/>
        <v>0</v>
      </c>
      <c r="AA59" s="287"/>
      <c r="AB59" s="287"/>
      <c r="AC59" s="293">
        <f>'Unit Savings Calculations'!N55</f>
        <v>34.893600000000006</v>
      </c>
      <c r="AD59" s="287"/>
      <c r="AE59" s="292">
        <f t="shared" si="7"/>
        <v>0</v>
      </c>
      <c r="AF59" s="289">
        <f t="shared" si="8"/>
        <v>0</v>
      </c>
      <c r="AG59" s="287"/>
      <c r="AH59" s="287">
        <f t="shared" si="9"/>
        <v>0</v>
      </c>
      <c r="AI59" s="290">
        <f>'Unit Savings Calculations'!O55</f>
        <v>34.893600000000006</v>
      </c>
      <c r="AJ59" s="287" t="s">
        <v>872</v>
      </c>
      <c r="AK59" s="292">
        <f t="shared" si="10"/>
        <v>0</v>
      </c>
      <c r="AL59" s="289">
        <f t="shared" si="11"/>
        <v>0</v>
      </c>
      <c r="AM59" s="287"/>
      <c r="AN59" s="287"/>
      <c r="AO59" s="290">
        <f>'Unit Savings Calculations'!P55</f>
        <v>34.893600000000006</v>
      </c>
      <c r="AP59" s="287" t="s">
        <v>764</v>
      </c>
      <c r="AQ59" s="292">
        <f t="shared" si="12"/>
        <v>0</v>
      </c>
      <c r="AR59" s="289">
        <f t="shared" si="13"/>
        <v>0</v>
      </c>
      <c r="AS59" s="287"/>
      <c r="AT59" s="287"/>
      <c r="AU59" s="290">
        <f>'Unit Savings Calculations'!Q55</f>
        <v>34.893600000000006</v>
      </c>
      <c r="AV59" s="287" t="str">
        <f t="shared" si="14"/>
        <v>n/a</v>
      </c>
      <c r="AW59" s="292">
        <f t="shared" si="15"/>
        <v>0</v>
      </c>
      <c r="AX59" s="289">
        <f t="shared" si="16"/>
        <v>0</v>
      </c>
      <c r="AY59" s="292">
        <f t="shared" si="17"/>
        <v>0</v>
      </c>
      <c r="AZ59" s="292">
        <f t="shared" si="18"/>
        <v>0</v>
      </c>
      <c r="BA59" s="292">
        <f t="shared" si="19"/>
        <v>0</v>
      </c>
      <c r="BB59" s="292">
        <f t="shared" si="20"/>
        <v>0</v>
      </c>
      <c r="BC59" s="294">
        <f t="shared" si="21"/>
        <v>0</v>
      </c>
      <c r="BD59" s="287" t="s">
        <v>764</v>
      </c>
      <c r="BE59" s="295" t="str">
        <f t="shared" si="22"/>
        <v>Exhibit 1.5B_R Peoples Gas EEPS_Adjustable_Savings_Goal_Template.xlsx, Unit Savings Calculations Tab</v>
      </c>
      <c r="BF59" s="297"/>
    </row>
    <row r="60" spans="1:58" ht="13.5" customHeight="1">
      <c r="A60" s="287" t="str">
        <f>'Unit Savings Calculations'!C56</f>
        <v>Res - SF Rebates</v>
      </c>
      <c r="B60" s="287" t="str">
        <f>'Unit Savings Calculations'!D56</f>
        <v>Programmable Thermostat - Boiler</v>
      </c>
      <c r="C60" s="288">
        <f t="shared" si="23"/>
        <v>1</v>
      </c>
      <c r="D60" s="287" t="str">
        <f>'Unit Savings Calculations'!T56</f>
        <v>5.3.11</v>
      </c>
      <c r="E60" s="287">
        <f>INDEX('Unit Savings Calculations'!$H$4:$H$421,MATCH('Measure-Level Adjustments Tab'!$A60&amp;"_"&amp;'Measure-Level Adjustments Tab'!$B60,'Unit Savings Calculations'!$A$4:$A$421,0))</f>
        <v>5</v>
      </c>
      <c r="F60" s="287">
        <f>INDEX('Unit Savings Calculations'!$I$4:$I$421,MATCH('Measure-Level Adjustments Tab'!A60&amp;"_"&amp;'Measure-Level Adjustments Tab'!B60,'Unit Savings Calculations'!$A$4:$A$421,0))</f>
        <v>8</v>
      </c>
      <c r="G60" s="287" t="str">
        <f>'Unit Savings Calculations'!E56</f>
        <v>each</v>
      </c>
      <c r="H60" s="289">
        <f>'Unit Savings Calculations'!$F56*'Unit Savings Calculations'!J56</f>
        <v>0</v>
      </c>
      <c r="I60" s="289">
        <f>'Unit Savings Calculations'!$F56*'Unit Savings Calculations'!K56</f>
        <v>0</v>
      </c>
      <c r="J60" s="289">
        <f>'Unit Savings Calculations'!$F56*'Unit Savings Calculations'!L56</f>
        <v>0</v>
      </c>
      <c r="K60" s="289">
        <f>'Unit Savings Calculations'!$F56*'Unit Savings Calculations'!M56</f>
        <v>0</v>
      </c>
      <c r="L60" s="287" t="str">
        <f>'Unit Savings Calculations'!U56</f>
        <v>RS-HVC-PROG-V04-180101</v>
      </c>
      <c r="M60" s="363" t="s">
        <v>830</v>
      </c>
      <c r="N60" s="290">
        <v>42.28896000000001</v>
      </c>
      <c r="O60" s="290">
        <v>42.28896000000001</v>
      </c>
      <c r="P60" s="290">
        <v>42.28896000000001</v>
      </c>
      <c r="Q60" s="290">
        <v>42.28896000000001</v>
      </c>
      <c r="R60" s="291">
        <f>'Unit Savings Calculations'!$G56</f>
        <v>0.64</v>
      </c>
      <c r="S60" s="291">
        <f>'Unit Savings Calculations'!$G56</f>
        <v>0.64</v>
      </c>
      <c r="T60" s="291">
        <f>'Unit Savings Calculations'!$G56</f>
        <v>0.64</v>
      </c>
      <c r="U60" s="291">
        <f>'Unit Savings Calculations'!$G56</f>
        <v>0.64</v>
      </c>
      <c r="V60" s="292">
        <f t="shared" si="44"/>
        <v>0</v>
      </c>
      <c r="W60" s="292">
        <f t="shared" si="45"/>
        <v>0</v>
      </c>
      <c r="X60" s="292">
        <f t="shared" si="46"/>
        <v>0</v>
      </c>
      <c r="Y60" s="292">
        <f t="shared" si="47"/>
        <v>0</v>
      </c>
      <c r="Z60" s="292">
        <f t="shared" si="48"/>
        <v>0</v>
      </c>
      <c r="AA60" s="287"/>
      <c r="AB60" s="287"/>
      <c r="AC60" s="293">
        <f>'Unit Savings Calculations'!N56</f>
        <v>42.28896000000001</v>
      </c>
      <c r="AD60" s="287"/>
      <c r="AE60" s="292">
        <f t="shared" si="7"/>
        <v>0</v>
      </c>
      <c r="AF60" s="289">
        <f t="shared" si="8"/>
        <v>0</v>
      </c>
      <c r="AG60" s="287"/>
      <c r="AH60" s="287">
        <f t="shared" si="9"/>
        <v>0</v>
      </c>
      <c r="AI60" s="290">
        <f>'Unit Savings Calculations'!O56</f>
        <v>42.28896000000001</v>
      </c>
      <c r="AJ60" s="287" t="s">
        <v>872</v>
      </c>
      <c r="AK60" s="292">
        <f t="shared" si="10"/>
        <v>0</v>
      </c>
      <c r="AL60" s="289">
        <f t="shared" si="11"/>
        <v>0</v>
      </c>
      <c r="AM60" s="287"/>
      <c r="AN60" s="287"/>
      <c r="AO60" s="290">
        <f>'Unit Savings Calculations'!P56</f>
        <v>42.28896000000001</v>
      </c>
      <c r="AP60" s="287" t="s">
        <v>764</v>
      </c>
      <c r="AQ60" s="292">
        <f t="shared" si="12"/>
        <v>0</v>
      </c>
      <c r="AR60" s="289">
        <f t="shared" si="13"/>
        <v>0</v>
      </c>
      <c r="AS60" s="287"/>
      <c r="AT60" s="287"/>
      <c r="AU60" s="290">
        <f>'Unit Savings Calculations'!Q56</f>
        <v>42.28896000000001</v>
      </c>
      <c r="AV60" s="287" t="str">
        <f t="shared" si="14"/>
        <v>n/a</v>
      </c>
      <c r="AW60" s="292">
        <f t="shared" si="15"/>
        <v>0</v>
      </c>
      <c r="AX60" s="289">
        <f t="shared" si="16"/>
        <v>0</v>
      </c>
      <c r="AY60" s="292">
        <f t="shared" si="17"/>
        <v>0</v>
      </c>
      <c r="AZ60" s="292">
        <f t="shared" si="18"/>
        <v>0</v>
      </c>
      <c r="BA60" s="292">
        <f t="shared" si="19"/>
        <v>0</v>
      </c>
      <c r="BB60" s="292">
        <f t="shared" si="20"/>
        <v>0</v>
      </c>
      <c r="BC60" s="294">
        <f t="shared" si="21"/>
        <v>0</v>
      </c>
      <c r="BD60" s="287" t="s">
        <v>764</v>
      </c>
      <c r="BE60" s="295" t="str">
        <f t="shared" si="22"/>
        <v>Exhibit 1.5B_R Peoples Gas EEPS_Adjustable_Savings_Goal_Template.xlsx, Unit Savings Calculations Tab</v>
      </c>
      <c r="BF60" s="297"/>
    </row>
    <row r="61" spans="1:58" ht="13.5" customHeight="1">
      <c r="A61" s="287" t="str">
        <f>'Unit Savings Calculations'!C57</f>
        <v>Res - SF Rebates</v>
      </c>
      <c r="B61" s="287" t="str">
        <f>'Unit Savings Calculations'!D57</f>
        <v>Advanced Thermostat - Furnace (Replace Manual)</v>
      </c>
      <c r="C61" s="288">
        <f t="shared" si="23"/>
        <v>1</v>
      </c>
      <c r="D61" s="287" t="str">
        <f>'Unit Savings Calculations'!T57</f>
        <v>5.3.16</v>
      </c>
      <c r="E61" s="287">
        <f>INDEX('Unit Savings Calculations'!$H$4:$H$421,MATCH('Measure-Level Adjustments Tab'!$A61&amp;"_"&amp;'Measure-Level Adjustments Tab'!$B61,'Unit Savings Calculations'!$A$4:$A$421,0))</f>
        <v>10</v>
      </c>
      <c r="F61" s="287">
        <f>INDEX('Unit Savings Calculations'!$I$4:$I$421,MATCH('Measure-Level Adjustments Tab'!A61&amp;"_"&amp;'Measure-Level Adjustments Tab'!B61,'Unit Savings Calculations'!$A$4:$A$421,0))</f>
        <v>11</v>
      </c>
      <c r="G61" s="287" t="str">
        <f>'Unit Savings Calculations'!E57</f>
        <v>each</v>
      </c>
      <c r="H61" s="289">
        <f>'Unit Savings Calculations'!$F57*'Unit Savings Calculations'!J57</f>
        <v>1242</v>
      </c>
      <c r="I61" s="289">
        <f>'Unit Savings Calculations'!$F57*'Unit Savings Calculations'!K57</f>
        <v>1242</v>
      </c>
      <c r="J61" s="289">
        <f>'Unit Savings Calculations'!$F57*'Unit Savings Calculations'!L57</f>
        <v>1242</v>
      </c>
      <c r="K61" s="289">
        <f>'Unit Savings Calculations'!$F57*'Unit Savings Calculations'!M57</f>
        <v>1242</v>
      </c>
      <c r="L61" s="287" t="str">
        <f>'Unit Savings Calculations'!U57</f>
        <v>RS-HVC-ADTH-V02-180101</v>
      </c>
      <c r="M61" s="363" t="s">
        <v>830</v>
      </c>
      <c r="N61" s="290">
        <v>88.44</v>
      </c>
      <c r="O61" s="290">
        <v>88.44</v>
      </c>
      <c r="P61" s="290">
        <v>88.44</v>
      </c>
      <c r="Q61" s="290">
        <v>88.44</v>
      </c>
      <c r="R61" s="291">
        <f>'Unit Savings Calculations'!$G57</f>
        <v>1</v>
      </c>
      <c r="S61" s="291">
        <f>'Unit Savings Calculations'!$G57</f>
        <v>1</v>
      </c>
      <c r="T61" s="291">
        <f>'Unit Savings Calculations'!$G57</f>
        <v>1</v>
      </c>
      <c r="U61" s="291">
        <f>'Unit Savings Calculations'!$G57</f>
        <v>1</v>
      </c>
      <c r="V61" s="292">
        <f t="shared" si="44"/>
        <v>109842.48</v>
      </c>
      <c r="W61" s="292">
        <f t="shared" si="45"/>
        <v>109842.48</v>
      </c>
      <c r="X61" s="292">
        <f t="shared" si="46"/>
        <v>109842.48</v>
      </c>
      <c r="Y61" s="292">
        <f t="shared" si="47"/>
        <v>109842.48</v>
      </c>
      <c r="Z61" s="292">
        <f t="shared" si="48"/>
        <v>439369.92</v>
      </c>
      <c r="AA61" s="287"/>
      <c r="AB61" s="287"/>
      <c r="AC61" s="293">
        <f>'Unit Savings Calculations'!N57</f>
        <v>88.44</v>
      </c>
      <c r="AD61" s="287"/>
      <c r="AE61" s="292">
        <f t="shared" si="7"/>
        <v>109842.48</v>
      </c>
      <c r="AF61" s="289">
        <f t="shared" si="8"/>
        <v>0</v>
      </c>
      <c r="AG61" s="287"/>
      <c r="AH61" s="287">
        <f t="shared" si="9"/>
        <v>0</v>
      </c>
      <c r="AI61" s="290">
        <f>'Unit Savings Calculations'!O57</f>
        <v>88.44</v>
      </c>
      <c r="AJ61" s="287" t="s">
        <v>872</v>
      </c>
      <c r="AK61" s="292">
        <f t="shared" si="10"/>
        <v>109842.48</v>
      </c>
      <c r="AL61" s="289">
        <f t="shared" si="11"/>
        <v>0</v>
      </c>
      <c r="AM61" s="287"/>
      <c r="AN61" s="287"/>
      <c r="AO61" s="290">
        <f>'Unit Savings Calculations'!P57</f>
        <v>88.44</v>
      </c>
      <c r="AP61" s="287" t="s">
        <v>764</v>
      </c>
      <c r="AQ61" s="292">
        <f t="shared" si="12"/>
        <v>109842.48</v>
      </c>
      <c r="AR61" s="289">
        <f t="shared" si="13"/>
        <v>0</v>
      </c>
      <c r="AS61" s="287"/>
      <c r="AT61" s="287"/>
      <c r="AU61" s="290">
        <f>'Unit Savings Calculations'!Q57</f>
        <v>88.44</v>
      </c>
      <c r="AV61" s="287" t="str">
        <f t="shared" si="14"/>
        <v>n/a</v>
      </c>
      <c r="AW61" s="292">
        <f t="shared" si="15"/>
        <v>109842.48</v>
      </c>
      <c r="AX61" s="289">
        <f t="shared" si="16"/>
        <v>0</v>
      </c>
      <c r="AY61" s="292">
        <f t="shared" si="17"/>
        <v>109842.48</v>
      </c>
      <c r="AZ61" s="292">
        <f t="shared" si="18"/>
        <v>109842.48</v>
      </c>
      <c r="BA61" s="292">
        <f t="shared" si="19"/>
        <v>109842.48</v>
      </c>
      <c r="BB61" s="292">
        <f t="shared" si="20"/>
        <v>109842.48</v>
      </c>
      <c r="BC61" s="294">
        <f t="shared" si="21"/>
        <v>439369.92</v>
      </c>
      <c r="BD61" s="287" t="s">
        <v>764</v>
      </c>
      <c r="BE61" s="295" t="str">
        <f t="shared" si="22"/>
        <v>Exhibit 1.5B_R Peoples Gas EEPS_Adjustable_Savings_Goal_Template.xlsx, Unit Savings Calculations Tab</v>
      </c>
      <c r="BF61" s="297"/>
    </row>
    <row r="62" spans="1:58" ht="13.5" customHeight="1">
      <c r="A62" s="287" t="str">
        <f>'Unit Savings Calculations'!C58</f>
        <v>Res - SF Rebates</v>
      </c>
      <c r="B62" s="287" t="str">
        <f>'Unit Savings Calculations'!D58</f>
        <v>Advanced Thermostat - Boiler (Replace Manual)</v>
      </c>
      <c r="C62" s="288">
        <f t="shared" si="23"/>
        <v>1</v>
      </c>
      <c r="D62" s="287" t="str">
        <f>'Unit Savings Calculations'!T58</f>
        <v>5.3.16</v>
      </c>
      <c r="E62" s="287">
        <f>INDEX('Unit Savings Calculations'!$H$4:$H$421,MATCH('Measure-Level Adjustments Tab'!$A62&amp;"_"&amp;'Measure-Level Adjustments Tab'!$B62,'Unit Savings Calculations'!$A$4:$A$421,0))</f>
        <v>10</v>
      </c>
      <c r="F62" s="287">
        <f>INDEX('Unit Savings Calculations'!$I$4:$I$421,MATCH('Measure-Level Adjustments Tab'!A62&amp;"_"&amp;'Measure-Level Adjustments Tab'!B62,'Unit Savings Calculations'!$A$4:$A$421,0))</f>
        <v>11</v>
      </c>
      <c r="G62" s="287" t="str">
        <f>'Unit Savings Calculations'!E58</f>
        <v>each</v>
      </c>
      <c r="H62" s="289">
        <f>'Unit Savings Calculations'!$F58*'Unit Savings Calculations'!J58</f>
        <v>440</v>
      </c>
      <c r="I62" s="289">
        <f>'Unit Savings Calculations'!$F58*'Unit Savings Calculations'!K58</f>
        <v>440</v>
      </c>
      <c r="J62" s="289">
        <f>'Unit Savings Calculations'!$F58*'Unit Savings Calculations'!L58</f>
        <v>440</v>
      </c>
      <c r="K62" s="289">
        <f>'Unit Savings Calculations'!$F58*'Unit Savings Calculations'!M58</f>
        <v>440</v>
      </c>
      <c r="L62" s="287" t="str">
        <f>'Unit Savings Calculations'!U58</f>
        <v>RS-HVC-ADTH-V02-180101</v>
      </c>
      <c r="M62" s="363" t="s">
        <v>830</v>
      </c>
      <c r="N62" s="290">
        <v>107.184</v>
      </c>
      <c r="O62" s="290">
        <v>107.184</v>
      </c>
      <c r="P62" s="290">
        <v>107.184</v>
      </c>
      <c r="Q62" s="290">
        <v>107.184</v>
      </c>
      <c r="R62" s="291">
        <f>'Unit Savings Calculations'!$G58</f>
        <v>1</v>
      </c>
      <c r="S62" s="291">
        <f>'Unit Savings Calculations'!$G58</f>
        <v>1</v>
      </c>
      <c r="T62" s="291">
        <f>'Unit Savings Calculations'!$G58</f>
        <v>1</v>
      </c>
      <c r="U62" s="291">
        <f>'Unit Savings Calculations'!$G58</f>
        <v>1</v>
      </c>
      <c r="V62" s="292">
        <f t="shared" si="44"/>
        <v>47160.959999999999</v>
      </c>
      <c r="W62" s="292">
        <f t="shared" si="45"/>
        <v>47160.959999999999</v>
      </c>
      <c r="X62" s="292">
        <f t="shared" si="46"/>
        <v>47160.959999999999</v>
      </c>
      <c r="Y62" s="292">
        <f t="shared" si="47"/>
        <v>47160.959999999999</v>
      </c>
      <c r="Z62" s="292">
        <f t="shared" si="48"/>
        <v>188643.84</v>
      </c>
      <c r="AA62" s="287"/>
      <c r="AB62" s="287"/>
      <c r="AC62" s="293">
        <f>'Unit Savings Calculations'!N58</f>
        <v>107.184</v>
      </c>
      <c r="AD62" s="287"/>
      <c r="AE62" s="292">
        <f t="shared" si="7"/>
        <v>47160.959999999999</v>
      </c>
      <c r="AF62" s="289">
        <f t="shared" si="8"/>
        <v>0</v>
      </c>
      <c r="AG62" s="287"/>
      <c r="AH62" s="287">
        <f t="shared" si="9"/>
        <v>0</v>
      </c>
      <c r="AI62" s="290">
        <f>'Unit Savings Calculations'!O58</f>
        <v>107.184</v>
      </c>
      <c r="AJ62" s="287" t="s">
        <v>872</v>
      </c>
      <c r="AK62" s="292">
        <f t="shared" si="10"/>
        <v>47160.959999999999</v>
      </c>
      <c r="AL62" s="289">
        <f t="shared" si="11"/>
        <v>0</v>
      </c>
      <c r="AM62" s="287"/>
      <c r="AN62" s="287"/>
      <c r="AO62" s="290">
        <f>'Unit Savings Calculations'!P58</f>
        <v>107.184</v>
      </c>
      <c r="AP62" s="287" t="s">
        <v>764</v>
      </c>
      <c r="AQ62" s="292">
        <f t="shared" si="12"/>
        <v>47160.959999999999</v>
      </c>
      <c r="AR62" s="289">
        <f t="shared" si="13"/>
        <v>0</v>
      </c>
      <c r="AS62" s="287"/>
      <c r="AT62" s="287"/>
      <c r="AU62" s="290">
        <f>'Unit Savings Calculations'!Q58</f>
        <v>107.184</v>
      </c>
      <c r="AV62" s="287" t="str">
        <f t="shared" si="14"/>
        <v>n/a</v>
      </c>
      <c r="AW62" s="292">
        <f t="shared" si="15"/>
        <v>47160.959999999999</v>
      </c>
      <c r="AX62" s="289">
        <f t="shared" si="16"/>
        <v>0</v>
      </c>
      <c r="AY62" s="292">
        <f t="shared" si="17"/>
        <v>47160.959999999999</v>
      </c>
      <c r="AZ62" s="292">
        <f t="shared" si="18"/>
        <v>47160.959999999999</v>
      </c>
      <c r="BA62" s="292">
        <f t="shared" si="19"/>
        <v>47160.959999999999</v>
      </c>
      <c r="BB62" s="292">
        <f t="shared" si="20"/>
        <v>47160.959999999999</v>
      </c>
      <c r="BC62" s="294">
        <f t="shared" si="21"/>
        <v>188643.84</v>
      </c>
      <c r="BD62" s="287" t="s">
        <v>764</v>
      </c>
      <c r="BE62" s="295" t="str">
        <f t="shared" si="22"/>
        <v>Exhibit 1.5B_R Peoples Gas EEPS_Adjustable_Savings_Goal_Template.xlsx, Unit Savings Calculations Tab</v>
      </c>
      <c r="BF62" s="297"/>
    </row>
    <row r="63" spans="1:58" ht="13.5" customHeight="1">
      <c r="A63" s="287" t="str">
        <f>'Unit Savings Calculations'!C59</f>
        <v>Res - SF Rebates</v>
      </c>
      <c r="B63" s="287" t="str">
        <f>'Unit Savings Calculations'!D59</f>
        <v>Advanced Thermostat - Furnace (Replace Programmable)</v>
      </c>
      <c r="C63" s="288">
        <f t="shared" si="23"/>
        <v>1</v>
      </c>
      <c r="D63" s="287" t="str">
        <f>'Unit Savings Calculations'!T59</f>
        <v>5.3.16</v>
      </c>
      <c r="E63" s="287">
        <f>INDEX('Unit Savings Calculations'!$H$4:$H$421,MATCH('Measure-Level Adjustments Tab'!$A63&amp;"_"&amp;'Measure-Level Adjustments Tab'!$B63,'Unit Savings Calculations'!$A$4:$A$421,0))</f>
        <v>10</v>
      </c>
      <c r="F63" s="287">
        <f>INDEX('Unit Savings Calculations'!$I$4:$I$421,MATCH('Measure-Level Adjustments Tab'!A63&amp;"_"&amp;'Measure-Level Adjustments Tab'!B63,'Unit Savings Calculations'!$A$4:$A$421,0))</f>
        <v>11</v>
      </c>
      <c r="G63" s="287" t="str">
        <f>'Unit Savings Calculations'!E59</f>
        <v>each</v>
      </c>
      <c r="H63" s="289">
        <f>'Unit Savings Calculations'!$F59*'Unit Savings Calculations'!J59</f>
        <v>1725</v>
      </c>
      <c r="I63" s="289">
        <f>'Unit Savings Calculations'!$F59*'Unit Savings Calculations'!K59</f>
        <v>1725</v>
      </c>
      <c r="J63" s="289">
        <f>'Unit Savings Calculations'!$F59*'Unit Savings Calculations'!L59</f>
        <v>1725</v>
      </c>
      <c r="K63" s="289">
        <f>'Unit Savings Calculations'!$F59*'Unit Savings Calculations'!M59</f>
        <v>1725</v>
      </c>
      <c r="L63" s="287" t="str">
        <f>'Unit Savings Calculations'!U59</f>
        <v>RS-HVC-ADTH-V02-180101</v>
      </c>
      <c r="M63" s="363" t="s">
        <v>830</v>
      </c>
      <c r="N63" s="290">
        <v>56.28</v>
      </c>
      <c r="O63" s="290">
        <v>56.28</v>
      </c>
      <c r="P63" s="290">
        <v>56.28</v>
      </c>
      <c r="Q63" s="290">
        <v>56.28</v>
      </c>
      <c r="R63" s="291">
        <f>'Unit Savings Calculations'!$G59</f>
        <v>1</v>
      </c>
      <c r="S63" s="291">
        <f>'Unit Savings Calculations'!$G59</f>
        <v>1</v>
      </c>
      <c r="T63" s="291">
        <f>'Unit Savings Calculations'!$G59</f>
        <v>1</v>
      </c>
      <c r="U63" s="291">
        <f>'Unit Savings Calculations'!$G59</f>
        <v>1</v>
      </c>
      <c r="V63" s="292">
        <f t="shared" si="44"/>
        <v>97083</v>
      </c>
      <c r="W63" s="292">
        <f t="shared" si="45"/>
        <v>97083</v>
      </c>
      <c r="X63" s="292">
        <f t="shared" si="46"/>
        <v>97083</v>
      </c>
      <c r="Y63" s="292">
        <f t="shared" si="47"/>
        <v>97083</v>
      </c>
      <c r="Z63" s="292">
        <f t="shared" si="48"/>
        <v>388332</v>
      </c>
      <c r="AA63" s="287"/>
      <c r="AB63" s="287"/>
      <c r="AC63" s="293">
        <f>'Unit Savings Calculations'!N59</f>
        <v>56.28</v>
      </c>
      <c r="AD63" s="287"/>
      <c r="AE63" s="292">
        <f t="shared" si="7"/>
        <v>97083</v>
      </c>
      <c r="AF63" s="289">
        <f t="shared" si="8"/>
        <v>0</v>
      </c>
      <c r="AG63" s="287"/>
      <c r="AH63" s="287">
        <f t="shared" si="9"/>
        <v>0</v>
      </c>
      <c r="AI63" s="290">
        <f>'Unit Savings Calculations'!O59</f>
        <v>56.28</v>
      </c>
      <c r="AJ63" s="287" t="s">
        <v>872</v>
      </c>
      <c r="AK63" s="292">
        <f t="shared" si="10"/>
        <v>97083</v>
      </c>
      <c r="AL63" s="289">
        <f t="shared" si="11"/>
        <v>0</v>
      </c>
      <c r="AM63" s="287"/>
      <c r="AN63" s="287"/>
      <c r="AO63" s="290">
        <f>'Unit Savings Calculations'!P59</f>
        <v>56.28</v>
      </c>
      <c r="AP63" s="287" t="s">
        <v>764</v>
      </c>
      <c r="AQ63" s="292">
        <f t="shared" si="12"/>
        <v>97083</v>
      </c>
      <c r="AR63" s="289">
        <f t="shared" si="13"/>
        <v>0</v>
      </c>
      <c r="AS63" s="287"/>
      <c r="AT63" s="287"/>
      <c r="AU63" s="290">
        <f>'Unit Savings Calculations'!Q59</f>
        <v>56.28</v>
      </c>
      <c r="AV63" s="287" t="str">
        <f t="shared" si="14"/>
        <v>n/a</v>
      </c>
      <c r="AW63" s="292">
        <f t="shared" si="15"/>
        <v>97083</v>
      </c>
      <c r="AX63" s="289">
        <f t="shared" si="16"/>
        <v>0</v>
      </c>
      <c r="AY63" s="292">
        <f t="shared" si="17"/>
        <v>97083</v>
      </c>
      <c r="AZ63" s="292">
        <f t="shared" si="18"/>
        <v>97083</v>
      </c>
      <c r="BA63" s="292">
        <f t="shared" si="19"/>
        <v>97083</v>
      </c>
      <c r="BB63" s="292">
        <f t="shared" si="20"/>
        <v>97083</v>
      </c>
      <c r="BC63" s="294">
        <f t="shared" si="21"/>
        <v>388332</v>
      </c>
      <c r="BD63" s="287" t="s">
        <v>764</v>
      </c>
      <c r="BE63" s="295" t="str">
        <f t="shared" si="22"/>
        <v>Exhibit 1.5B_R Peoples Gas EEPS_Adjustable_Savings_Goal_Template.xlsx, Unit Savings Calculations Tab</v>
      </c>
      <c r="BF63" s="297"/>
    </row>
    <row r="64" spans="1:58" ht="13.5" customHeight="1">
      <c r="A64" s="287" t="str">
        <f>'Unit Savings Calculations'!C60</f>
        <v>Res - SF Rebates</v>
      </c>
      <c r="B64" s="287" t="str">
        <f>'Unit Savings Calculations'!D60</f>
        <v>Advanced Thermostat - Boiler (Replace Programmable)</v>
      </c>
      <c r="C64" s="288">
        <f t="shared" si="23"/>
        <v>1</v>
      </c>
      <c r="D64" s="287" t="str">
        <f>'Unit Savings Calculations'!T60</f>
        <v>5.3.16</v>
      </c>
      <c r="E64" s="287">
        <f>INDEX('Unit Savings Calculations'!$H$4:$H$421,MATCH('Measure-Level Adjustments Tab'!$A64&amp;"_"&amp;'Measure-Level Adjustments Tab'!$B64,'Unit Savings Calculations'!$A$4:$A$421,0))</f>
        <v>10</v>
      </c>
      <c r="F64" s="287">
        <f>INDEX('Unit Savings Calculations'!$I$4:$I$421,MATCH('Measure-Level Adjustments Tab'!A64&amp;"_"&amp;'Measure-Level Adjustments Tab'!B64,'Unit Savings Calculations'!$A$4:$A$421,0))</f>
        <v>11</v>
      </c>
      <c r="G64" s="287" t="str">
        <f>'Unit Savings Calculations'!E60</f>
        <v>each</v>
      </c>
      <c r="H64" s="289">
        <f>'Unit Savings Calculations'!$F60*'Unit Savings Calculations'!J60</f>
        <v>600</v>
      </c>
      <c r="I64" s="289">
        <f>'Unit Savings Calculations'!$F60*'Unit Savings Calculations'!K60</f>
        <v>600</v>
      </c>
      <c r="J64" s="289">
        <f>'Unit Savings Calculations'!$F60*'Unit Savings Calculations'!L60</f>
        <v>600</v>
      </c>
      <c r="K64" s="289">
        <f>'Unit Savings Calculations'!$F60*'Unit Savings Calculations'!M60</f>
        <v>600</v>
      </c>
      <c r="L64" s="287" t="str">
        <f>'Unit Savings Calculations'!U60</f>
        <v>RS-HVC-ADTH-V02-180101</v>
      </c>
      <c r="M64" s="363" t="s">
        <v>830</v>
      </c>
      <c r="N64" s="290">
        <v>68.207999999999998</v>
      </c>
      <c r="O64" s="290">
        <v>68.207999999999998</v>
      </c>
      <c r="P64" s="290">
        <v>68.207999999999998</v>
      </c>
      <c r="Q64" s="290">
        <v>68.207999999999998</v>
      </c>
      <c r="R64" s="291">
        <f>'Unit Savings Calculations'!$G60</f>
        <v>1</v>
      </c>
      <c r="S64" s="291">
        <f>'Unit Savings Calculations'!$G60</f>
        <v>1</v>
      </c>
      <c r="T64" s="291">
        <f>'Unit Savings Calculations'!$G60</f>
        <v>1</v>
      </c>
      <c r="U64" s="291">
        <f>'Unit Savings Calculations'!$G60</f>
        <v>1</v>
      </c>
      <c r="V64" s="292">
        <f t="shared" si="44"/>
        <v>40924.799999999996</v>
      </c>
      <c r="W64" s="292">
        <f t="shared" si="45"/>
        <v>40924.799999999996</v>
      </c>
      <c r="X64" s="292">
        <f t="shared" si="46"/>
        <v>40924.799999999996</v>
      </c>
      <c r="Y64" s="292">
        <f t="shared" si="47"/>
        <v>40924.799999999996</v>
      </c>
      <c r="Z64" s="292">
        <f t="shared" si="48"/>
        <v>163699.19999999998</v>
      </c>
      <c r="AA64" s="287"/>
      <c r="AB64" s="287"/>
      <c r="AC64" s="293">
        <f>'Unit Savings Calculations'!N60</f>
        <v>68.207999999999998</v>
      </c>
      <c r="AD64" s="287"/>
      <c r="AE64" s="292">
        <f t="shared" si="7"/>
        <v>40924.799999999996</v>
      </c>
      <c r="AF64" s="289">
        <f t="shared" si="8"/>
        <v>0</v>
      </c>
      <c r="AG64" s="287"/>
      <c r="AH64" s="287">
        <f t="shared" si="9"/>
        <v>0</v>
      </c>
      <c r="AI64" s="290">
        <f>'Unit Savings Calculations'!O60</f>
        <v>68.207999999999998</v>
      </c>
      <c r="AJ64" s="287" t="s">
        <v>872</v>
      </c>
      <c r="AK64" s="292">
        <f t="shared" si="10"/>
        <v>40924.799999999996</v>
      </c>
      <c r="AL64" s="289">
        <f t="shared" si="11"/>
        <v>0</v>
      </c>
      <c r="AM64" s="287"/>
      <c r="AN64" s="287"/>
      <c r="AO64" s="290">
        <f>'Unit Savings Calculations'!P60</f>
        <v>68.207999999999998</v>
      </c>
      <c r="AP64" s="287" t="s">
        <v>764</v>
      </c>
      <c r="AQ64" s="292">
        <f t="shared" si="12"/>
        <v>40924.799999999996</v>
      </c>
      <c r="AR64" s="289">
        <f t="shared" si="13"/>
        <v>0</v>
      </c>
      <c r="AS64" s="287"/>
      <c r="AT64" s="287"/>
      <c r="AU64" s="290">
        <f>'Unit Savings Calculations'!Q60</f>
        <v>68.207999999999998</v>
      </c>
      <c r="AV64" s="287" t="str">
        <f t="shared" si="14"/>
        <v>n/a</v>
      </c>
      <c r="AW64" s="292">
        <f t="shared" si="15"/>
        <v>40924.799999999996</v>
      </c>
      <c r="AX64" s="289">
        <f t="shared" si="16"/>
        <v>0</v>
      </c>
      <c r="AY64" s="292">
        <f t="shared" si="17"/>
        <v>40924.799999999996</v>
      </c>
      <c r="AZ64" s="292">
        <f t="shared" si="18"/>
        <v>40924.799999999996</v>
      </c>
      <c r="BA64" s="292">
        <f t="shared" si="19"/>
        <v>40924.799999999996</v>
      </c>
      <c r="BB64" s="292">
        <f t="shared" si="20"/>
        <v>40924.799999999996</v>
      </c>
      <c r="BC64" s="294">
        <f t="shared" si="21"/>
        <v>163699.19999999998</v>
      </c>
      <c r="BD64" s="287" t="s">
        <v>764</v>
      </c>
      <c r="BE64" s="295" t="str">
        <f t="shared" si="22"/>
        <v>Exhibit 1.5B_R Peoples Gas EEPS_Adjustable_Savings_Goal_Template.xlsx, Unit Savings Calculations Tab</v>
      </c>
      <c r="BF64" s="297"/>
    </row>
    <row r="65" spans="1:58" ht="13.5" customHeight="1">
      <c r="A65" s="287" t="str">
        <f>'Unit Savings Calculations'!C61</f>
        <v>Res - SF Rebates</v>
      </c>
      <c r="B65" s="287" t="str">
        <f>'Unit Savings Calculations'!D61</f>
        <v>Air Sealing</v>
      </c>
      <c r="C65" s="288">
        <f t="shared" si="23"/>
        <v>1</v>
      </c>
      <c r="D65" s="287" t="str">
        <f>'Unit Savings Calculations'!T61</f>
        <v>5.6.1</v>
      </c>
      <c r="E65" s="287">
        <f>INDEX('Unit Savings Calculations'!$H$4:$H$421,MATCH('Measure-Level Adjustments Tab'!$A65&amp;"_"&amp;'Measure-Level Adjustments Tab'!$B65,'Unit Savings Calculations'!$A$4:$A$421,0))</f>
        <v>15</v>
      </c>
      <c r="F65" s="287">
        <f>INDEX('Unit Savings Calculations'!$I$4:$I$421,MATCH('Measure-Level Adjustments Tab'!A65&amp;"_"&amp;'Measure-Level Adjustments Tab'!B65,'Unit Savings Calculations'!$A$4:$A$421,0))</f>
        <v>20</v>
      </c>
      <c r="G65" s="287" t="str">
        <f>'Unit Savings Calculations'!E61</f>
        <v>CFM_50</v>
      </c>
      <c r="H65" s="289">
        <f>'Unit Savings Calculations'!$F61*'Unit Savings Calculations'!J61</f>
        <v>256417.79999999996</v>
      </c>
      <c r="I65" s="289">
        <f>'Unit Savings Calculations'!$F61*'Unit Savings Calculations'!K61</f>
        <v>256417.79999999996</v>
      </c>
      <c r="J65" s="289">
        <f>'Unit Savings Calculations'!$F61*'Unit Savings Calculations'!L61</f>
        <v>256417.79999999996</v>
      </c>
      <c r="K65" s="289">
        <f>'Unit Savings Calculations'!$F61*'Unit Savings Calculations'!M61</f>
        <v>256417.79999999996</v>
      </c>
      <c r="L65" s="287" t="str">
        <f>'Unit Savings Calculations'!U61</f>
        <v>RS-SHL-AIRS-V06-180101</v>
      </c>
      <c r="M65" s="363" t="s">
        <v>830</v>
      </c>
      <c r="N65" s="290">
        <v>7.7015899581589969E-2</v>
      </c>
      <c r="O65" s="290">
        <v>7.7015899581589969E-2</v>
      </c>
      <c r="P65" s="290">
        <v>7.7015899581589969E-2</v>
      </c>
      <c r="Q65" s="290">
        <v>7.7015899581589969E-2</v>
      </c>
      <c r="R65" s="291">
        <f>'Unit Savings Calculations'!$G61</f>
        <v>0.9</v>
      </c>
      <c r="S65" s="291">
        <f>'Unit Savings Calculations'!$G61</f>
        <v>0.9</v>
      </c>
      <c r="T65" s="291">
        <f>'Unit Savings Calculations'!$G61</f>
        <v>0.9</v>
      </c>
      <c r="U65" s="291">
        <f>'Unit Savings Calculations'!$G61</f>
        <v>0.9</v>
      </c>
      <c r="V65" s="292">
        <f t="shared" si="44"/>
        <v>17773.422782158996</v>
      </c>
      <c r="W65" s="292">
        <f t="shared" si="45"/>
        <v>17773.422782158996</v>
      </c>
      <c r="X65" s="292">
        <f t="shared" si="46"/>
        <v>17773.422782158996</v>
      </c>
      <c r="Y65" s="292">
        <f t="shared" si="47"/>
        <v>17773.422782158996</v>
      </c>
      <c r="Z65" s="292">
        <f t="shared" si="48"/>
        <v>71093.691128635983</v>
      </c>
      <c r="AA65" s="287"/>
      <c r="AB65" s="287"/>
      <c r="AC65" s="293">
        <f>'Unit Savings Calculations'!N61</f>
        <v>5.5451447698744778E-2</v>
      </c>
      <c r="AD65" s="287"/>
      <c r="AE65" s="292">
        <f t="shared" si="7"/>
        <v>12796.864403154477</v>
      </c>
      <c r="AF65" s="289">
        <f t="shared" si="8"/>
        <v>-4976.5583790045184</v>
      </c>
      <c r="AG65" s="287"/>
      <c r="AH65" s="287">
        <f t="shared" si="9"/>
        <v>0</v>
      </c>
      <c r="AI65" s="290">
        <f>'Unit Savings Calculations'!O61</f>
        <v>5.5451447698744778E-2</v>
      </c>
      <c r="AJ65" s="287" t="s">
        <v>1035</v>
      </c>
      <c r="AK65" s="292">
        <f t="shared" si="10"/>
        <v>12796.864403154477</v>
      </c>
      <c r="AL65" s="289">
        <f t="shared" si="11"/>
        <v>-4976.5583790045184</v>
      </c>
      <c r="AM65" s="287"/>
      <c r="AN65" s="287"/>
      <c r="AO65" s="290">
        <f>'Unit Savings Calculations'!P61</f>
        <v>5.5451447698744778E-2</v>
      </c>
      <c r="AP65" s="287" t="s">
        <v>1447</v>
      </c>
      <c r="AQ65" s="292">
        <f t="shared" si="12"/>
        <v>12796.864403154477</v>
      </c>
      <c r="AR65" s="289">
        <f t="shared" si="13"/>
        <v>-4976.5583790045184</v>
      </c>
      <c r="AS65" s="287"/>
      <c r="AT65" s="287"/>
      <c r="AU65" s="290">
        <f>'Unit Savings Calculations'!Q61</f>
        <v>5.5451447698744778E-2</v>
      </c>
      <c r="AV65" s="287" t="str">
        <f t="shared" si="14"/>
        <v>Updated algorithm with new variables</v>
      </c>
      <c r="AW65" s="292">
        <f t="shared" si="15"/>
        <v>12796.864403154477</v>
      </c>
      <c r="AX65" s="289">
        <f t="shared" si="16"/>
        <v>-4976.5583790045184</v>
      </c>
      <c r="AY65" s="292">
        <f t="shared" si="17"/>
        <v>12796.864403154477</v>
      </c>
      <c r="AZ65" s="292">
        <f t="shared" si="18"/>
        <v>12796.864403154477</v>
      </c>
      <c r="BA65" s="292">
        <f t="shared" si="19"/>
        <v>12796.864403154477</v>
      </c>
      <c r="BB65" s="292">
        <f t="shared" si="20"/>
        <v>12796.864403154477</v>
      </c>
      <c r="BC65" s="294">
        <f t="shared" si="21"/>
        <v>51187.457612617909</v>
      </c>
      <c r="BD65" s="287" t="s">
        <v>764</v>
      </c>
      <c r="BE65" s="295" t="str">
        <f t="shared" si="22"/>
        <v>Exhibit 1.5B_R Peoples Gas EEPS_Adjustable_Savings_Goal_Template.xlsx, Unit Savings Calculations Tab</v>
      </c>
      <c r="BF65" s="297"/>
    </row>
    <row r="66" spans="1:58" ht="13.5" customHeight="1">
      <c r="A66" s="287" t="str">
        <f>'Unit Savings Calculations'!C62</f>
        <v>Res - SF Rebates</v>
      </c>
      <c r="B66" s="287" t="str">
        <f>'Unit Savings Calculations'!D62</f>
        <v>Attic Insulation</v>
      </c>
      <c r="C66" s="288">
        <f t="shared" si="23"/>
        <v>1</v>
      </c>
      <c r="D66" s="287" t="str">
        <f>'Unit Savings Calculations'!T62</f>
        <v>5.6.5</v>
      </c>
      <c r="E66" s="287">
        <f>INDEX('Unit Savings Calculations'!$H$4:$H$421,MATCH('Measure-Level Adjustments Tab'!$A66&amp;"_"&amp;'Measure-Level Adjustments Tab'!$B66,'Unit Savings Calculations'!$A$4:$A$421,0))</f>
        <v>25</v>
      </c>
      <c r="F66" s="287">
        <f>INDEX('Unit Savings Calculations'!$I$4:$I$421,MATCH('Measure-Level Adjustments Tab'!A66&amp;"_"&amp;'Measure-Level Adjustments Tab'!B66,'Unit Savings Calculations'!$A$4:$A$421,0))</f>
        <v>20</v>
      </c>
      <c r="G66" s="287" t="str">
        <f>'Unit Savings Calculations'!E62</f>
        <v>sq ft</v>
      </c>
      <c r="H66" s="289">
        <f>'Unit Savings Calculations'!$F62*'Unit Savings Calculations'!J62</f>
        <v>276000</v>
      </c>
      <c r="I66" s="289">
        <f>'Unit Savings Calculations'!$F62*'Unit Savings Calculations'!K62</f>
        <v>276000</v>
      </c>
      <c r="J66" s="289">
        <f>'Unit Savings Calculations'!$F62*'Unit Savings Calculations'!L62</f>
        <v>276000</v>
      </c>
      <c r="K66" s="289">
        <f>'Unit Savings Calculations'!$F62*'Unit Savings Calculations'!M62</f>
        <v>276000</v>
      </c>
      <c r="L66" s="287" t="str">
        <f>'Unit Savings Calculations'!U62</f>
        <v>RS-SHL-AINS-V07-180101</v>
      </c>
      <c r="M66" s="363" t="s">
        <v>830</v>
      </c>
      <c r="N66" s="290">
        <v>7.7438471779463322E-2</v>
      </c>
      <c r="O66" s="290">
        <v>7.7438471779463322E-2</v>
      </c>
      <c r="P66" s="290">
        <v>7.7438471779463322E-2</v>
      </c>
      <c r="Q66" s="290">
        <v>7.7438471779463322E-2</v>
      </c>
      <c r="R66" s="291">
        <f>'Unit Savings Calculations'!$G62</f>
        <v>0.9</v>
      </c>
      <c r="S66" s="291">
        <f>'Unit Savings Calculations'!$G62</f>
        <v>0.9</v>
      </c>
      <c r="T66" s="291">
        <f>'Unit Savings Calculations'!$G62</f>
        <v>0.9</v>
      </c>
      <c r="U66" s="291">
        <f>'Unit Savings Calculations'!$G62</f>
        <v>0.9</v>
      </c>
      <c r="V66" s="292">
        <f t="shared" si="44"/>
        <v>19235.71639001869</v>
      </c>
      <c r="W66" s="292">
        <f t="shared" si="45"/>
        <v>19235.71639001869</v>
      </c>
      <c r="X66" s="292">
        <f t="shared" si="46"/>
        <v>19235.71639001869</v>
      </c>
      <c r="Y66" s="292">
        <f t="shared" si="47"/>
        <v>19235.71639001869</v>
      </c>
      <c r="Z66" s="292">
        <f t="shared" si="48"/>
        <v>76942.865560074759</v>
      </c>
      <c r="AA66" s="287"/>
      <c r="AB66" s="287"/>
      <c r="AC66" s="293">
        <f>'Unit Savings Calculations'!N62</f>
        <v>9.2988426666666665E-2</v>
      </c>
      <c r="AD66" s="287"/>
      <c r="AE66" s="292">
        <f t="shared" si="7"/>
        <v>23098.325184000001</v>
      </c>
      <c r="AF66" s="289">
        <f t="shared" si="8"/>
        <v>3862.6087939813115</v>
      </c>
      <c r="AG66" s="287"/>
      <c r="AH66" s="287">
        <f t="shared" si="9"/>
        <v>0</v>
      </c>
      <c r="AI66" s="290">
        <f>'Unit Savings Calculations'!O62</f>
        <v>9.2988426666666665E-2</v>
      </c>
      <c r="AJ66" s="287" t="s">
        <v>1041</v>
      </c>
      <c r="AK66" s="292">
        <f t="shared" si="10"/>
        <v>23098.325184000001</v>
      </c>
      <c r="AL66" s="289">
        <f t="shared" si="11"/>
        <v>3862.6087939813115</v>
      </c>
      <c r="AM66" s="287"/>
      <c r="AN66" s="287"/>
      <c r="AO66" s="290">
        <f>'Unit Savings Calculations'!P62</f>
        <v>9.2988426666666665E-2</v>
      </c>
      <c r="AP66" s="287" t="s">
        <v>1447</v>
      </c>
      <c r="AQ66" s="292">
        <f t="shared" si="12"/>
        <v>23098.325184000001</v>
      </c>
      <c r="AR66" s="289">
        <f t="shared" si="13"/>
        <v>3862.6087939813115</v>
      </c>
      <c r="AS66" s="287"/>
      <c r="AT66" s="287"/>
      <c r="AU66" s="290">
        <f>'Unit Savings Calculations'!Q62</f>
        <v>9.2988426666666665E-2</v>
      </c>
      <c r="AV66" s="287" t="str">
        <f t="shared" si="14"/>
        <v>Updated algorithm with new variables</v>
      </c>
      <c r="AW66" s="292">
        <f t="shared" si="15"/>
        <v>23098.325184000001</v>
      </c>
      <c r="AX66" s="289">
        <f t="shared" si="16"/>
        <v>3862.6087939813115</v>
      </c>
      <c r="AY66" s="292">
        <f t="shared" si="17"/>
        <v>23098.325184000001</v>
      </c>
      <c r="AZ66" s="292">
        <f t="shared" si="18"/>
        <v>23098.325184000001</v>
      </c>
      <c r="BA66" s="292">
        <f t="shared" si="19"/>
        <v>23098.325184000001</v>
      </c>
      <c r="BB66" s="292">
        <f t="shared" si="20"/>
        <v>23098.325184000001</v>
      </c>
      <c r="BC66" s="294">
        <f t="shared" si="21"/>
        <v>92393.300736000005</v>
      </c>
      <c r="BD66" s="287" t="s">
        <v>764</v>
      </c>
      <c r="BE66" s="295" t="str">
        <f t="shared" si="22"/>
        <v>Exhibit 1.5B_R Peoples Gas EEPS_Adjustable_Savings_Goal_Template.xlsx, Unit Savings Calculations Tab</v>
      </c>
      <c r="BF66" s="297"/>
    </row>
    <row r="67" spans="1:58" ht="13.5" customHeight="1">
      <c r="A67" s="287" t="str">
        <f>'Unit Savings Calculations'!C63</f>
        <v>Res - SF Rebates</v>
      </c>
      <c r="B67" s="287" t="str">
        <f>'Unit Savings Calculations'!D63</f>
        <v>Duct Sealing</v>
      </c>
      <c r="C67" s="288">
        <f t="shared" si="23"/>
        <v>1</v>
      </c>
      <c r="D67" s="287" t="str">
        <f>'Unit Savings Calculations'!T63</f>
        <v>5.3.4</v>
      </c>
      <c r="E67" s="287">
        <f>INDEX('Unit Savings Calculations'!$H$4:$H$421,MATCH('Measure-Level Adjustments Tab'!$A67&amp;"_"&amp;'Measure-Level Adjustments Tab'!$B67,'Unit Savings Calculations'!$A$4:$A$421,0))</f>
        <v>20</v>
      </c>
      <c r="F67" s="287">
        <f>INDEX('Unit Savings Calculations'!$I$4:$I$421,MATCH('Measure-Level Adjustments Tab'!A67&amp;"_"&amp;'Measure-Level Adjustments Tab'!B67,'Unit Savings Calculations'!$A$4:$A$421,0))</f>
        <v>20</v>
      </c>
      <c r="G67" s="287" t="str">
        <f>'Unit Savings Calculations'!E63</f>
        <v>CFM_25</v>
      </c>
      <c r="H67" s="289">
        <f>'Unit Savings Calculations'!$F63*'Unit Savings Calculations'!J63</f>
        <v>8280</v>
      </c>
      <c r="I67" s="289">
        <f>'Unit Savings Calculations'!$F63*'Unit Savings Calculations'!K63</f>
        <v>8280</v>
      </c>
      <c r="J67" s="289">
        <f>'Unit Savings Calculations'!$F63*'Unit Savings Calculations'!L63</f>
        <v>8280</v>
      </c>
      <c r="K67" s="289">
        <f>'Unit Savings Calculations'!$F63*'Unit Savings Calculations'!M63</f>
        <v>8280</v>
      </c>
      <c r="L67" s="287" t="str">
        <f>'Unit Savings Calculations'!U63</f>
        <v>RS-HVC-DINS-V06-160601</v>
      </c>
      <c r="M67" s="363" t="s">
        <v>830</v>
      </c>
      <c r="N67" s="290">
        <v>0.70950058072009281</v>
      </c>
      <c r="O67" s="290">
        <v>0.70950058072009281</v>
      </c>
      <c r="P67" s="290">
        <v>0.70950058072009281</v>
      </c>
      <c r="Q67" s="290">
        <v>0.70950058072009281</v>
      </c>
      <c r="R67" s="291">
        <f>'Unit Savings Calculations'!$G63</f>
        <v>0.9</v>
      </c>
      <c r="S67" s="291">
        <f>'Unit Savings Calculations'!$G63</f>
        <v>0.9</v>
      </c>
      <c r="T67" s="291">
        <f>'Unit Savings Calculations'!$G63</f>
        <v>0.9</v>
      </c>
      <c r="U67" s="291">
        <f>'Unit Savings Calculations'!$G63</f>
        <v>0.9</v>
      </c>
      <c r="V67" s="292">
        <f t="shared" si="44"/>
        <v>5287.1983275261318</v>
      </c>
      <c r="W67" s="292">
        <f t="shared" si="45"/>
        <v>5287.1983275261318</v>
      </c>
      <c r="X67" s="292">
        <f t="shared" si="46"/>
        <v>5287.1983275261318</v>
      </c>
      <c r="Y67" s="292">
        <f t="shared" si="47"/>
        <v>5287.1983275261318</v>
      </c>
      <c r="Z67" s="292">
        <f t="shared" si="48"/>
        <v>21148.793310104527</v>
      </c>
      <c r="AA67" s="287"/>
      <c r="AB67" s="287"/>
      <c r="AC67" s="293">
        <f>'Unit Savings Calculations'!N63</f>
        <v>0.70950058072009281</v>
      </c>
      <c r="AD67" s="287"/>
      <c r="AE67" s="292">
        <f t="shared" si="7"/>
        <v>5287.1983275261318</v>
      </c>
      <c r="AF67" s="289">
        <f t="shared" si="8"/>
        <v>0</v>
      </c>
      <c r="AG67" s="287"/>
      <c r="AH67" s="287">
        <f t="shared" si="9"/>
        <v>0</v>
      </c>
      <c r="AI67" s="290">
        <f>'Unit Savings Calculations'!O63</f>
        <v>0.70950058072009281</v>
      </c>
      <c r="AJ67" s="287" t="s">
        <v>872</v>
      </c>
      <c r="AK67" s="292">
        <f t="shared" si="10"/>
        <v>5287.1983275261318</v>
      </c>
      <c r="AL67" s="289">
        <f t="shared" si="11"/>
        <v>0</v>
      </c>
      <c r="AM67" s="287"/>
      <c r="AN67" s="287"/>
      <c r="AO67" s="290">
        <f>'Unit Savings Calculations'!P63</f>
        <v>0.70950058072009281</v>
      </c>
      <c r="AP67" s="287" t="s">
        <v>764</v>
      </c>
      <c r="AQ67" s="292">
        <f t="shared" si="12"/>
        <v>5287.1983275261318</v>
      </c>
      <c r="AR67" s="289">
        <f t="shared" si="13"/>
        <v>0</v>
      </c>
      <c r="AS67" s="287"/>
      <c r="AT67" s="287"/>
      <c r="AU67" s="290">
        <f>'Unit Savings Calculations'!Q63</f>
        <v>0.70950058072009281</v>
      </c>
      <c r="AV67" s="287" t="str">
        <f t="shared" si="14"/>
        <v>n/a</v>
      </c>
      <c r="AW67" s="292">
        <f t="shared" si="15"/>
        <v>5287.1983275261318</v>
      </c>
      <c r="AX67" s="289">
        <f t="shared" si="16"/>
        <v>0</v>
      </c>
      <c r="AY67" s="292">
        <f t="shared" si="17"/>
        <v>5287.1983275261318</v>
      </c>
      <c r="AZ67" s="292">
        <f t="shared" si="18"/>
        <v>5287.1983275261318</v>
      </c>
      <c r="BA67" s="292">
        <f t="shared" si="19"/>
        <v>5287.1983275261318</v>
      </c>
      <c r="BB67" s="292">
        <f t="shared" si="20"/>
        <v>5287.1983275261318</v>
      </c>
      <c r="BC67" s="294">
        <f t="shared" si="21"/>
        <v>21148.793310104527</v>
      </c>
      <c r="BD67" s="287" t="s">
        <v>764</v>
      </c>
      <c r="BE67" s="295" t="str">
        <f t="shared" si="22"/>
        <v>Exhibit 1.5B_R Peoples Gas EEPS_Adjustable_Savings_Goal_Template.xlsx, Unit Savings Calculations Tab</v>
      </c>
      <c r="BF67" s="297"/>
    </row>
    <row r="68" spans="1:58" ht="13.5" customHeight="1">
      <c r="A68" s="287" t="str">
        <f>'Unit Savings Calculations'!C64</f>
        <v>Res - SF Rebates</v>
      </c>
      <c r="B68" s="287" t="str">
        <f>'Unit Savings Calculations'!D64</f>
        <v>Wall Insulation</v>
      </c>
      <c r="C68" s="288">
        <f t="shared" si="23"/>
        <v>1</v>
      </c>
      <c r="D68" s="287" t="str">
        <f>'Unit Savings Calculations'!T64</f>
        <v>5.6.4</v>
      </c>
      <c r="E68" s="287">
        <f>INDEX('Unit Savings Calculations'!$H$4:$H$421,MATCH('Measure-Level Adjustments Tab'!$A68&amp;"_"&amp;'Measure-Level Adjustments Tab'!$B68,'Unit Savings Calculations'!$A$4:$A$421,0))</f>
        <v>25</v>
      </c>
      <c r="F68" s="287">
        <f>INDEX('Unit Savings Calculations'!$I$4:$I$421,MATCH('Measure-Level Adjustments Tab'!A68&amp;"_"&amp;'Measure-Level Adjustments Tab'!B68,'Unit Savings Calculations'!$A$4:$A$421,0))</f>
        <v>20</v>
      </c>
      <c r="G68" s="287" t="str">
        <f>'Unit Savings Calculations'!E64</f>
        <v>CFM_25</v>
      </c>
      <c r="H68" s="289">
        <f>'Unit Savings Calculations'!$F64*'Unit Savings Calculations'!J64</f>
        <v>8500</v>
      </c>
      <c r="I68" s="289">
        <f>'Unit Savings Calculations'!$F64*'Unit Savings Calculations'!K64</f>
        <v>8500</v>
      </c>
      <c r="J68" s="289">
        <f>'Unit Savings Calculations'!$F64*'Unit Savings Calculations'!L64</f>
        <v>8500</v>
      </c>
      <c r="K68" s="289">
        <f>'Unit Savings Calculations'!$F64*'Unit Savings Calculations'!M64</f>
        <v>8500</v>
      </c>
      <c r="L68" s="287" t="str">
        <f>'Unit Savings Calculations'!U64</f>
        <v>RS-SHL-AINS-V07-180101</v>
      </c>
      <c r="M68" s="363" t="s">
        <v>830</v>
      </c>
      <c r="N68" s="290">
        <v>7.8966183566101619E-2</v>
      </c>
      <c r="O68" s="290">
        <v>7.8966183566101619E-2</v>
      </c>
      <c r="P68" s="290">
        <v>7.8966183566101619E-2</v>
      </c>
      <c r="Q68" s="290">
        <v>7.8966183566101619E-2</v>
      </c>
      <c r="R68" s="291">
        <f>'Unit Savings Calculations'!$G64</f>
        <v>0.9</v>
      </c>
      <c r="S68" s="291">
        <f>'Unit Savings Calculations'!$G64</f>
        <v>0.9</v>
      </c>
      <c r="T68" s="291">
        <f>'Unit Savings Calculations'!$G64</f>
        <v>0.9</v>
      </c>
      <c r="U68" s="291">
        <f>'Unit Savings Calculations'!$G64</f>
        <v>0.9</v>
      </c>
      <c r="V68" s="292">
        <f t="shared" si="44"/>
        <v>604.09130428067738</v>
      </c>
      <c r="W68" s="292">
        <f t="shared" si="45"/>
        <v>604.09130428067738</v>
      </c>
      <c r="X68" s="292">
        <f t="shared" si="46"/>
        <v>604.09130428067738</v>
      </c>
      <c r="Y68" s="292">
        <f t="shared" si="47"/>
        <v>604.09130428067738</v>
      </c>
      <c r="Z68" s="292">
        <f t="shared" si="48"/>
        <v>2416.3652171227095</v>
      </c>
      <c r="AA68" s="287"/>
      <c r="AB68" s="287"/>
      <c r="AC68" s="293">
        <f>'Unit Savings Calculations'!N64</f>
        <v>7.90190909090909E-2</v>
      </c>
      <c r="AD68" s="287"/>
      <c r="AE68" s="292">
        <f t="shared" si="7"/>
        <v>604.49604545454542</v>
      </c>
      <c r="AF68" s="289">
        <f t="shared" si="8"/>
        <v>0.40474117386804664</v>
      </c>
      <c r="AG68" s="287"/>
      <c r="AH68" s="287">
        <f t="shared" si="9"/>
        <v>0</v>
      </c>
      <c r="AI68" s="290">
        <f>'Unit Savings Calculations'!O64</f>
        <v>7.90190909090909E-2</v>
      </c>
      <c r="AJ68" s="287" t="s">
        <v>1039</v>
      </c>
      <c r="AK68" s="292">
        <f t="shared" si="10"/>
        <v>604.49604545454542</v>
      </c>
      <c r="AL68" s="289">
        <f t="shared" si="11"/>
        <v>0.40474117386804664</v>
      </c>
      <c r="AM68" s="287"/>
      <c r="AN68" s="287"/>
      <c r="AO68" s="290">
        <f>'Unit Savings Calculations'!P64</f>
        <v>7.90190909090909E-2</v>
      </c>
      <c r="AP68" s="287" t="s">
        <v>764</v>
      </c>
      <c r="AQ68" s="292">
        <f t="shared" si="12"/>
        <v>604.49604545454542</v>
      </c>
      <c r="AR68" s="289">
        <f t="shared" si="13"/>
        <v>0.40474117386804664</v>
      </c>
      <c r="AS68" s="287"/>
      <c r="AT68" s="287"/>
      <c r="AU68" s="290">
        <f>'Unit Savings Calculations'!Q64</f>
        <v>7.90190909090909E-2</v>
      </c>
      <c r="AV68" s="287" t="str">
        <f t="shared" si="14"/>
        <v>n/a</v>
      </c>
      <c r="AW68" s="292">
        <f t="shared" si="15"/>
        <v>604.49604545454542</v>
      </c>
      <c r="AX68" s="289">
        <f t="shared" si="16"/>
        <v>0.40474117386804664</v>
      </c>
      <c r="AY68" s="292">
        <f t="shared" si="17"/>
        <v>604.49604545454542</v>
      </c>
      <c r="AZ68" s="292">
        <f t="shared" si="18"/>
        <v>604.49604545454542</v>
      </c>
      <c r="BA68" s="292">
        <f t="shared" si="19"/>
        <v>604.49604545454542</v>
      </c>
      <c r="BB68" s="292">
        <f t="shared" si="20"/>
        <v>604.49604545454542</v>
      </c>
      <c r="BC68" s="294">
        <f t="shared" si="21"/>
        <v>2417.9841818181817</v>
      </c>
      <c r="BD68" s="287" t="s">
        <v>764</v>
      </c>
      <c r="BE68" s="295" t="str">
        <f t="shared" si="22"/>
        <v>Exhibit 1.5B_R Peoples Gas EEPS_Adjustable_Savings_Goal_Template.xlsx, Unit Savings Calculations Tab</v>
      </c>
      <c r="BF68" s="297"/>
    </row>
    <row r="69" spans="1:58" ht="13.5" customHeight="1">
      <c r="A69" s="287" t="str">
        <f>'Unit Savings Calculations'!C65</f>
        <v>Res - SF Rebates</v>
      </c>
      <c r="B69" s="287" t="str">
        <f>'Unit Savings Calculations'!D65</f>
        <v>Foundation Insulation</v>
      </c>
      <c r="C69" s="288">
        <f t="shared" si="23"/>
        <v>1</v>
      </c>
      <c r="D69" s="287" t="str">
        <f>'Unit Savings Calculations'!T65</f>
        <v>5.6.2</v>
      </c>
      <c r="E69" s="287">
        <f>INDEX('Unit Savings Calculations'!$H$4:$H$421,MATCH('Measure-Level Adjustments Tab'!$A69&amp;"_"&amp;'Measure-Level Adjustments Tab'!$B69,'Unit Savings Calculations'!$A$4:$A$421,0))</f>
        <v>25</v>
      </c>
      <c r="F69" s="287">
        <f>INDEX('Unit Savings Calculations'!$I$4:$I$421,MATCH('Measure-Level Adjustments Tab'!A69&amp;"_"&amp;'Measure-Level Adjustments Tab'!B69,'Unit Savings Calculations'!$A$4:$A$421,0))</f>
        <v>25</v>
      </c>
      <c r="G69" s="287" t="str">
        <f>'Unit Savings Calculations'!E65</f>
        <v>CFM_25</v>
      </c>
      <c r="H69" s="289">
        <f>'Unit Savings Calculations'!$F65*'Unit Savings Calculations'!J65</f>
        <v>2380</v>
      </c>
      <c r="I69" s="289">
        <f>'Unit Savings Calculations'!$F65*'Unit Savings Calculations'!K65</f>
        <v>2380</v>
      </c>
      <c r="J69" s="289">
        <f>'Unit Savings Calculations'!$F65*'Unit Savings Calculations'!L65</f>
        <v>2380</v>
      </c>
      <c r="K69" s="289">
        <f>'Unit Savings Calculations'!$F65*'Unit Savings Calculations'!M65</f>
        <v>2380</v>
      </c>
      <c r="L69" s="287" t="str">
        <f>'Unit Savings Calculations'!U65</f>
        <v>RS-SHL-BINS-V08-180101</v>
      </c>
      <c r="M69" s="363" t="s">
        <v>830</v>
      </c>
      <c r="N69" s="290">
        <v>8.2417994229580488E-2</v>
      </c>
      <c r="O69" s="290">
        <v>8.2417994229580488E-2</v>
      </c>
      <c r="P69" s="290">
        <v>8.2417994229580488E-2</v>
      </c>
      <c r="Q69" s="290">
        <v>8.2417994229580488E-2</v>
      </c>
      <c r="R69" s="291">
        <f>'Unit Savings Calculations'!$G65</f>
        <v>0.9</v>
      </c>
      <c r="S69" s="291">
        <f>'Unit Savings Calculations'!$G65</f>
        <v>0.9</v>
      </c>
      <c r="T69" s="291">
        <f>'Unit Savings Calculations'!$G65</f>
        <v>0.9</v>
      </c>
      <c r="U69" s="291">
        <f>'Unit Savings Calculations'!$G65</f>
        <v>0.9</v>
      </c>
      <c r="V69" s="292">
        <f t="shared" si="44"/>
        <v>176.5393436397614</v>
      </c>
      <c r="W69" s="292">
        <f t="shared" si="45"/>
        <v>176.5393436397614</v>
      </c>
      <c r="X69" s="292">
        <f t="shared" si="46"/>
        <v>176.5393436397614</v>
      </c>
      <c r="Y69" s="292">
        <f t="shared" si="47"/>
        <v>176.5393436397614</v>
      </c>
      <c r="Z69" s="292">
        <f t="shared" si="48"/>
        <v>706.15737455904559</v>
      </c>
      <c r="AA69" s="287"/>
      <c r="AB69" s="287"/>
      <c r="AC69" s="293">
        <f>'Unit Savings Calculations'!N65</f>
        <v>8.2417994229580488E-2</v>
      </c>
      <c r="AD69" s="287"/>
      <c r="AE69" s="292">
        <f t="shared" si="7"/>
        <v>176.5393436397614</v>
      </c>
      <c r="AF69" s="289">
        <f t="shared" si="8"/>
        <v>0</v>
      </c>
      <c r="AG69" s="287"/>
      <c r="AH69" s="287">
        <f t="shared" si="9"/>
        <v>0</v>
      </c>
      <c r="AI69" s="290">
        <f>'Unit Savings Calculations'!O65</f>
        <v>8.2417994229580488E-2</v>
      </c>
      <c r="AJ69" s="287" t="s">
        <v>872</v>
      </c>
      <c r="AK69" s="292">
        <f t="shared" si="10"/>
        <v>176.5393436397614</v>
      </c>
      <c r="AL69" s="289">
        <f t="shared" si="11"/>
        <v>0</v>
      </c>
      <c r="AM69" s="287"/>
      <c r="AN69" s="287"/>
      <c r="AO69" s="290">
        <f>'Unit Savings Calculations'!P65</f>
        <v>8.2417994229580488E-2</v>
      </c>
      <c r="AP69" s="287" t="s">
        <v>764</v>
      </c>
      <c r="AQ69" s="292">
        <f t="shared" si="12"/>
        <v>176.5393436397614</v>
      </c>
      <c r="AR69" s="289">
        <f t="shared" si="13"/>
        <v>0</v>
      </c>
      <c r="AS69" s="287"/>
      <c r="AT69" s="287"/>
      <c r="AU69" s="290">
        <f>'Unit Savings Calculations'!Q65</f>
        <v>8.2417994229580488E-2</v>
      </c>
      <c r="AV69" s="287" t="str">
        <f t="shared" si="14"/>
        <v>n/a</v>
      </c>
      <c r="AW69" s="292">
        <f t="shared" si="15"/>
        <v>176.5393436397614</v>
      </c>
      <c r="AX69" s="289">
        <f t="shared" si="16"/>
        <v>0</v>
      </c>
      <c r="AY69" s="292">
        <f t="shared" si="17"/>
        <v>176.5393436397614</v>
      </c>
      <c r="AZ69" s="292">
        <f t="shared" si="18"/>
        <v>176.5393436397614</v>
      </c>
      <c r="BA69" s="292">
        <f t="shared" si="19"/>
        <v>176.5393436397614</v>
      </c>
      <c r="BB69" s="292">
        <f t="shared" si="20"/>
        <v>176.5393436397614</v>
      </c>
      <c r="BC69" s="294">
        <f t="shared" si="21"/>
        <v>706.15737455904559</v>
      </c>
      <c r="BD69" s="287" t="s">
        <v>764</v>
      </c>
      <c r="BE69" s="295" t="str">
        <f t="shared" si="22"/>
        <v>Exhibit 1.5B_R Peoples Gas EEPS_Adjustable_Savings_Goal_Template.xlsx, Unit Savings Calculations Tab</v>
      </c>
      <c r="BF69" s="297"/>
    </row>
    <row r="70" spans="1:58" ht="13.5" customHeight="1">
      <c r="A70" s="287" t="str">
        <f>'Unit Savings Calculations'!C66</f>
        <v>Res - SF Rebates</v>
      </c>
      <c r="B70" s="287" t="str">
        <f>'Unit Savings Calculations'!D66</f>
        <v>New Construction 20-25% over IL 2015 Code</v>
      </c>
      <c r="C70" s="288">
        <f t="shared" si="23"/>
        <v>0</v>
      </c>
      <c r="D70" s="287" t="str">
        <f>'Unit Savings Calculations'!T66</f>
        <v>Custom</v>
      </c>
      <c r="E70" s="287">
        <f>INDEX('Unit Savings Calculations'!$H$4:$H$421,MATCH('Measure-Level Adjustments Tab'!$A70&amp;"_"&amp;'Measure-Level Adjustments Tab'!$B70,'Unit Savings Calculations'!$A$4:$A$421,0))</f>
        <v>15</v>
      </c>
      <c r="F70" s="287">
        <f>INDEX('Unit Savings Calculations'!$I$4:$I$421,MATCH('Measure-Level Adjustments Tab'!A70&amp;"_"&amp;'Measure-Level Adjustments Tab'!B70,'Unit Savings Calculations'!$A$4:$A$421,0))</f>
        <v>15</v>
      </c>
      <c r="G70" s="287" t="str">
        <f>'Unit Savings Calculations'!E66</f>
        <v>each</v>
      </c>
      <c r="H70" s="289">
        <f>'Unit Savings Calculations'!$F66*'Unit Savings Calculations'!J66</f>
        <v>35</v>
      </c>
      <c r="I70" s="289">
        <f>'Unit Savings Calculations'!$F66*'Unit Savings Calculations'!K66</f>
        <v>35</v>
      </c>
      <c r="J70" s="289">
        <f>'Unit Savings Calculations'!$F66*'Unit Savings Calculations'!L66</f>
        <v>35</v>
      </c>
      <c r="K70" s="289">
        <f>'Unit Savings Calculations'!$F66*'Unit Savings Calculations'!M66</f>
        <v>35</v>
      </c>
      <c r="L70" s="287" t="str">
        <f>'Unit Savings Calculations'!U66</f>
        <v>Custom</v>
      </c>
      <c r="M70" s="287" t="str">
        <f>'Unit Savings Calculations'!S66</f>
        <v>Custom</v>
      </c>
      <c r="N70" s="290">
        <v>256.5</v>
      </c>
      <c r="O70" s="290">
        <v>256.5</v>
      </c>
      <c r="P70" s="290">
        <v>256.5</v>
      </c>
      <c r="Q70" s="290">
        <v>256.5</v>
      </c>
      <c r="R70" s="291">
        <f>'Unit Savings Calculations'!$G66</f>
        <v>0.65</v>
      </c>
      <c r="S70" s="291">
        <f>'Unit Savings Calculations'!$G66</f>
        <v>0.65</v>
      </c>
      <c r="T70" s="291">
        <f>'Unit Savings Calculations'!$G66</f>
        <v>0.65</v>
      </c>
      <c r="U70" s="291">
        <f>'Unit Savings Calculations'!$G66</f>
        <v>0.65</v>
      </c>
      <c r="V70" s="292">
        <f t="shared" si="44"/>
        <v>5835.375</v>
      </c>
      <c r="W70" s="292">
        <f t="shared" si="45"/>
        <v>5835.375</v>
      </c>
      <c r="X70" s="292">
        <f t="shared" si="46"/>
        <v>5835.375</v>
      </c>
      <c r="Y70" s="292">
        <f t="shared" si="47"/>
        <v>5835.375</v>
      </c>
      <c r="Z70" s="292">
        <f t="shared" si="48"/>
        <v>23341.5</v>
      </c>
      <c r="AA70" s="364"/>
      <c r="AB70" s="364"/>
      <c r="AC70" s="365">
        <f>'Unit Savings Calculations'!N66</f>
        <v>256.5</v>
      </c>
      <c r="AD70" s="364"/>
      <c r="AE70" s="366">
        <f t="shared" si="7"/>
        <v>5835.375</v>
      </c>
      <c r="AF70" s="367">
        <f t="shared" si="8"/>
        <v>0</v>
      </c>
      <c r="AG70" s="364"/>
      <c r="AH70" s="364">
        <f t="shared" si="9"/>
        <v>0</v>
      </c>
      <c r="AI70" s="368">
        <f>'Unit Savings Calculations'!O66</f>
        <v>256.5</v>
      </c>
      <c r="AJ70" s="364" t="s">
        <v>872</v>
      </c>
      <c r="AK70" s="366">
        <f t="shared" si="10"/>
        <v>5835.375</v>
      </c>
      <c r="AL70" s="367">
        <f t="shared" si="11"/>
        <v>0</v>
      </c>
      <c r="AM70" s="364"/>
      <c r="AN70" s="364"/>
      <c r="AO70" s="368">
        <f>'Unit Savings Calculations'!P66</f>
        <v>256.5</v>
      </c>
      <c r="AP70" s="364" t="s">
        <v>764</v>
      </c>
      <c r="AQ70" s="366">
        <f t="shared" si="12"/>
        <v>5835.375</v>
      </c>
      <c r="AR70" s="367">
        <f t="shared" si="13"/>
        <v>0</v>
      </c>
      <c r="AS70" s="364"/>
      <c r="AT70" s="364"/>
      <c r="AU70" s="368">
        <f>'Unit Savings Calculations'!Q66</f>
        <v>256.5</v>
      </c>
      <c r="AV70" s="364" t="str">
        <f t="shared" si="14"/>
        <v>n/a</v>
      </c>
      <c r="AW70" s="366">
        <f t="shared" si="15"/>
        <v>5835.375</v>
      </c>
      <c r="AX70" s="367">
        <f t="shared" si="16"/>
        <v>0</v>
      </c>
      <c r="AY70" s="292">
        <f t="shared" si="17"/>
        <v>5835.375</v>
      </c>
      <c r="AZ70" s="292">
        <f t="shared" si="18"/>
        <v>5835.375</v>
      </c>
      <c r="BA70" s="292">
        <f t="shared" si="19"/>
        <v>5835.375</v>
      </c>
      <c r="BB70" s="292">
        <f t="shared" si="20"/>
        <v>5835.375</v>
      </c>
      <c r="BC70" s="294">
        <f t="shared" si="21"/>
        <v>23341.5</v>
      </c>
      <c r="BD70" s="287" t="s">
        <v>764</v>
      </c>
      <c r="BE70" s="295" t="str">
        <f t="shared" si="22"/>
        <v>Custom</v>
      </c>
      <c r="BF70" s="297"/>
    </row>
    <row r="71" spans="1:58" ht="13.5" customHeight="1">
      <c r="A71" s="287" t="str">
        <f>'Unit Savings Calculations'!C67</f>
        <v>Res - SF Rebates</v>
      </c>
      <c r="B71" s="287" t="str">
        <f>'Unit Savings Calculations'!D67</f>
        <v>New Construction 25-30% over IL 2015 Code</v>
      </c>
      <c r="C71" s="288">
        <f t="shared" si="23"/>
        <v>0</v>
      </c>
      <c r="D71" s="287" t="str">
        <f>'Unit Savings Calculations'!T67</f>
        <v>Custom</v>
      </c>
      <c r="E71" s="287">
        <f>INDEX('Unit Savings Calculations'!$H$4:$H$421,MATCH('Measure-Level Adjustments Tab'!$A71&amp;"_"&amp;'Measure-Level Adjustments Tab'!$B71,'Unit Savings Calculations'!$A$4:$A$421,0))</f>
        <v>15</v>
      </c>
      <c r="F71" s="287">
        <f>INDEX('Unit Savings Calculations'!$I$4:$I$421,MATCH('Measure-Level Adjustments Tab'!A71&amp;"_"&amp;'Measure-Level Adjustments Tab'!B71,'Unit Savings Calculations'!$A$4:$A$421,0))</f>
        <v>15</v>
      </c>
      <c r="G71" s="287" t="str">
        <f>'Unit Savings Calculations'!E67</f>
        <v>each</v>
      </c>
      <c r="H71" s="289">
        <f>'Unit Savings Calculations'!$F67*'Unit Savings Calculations'!J67</f>
        <v>14</v>
      </c>
      <c r="I71" s="289">
        <f>'Unit Savings Calculations'!$F67*'Unit Savings Calculations'!K67</f>
        <v>14</v>
      </c>
      <c r="J71" s="289">
        <f>'Unit Savings Calculations'!$F67*'Unit Savings Calculations'!L67</f>
        <v>14</v>
      </c>
      <c r="K71" s="289">
        <f>'Unit Savings Calculations'!$F67*'Unit Savings Calculations'!M67</f>
        <v>14</v>
      </c>
      <c r="L71" s="287" t="str">
        <f>'Unit Savings Calculations'!U67</f>
        <v>Custom</v>
      </c>
      <c r="M71" s="287" t="str">
        <f>'Unit Savings Calculations'!S67</f>
        <v>Custom</v>
      </c>
      <c r="N71" s="290">
        <v>361</v>
      </c>
      <c r="O71" s="290">
        <v>361</v>
      </c>
      <c r="P71" s="290">
        <v>361</v>
      </c>
      <c r="Q71" s="290">
        <v>361</v>
      </c>
      <c r="R71" s="291">
        <f>'Unit Savings Calculations'!$G67</f>
        <v>0.65</v>
      </c>
      <c r="S71" s="291">
        <f>'Unit Savings Calculations'!$G67</f>
        <v>0.65</v>
      </c>
      <c r="T71" s="291">
        <f>'Unit Savings Calculations'!$G67</f>
        <v>0.65</v>
      </c>
      <c r="U71" s="291">
        <f>'Unit Savings Calculations'!$G67</f>
        <v>0.65</v>
      </c>
      <c r="V71" s="292">
        <f t="shared" si="44"/>
        <v>3285.1</v>
      </c>
      <c r="W71" s="292">
        <f t="shared" si="45"/>
        <v>3285.1</v>
      </c>
      <c r="X71" s="292">
        <f t="shared" si="46"/>
        <v>3285.1</v>
      </c>
      <c r="Y71" s="292">
        <f t="shared" si="47"/>
        <v>3285.1</v>
      </c>
      <c r="Z71" s="292">
        <f t="shared" si="48"/>
        <v>13140.4</v>
      </c>
      <c r="AA71" s="364"/>
      <c r="AB71" s="364"/>
      <c r="AC71" s="365">
        <f>'Unit Savings Calculations'!N67</f>
        <v>361</v>
      </c>
      <c r="AD71" s="364"/>
      <c r="AE71" s="366">
        <f t="shared" si="7"/>
        <v>3285.1</v>
      </c>
      <c r="AF71" s="367">
        <f t="shared" si="8"/>
        <v>0</v>
      </c>
      <c r="AG71" s="364"/>
      <c r="AH71" s="364">
        <f t="shared" si="9"/>
        <v>0</v>
      </c>
      <c r="AI71" s="368">
        <f>'Unit Savings Calculations'!O67</f>
        <v>361</v>
      </c>
      <c r="AJ71" s="364" t="s">
        <v>872</v>
      </c>
      <c r="AK71" s="366">
        <f t="shared" si="10"/>
        <v>3285.1</v>
      </c>
      <c r="AL71" s="367">
        <f t="shared" si="11"/>
        <v>0</v>
      </c>
      <c r="AM71" s="364"/>
      <c r="AN71" s="364"/>
      <c r="AO71" s="368">
        <f>'Unit Savings Calculations'!P67</f>
        <v>361</v>
      </c>
      <c r="AP71" s="364" t="s">
        <v>764</v>
      </c>
      <c r="AQ71" s="366">
        <f t="shared" si="12"/>
        <v>3285.1</v>
      </c>
      <c r="AR71" s="367">
        <f t="shared" si="13"/>
        <v>0</v>
      </c>
      <c r="AS71" s="364"/>
      <c r="AT71" s="364"/>
      <c r="AU71" s="368">
        <f>'Unit Savings Calculations'!Q67</f>
        <v>361</v>
      </c>
      <c r="AV71" s="364" t="str">
        <f t="shared" si="14"/>
        <v>n/a</v>
      </c>
      <c r="AW71" s="366">
        <f t="shared" si="15"/>
        <v>3285.1</v>
      </c>
      <c r="AX71" s="367">
        <f t="shared" si="16"/>
        <v>0</v>
      </c>
      <c r="AY71" s="292">
        <f t="shared" si="17"/>
        <v>3285.1</v>
      </c>
      <c r="AZ71" s="292">
        <f t="shared" si="18"/>
        <v>3285.1</v>
      </c>
      <c r="BA71" s="292">
        <f t="shared" si="19"/>
        <v>3285.1</v>
      </c>
      <c r="BB71" s="292">
        <f t="shared" si="20"/>
        <v>3285.1</v>
      </c>
      <c r="BC71" s="294">
        <f t="shared" si="21"/>
        <v>13140.4</v>
      </c>
      <c r="BD71" s="287" t="s">
        <v>764</v>
      </c>
      <c r="BE71" s="295" t="str">
        <f t="shared" si="22"/>
        <v>Custom</v>
      </c>
      <c r="BF71" s="297"/>
    </row>
    <row r="72" spans="1:58" ht="13.5" customHeight="1">
      <c r="A72" s="287" t="str">
        <f>'Unit Savings Calculations'!C68</f>
        <v>Res - SF Rebates</v>
      </c>
      <c r="B72" s="287" t="str">
        <f>'Unit Savings Calculations'!D68</f>
        <v>New Construction 30-40% over IL 2015 Code</v>
      </c>
      <c r="C72" s="288">
        <f t="shared" si="23"/>
        <v>0</v>
      </c>
      <c r="D72" s="287" t="str">
        <f>'Unit Savings Calculations'!T68</f>
        <v>Custom</v>
      </c>
      <c r="E72" s="287">
        <f>INDEX('Unit Savings Calculations'!$H$4:$H$421,MATCH('Measure-Level Adjustments Tab'!$A72&amp;"_"&amp;'Measure-Level Adjustments Tab'!$B72,'Unit Savings Calculations'!$A$4:$A$421,0))</f>
        <v>15</v>
      </c>
      <c r="F72" s="287">
        <f>INDEX('Unit Savings Calculations'!$I$4:$I$421,MATCH('Measure-Level Adjustments Tab'!A72&amp;"_"&amp;'Measure-Level Adjustments Tab'!B72,'Unit Savings Calculations'!$A$4:$A$421,0))</f>
        <v>15</v>
      </c>
      <c r="G72" s="287" t="str">
        <f>'Unit Savings Calculations'!E68</f>
        <v>each</v>
      </c>
      <c r="H72" s="289">
        <f>'Unit Savings Calculations'!$F68*'Unit Savings Calculations'!J68</f>
        <v>7</v>
      </c>
      <c r="I72" s="289">
        <f>'Unit Savings Calculations'!$F68*'Unit Savings Calculations'!K68</f>
        <v>7</v>
      </c>
      <c r="J72" s="289">
        <f>'Unit Savings Calculations'!$F68*'Unit Savings Calculations'!L68</f>
        <v>7</v>
      </c>
      <c r="K72" s="289">
        <f>'Unit Savings Calculations'!$F68*'Unit Savings Calculations'!M68</f>
        <v>7</v>
      </c>
      <c r="L72" s="287" t="str">
        <f>'Unit Savings Calculations'!U68</f>
        <v>Custom</v>
      </c>
      <c r="M72" s="287" t="str">
        <f>'Unit Savings Calculations'!S68</f>
        <v>Custom</v>
      </c>
      <c r="N72" s="290">
        <v>475</v>
      </c>
      <c r="O72" s="290">
        <v>475</v>
      </c>
      <c r="P72" s="290">
        <v>475</v>
      </c>
      <c r="Q72" s="290">
        <v>475</v>
      </c>
      <c r="R72" s="291">
        <f>'Unit Savings Calculations'!$G68</f>
        <v>0.65</v>
      </c>
      <c r="S72" s="291">
        <f>'Unit Savings Calculations'!$G68</f>
        <v>0.65</v>
      </c>
      <c r="T72" s="291">
        <f>'Unit Savings Calculations'!$G68</f>
        <v>0.65</v>
      </c>
      <c r="U72" s="291">
        <f>'Unit Savings Calculations'!$G68</f>
        <v>0.65</v>
      </c>
      <c r="V72" s="292">
        <f t="shared" si="44"/>
        <v>2161.25</v>
      </c>
      <c r="W72" s="292">
        <f t="shared" si="45"/>
        <v>2161.25</v>
      </c>
      <c r="X72" s="292">
        <f t="shared" si="46"/>
        <v>2161.25</v>
      </c>
      <c r="Y72" s="292">
        <f t="shared" si="47"/>
        <v>2161.25</v>
      </c>
      <c r="Z72" s="292">
        <f t="shared" si="48"/>
        <v>8645</v>
      </c>
      <c r="AA72" s="364"/>
      <c r="AB72" s="364"/>
      <c r="AC72" s="365">
        <f>'Unit Savings Calculations'!N68</f>
        <v>475</v>
      </c>
      <c r="AD72" s="364"/>
      <c r="AE72" s="366">
        <f t="shared" si="7"/>
        <v>2161.25</v>
      </c>
      <c r="AF72" s="367">
        <f t="shared" si="8"/>
        <v>0</v>
      </c>
      <c r="AG72" s="364"/>
      <c r="AH72" s="364">
        <f t="shared" si="9"/>
        <v>0</v>
      </c>
      <c r="AI72" s="368">
        <f>'Unit Savings Calculations'!O68</f>
        <v>475</v>
      </c>
      <c r="AJ72" s="364" t="s">
        <v>872</v>
      </c>
      <c r="AK72" s="366">
        <f t="shared" si="10"/>
        <v>2161.25</v>
      </c>
      <c r="AL72" s="367">
        <f t="shared" si="11"/>
        <v>0</v>
      </c>
      <c r="AM72" s="364"/>
      <c r="AN72" s="364"/>
      <c r="AO72" s="368">
        <f>'Unit Savings Calculations'!P68</f>
        <v>475</v>
      </c>
      <c r="AP72" s="364" t="s">
        <v>764</v>
      </c>
      <c r="AQ72" s="366">
        <f t="shared" si="12"/>
        <v>2161.25</v>
      </c>
      <c r="AR72" s="367">
        <f t="shared" si="13"/>
        <v>0</v>
      </c>
      <c r="AS72" s="364"/>
      <c r="AT72" s="364"/>
      <c r="AU72" s="368">
        <f>'Unit Savings Calculations'!Q68</f>
        <v>475</v>
      </c>
      <c r="AV72" s="364" t="str">
        <f t="shared" si="14"/>
        <v>n/a</v>
      </c>
      <c r="AW72" s="366">
        <f t="shared" si="15"/>
        <v>2161.25</v>
      </c>
      <c r="AX72" s="367">
        <f t="shared" si="16"/>
        <v>0</v>
      </c>
      <c r="AY72" s="292">
        <f t="shared" si="17"/>
        <v>2161.25</v>
      </c>
      <c r="AZ72" s="292">
        <f t="shared" si="18"/>
        <v>2161.25</v>
      </c>
      <c r="BA72" s="292">
        <f t="shared" si="19"/>
        <v>2161.25</v>
      </c>
      <c r="BB72" s="292">
        <f t="shared" si="20"/>
        <v>2161.25</v>
      </c>
      <c r="BC72" s="294">
        <f t="shared" si="21"/>
        <v>8645</v>
      </c>
      <c r="BD72" s="287" t="s">
        <v>764</v>
      </c>
      <c r="BE72" s="295" t="str">
        <f t="shared" si="22"/>
        <v>Custom</v>
      </c>
      <c r="BF72" s="297"/>
    </row>
    <row r="73" spans="1:58" ht="13.5" customHeight="1">
      <c r="A73" s="287" t="str">
        <f>'Unit Savings Calculations'!C69</f>
        <v>Res - SF Rebates</v>
      </c>
      <c r="B73" s="287" t="str">
        <f>'Unit Savings Calculations'!D69</f>
        <v>New Construction ≥40% over IL 2015 Code</v>
      </c>
      <c r="C73" s="288">
        <f t="shared" si="23"/>
        <v>0</v>
      </c>
      <c r="D73" s="287" t="str">
        <f>'Unit Savings Calculations'!T69</f>
        <v>Custom</v>
      </c>
      <c r="E73" s="287">
        <f>INDEX('Unit Savings Calculations'!$H$4:$H$421,MATCH('Measure-Level Adjustments Tab'!$A73&amp;"_"&amp;'Measure-Level Adjustments Tab'!$B73,'Unit Savings Calculations'!$A$4:$A$421,0))</f>
        <v>15</v>
      </c>
      <c r="F73" s="287">
        <f>INDEX('Unit Savings Calculations'!$I$4:$I$421,MATCH('Measure-Level Adjustments Tab'!A73&amp;"_"&amp;'Measure-Level Adjustments Tab'!B73,'Unit Savings Calculations'!$A$4:$A$421,0))</f>
        <v>15</v>
      </c>
      <c r="G73" s="287" t="str">
        <f>'Unit Savings Calculations'!E69</f>
        <v>each</v>
      </c>
      <c r="H73" s="289">
        <f>'Unit Savings Calculations'!$F69*'Unit Savings Calculations'!J69</f>
        <v>1</v>
      </c>
      <c r="I73" s="289">
        <f>'Unit Savings Calculations'!$F69*'Unit Savings Calculations'!K69</f>
        <v>1</v>
      </c>
      <c r="J73" s="289">
        <f>'Unit Savings Calculations'!$F69*'Unit Savings Calculations'!L69</f>
        <v>1</v>
      </c>
      <c r="K73" s="289">
        <f>'Unit Savings Calculations'!$F69*'Unit Savings Calculations'!M69</f>
        <v>1</v>
      </c>
      <c r="L73" s="287" t="str">
        <f>'Unit Savings Calculations'!U69</f>
        <v>Custom</v>
      </c>
      <c r="M73" s="287" t="str">
        <f>'Unit Savings Calculations'!S69</f>
        <v>Custom</v>
      </c>
      <c r="N73" s="290">
        <v>798</v>
      </c>
      <c r="O73" s="290">
        <v>798</v>
      </c>
      <c r="P73" s="290">
        <v>798</v>
      </c>
      <c r="Q73" s="290">
        <v>798</v>
      </c>
      <c r="R73" s="291">
        <f>'Unit Savings Calculations'!$G69</f>
        <v>0.65</v>
      </c>
      <c r="S73" s="291">
        <f>'Unit Savings Calculations'!$G69</f>
        <v>0.65</v>
      </c>
      <c r="T73" s="291">
        <f>'Unit Savings Calculations'!$G69</f>
        <v>0.65</v>
      </c>
      <c r="U73" s="291">
        <f>'Unit Savings Calculations'!$G69</f>
        <v>0.65</v>
      </c>
      <c r="V73" s="292">
        <f t="shared" si="44"/>
        <v>518.70000000000005</v>
      </c>
      <c r="W73" s="292">
        <f t="shared" si="45"/>
        <v>518.70000000000005</v>
      </c>
      <c r="X73" s="292">
        <f t="shared" si="46"/>
        <v>518.70000000000005</v>
      </c>
      <c r="Y73" s="292">
        <f t="shared" si="47"/>
        <v>518.70000000000005</v>
      </c>
      <c r="Z73" s="292">
        <f t="shared" si="48"/>
        <v>2074.8000000000002</v>
      </c>
      <c r="AA73" s="364"/>
      <c r="AB73" s="364"/>
      <c r="AC73" s="365">
        <f>'Unit Savings Calculations'!N69</f>
        <v>798</v>
      </c>
      <c r="AD73" s="364"/>
      <c r="AE73" s="366">
        <f t="shared" ref="AE73:AE136" si="49">H73*AC73*R73</f>
        <v>518.70000000000005</v>
      </c>
      <c r="AF73" s="367">
        <f t="shared" ref="AF73:AF136" si="50">AE73-V73</f>
        <v>0</v>
      </c>
      <c r="AG73" s="364"/>
      <c r="AH73" s="364">
        <f t="shared" ref="AH73:AH136" si="51">AB73</f>
        <v>0</v>
      </c>
      <c r="AI73" s="368">
        <f>'Unit Savings Calculations'!O69</f>
        <v>798</v>
      </c>
      <c r="AJ73" s="364" t="s">
        <v>872</v>
      </c>
      <c r="AK73" s="366">
        <f t="shared" ref="AK73:AK136" si="52">I73*AI73*S73</f>
        <v>518.70000000000005</v>
      </c>
      <c r="AL73" s="367">
        <f t="shared" ref="AL73:AL136" si="53">AK73-W73</f>
        <v>0</v>
      </c>
      <c r="AM73" s="364"/>
      <c r="AN73" s="364"/>
      <c r="AO73" s="368">
        <f>'Unit Savings Calculations'!P69</f>
        <v>798</v>
      </c>
      <c r="AP73" s="364" t="s">
        <v>764</v>
      </c>
      <c r="AQ73" s="366">
        <f t="shared" ref="AQ73:AQ136" si="54">J73*AO73*T73</f>
        <v>518.70000000000005</v>
      </c>
      <c r="AR73" s="367">
        <f t="shared" ref="AR73:AR136" si="55">AQ73-X73</f>
        <v>0</v>
      </c>
      <c r="AS73" s="364"/>
      <c r="AT73" s="364"/>
      <c r="AU73" s="368">
        <f>'Unit Savings Calculations'!Q69</f>
        <v>798</v>
      </c>
      <c r="AV73" s="364" t="str">
        <f t="shared" ref="AV73:AV136" si="56">AP73</f>
        <v>n/a</v>
      </c>
      <c r="AW73" s="366">
        <f t="shared" ref="AW73:AW136" si="57">K73*AU73*U73</f>
        <v>518.70000000000005</v>
      </c>
      <c r="AX73" s="367">
        <f t="shared" ref="AX73:AX136" si="58">AW73-Y73</f>
        <v>0</v>
      </c>
      <c r="AY73" s="292">
        <f t="shared" ref="AY73:AY136" si="59">IF(C73=1,AE73,V73)</f>
        <v>518.70000000000005</v>
      </c>
      <c r="AZ73" s="292">
        <f t="shared" ref="AZ73:AZ136" si="60">IF(C73=1,AK73,W73)</f>
        <v>518.70000000000005</v>
      </c>
      <c r="BA73" s="292">
        <f t="shared" ref="BA73:BA136" si="61">IF(C73=1,AQ73,X73)</f>
        <v>518.70000000000005</v>
      </c>
      <c r="BB73" s="292">
        <f t="shared" ref="BB73:BB136" si="62">IF(C73=1,AW73,Y73)</f>
        <v>518.70000000000005</v>
      </c>
      <c r="BC73" s="294">
        <f t="shared" ref="BC73:BC136" si="63">AY73+AZ73+BA73+BB73</f>
        <v>2074.8000000000002</v>
      </c>
      <c r="BD73" s="287" t="s">
        <v>764</v>
      </c>
      <c r="BE73" s="295" t="str">
        <f t="shared" ref="BE73:BE136" si="64">M73</f>
        <v>Custom</v>
      </c>
      <c r="BF73" s="297"/>
    </row>
    <row r="74" spans="1:58" ht="13.5" customHeight="1">
      <c r="A74" s="287" t="str">
        <f>'Unit Savings Calculations'!C70</f>
        <v>Res - MF Standard Rebates</v>
      </c>
      <c r="B74" s="287" t="str">
        <f>'Unit Savings Calculations'!D70</f>
        <v>Boiler ≥88% AFUE, &lt;300MBh</v>
      </c>
      <c r="C74" s="288">
        <f t="shared" ref="C74:C86" si="65">IF(D74="Custom",0,1)</f>
        <v>1</v>
      </c>
      <c r="D74" s="287" t="str">
        <f>'Unit Savings Calculations'!T70</f>
        <v>4.4.10</v>
      </c>
      <c r="E74" s="287">
        <f>INDEX('Unit Savings Calculations'!$H$4:$H$421,MATCH('Measure-Level Adjustments Tab'!$A74&amp;"_"&amp;'Measure-Level Adjustments Tab'!$B74,'Unit Savings Calculations'!$A$4:$A$421,0))</f>
        <v>20</v>
      </c>
      <c r="F74" s="287">
        <f>INDEX('Unit Savings Calculations'!$I$4:$I$421,MATCH('Measure-Level Adjustments Tab'!A74&amp;"_"&amp;'Measure-Level Adjustments Tab'!B74,'Unit Savings Calculations'!$A$4:$A$421,0))</f>
        <v>20</v>
      </c>
      <c r="G74" s="287" t="str">
        <f>'Unit Savings Calculations'!E70</f>
        <v>MBH</v>
      </c>
      <c r="H74" s="289">
        <f>'Unit Savings Calculations'!$F70*'Unit Savings Calculations'!J70</f>
        <v>2700</v>
      </c>
      <c r="I74" s="289">
        <f>'Unit Savings Calculations'!$F70*'Unit Savings Calculations'!K70</f>
        <v>2700</v>
      </c>
      <c r="J74" s="289">
        <f>'Unit Savings Calculations'!$F70*'Unit Savings Calculations'!L70</f>
        <v>2700</v>
      </c>
      <c r="K74" s="289">
        <f>'Unit Savings Calculations'!$F70*'Unit Savings Calculations'!M70</f>
        <v>2700</v>
      </c>
      <c r="L74" s="287" t="str">
        <f>'Unit Savings Calculations'!U70</f>
        <v>CI-HVC-BOIL-V05-150601</v>
      </c>
      <c r="M74" s="363" t="s">
        <v>830</v>
      </c>
      <c r="N74" s="290">
        <v>1.2329268292682938</v>
      </c>
      <c r="O74" s="290">
        <v>1.2329268292682938</v>
      </c>
      <c r="P74" s="290">
        <v>1.2329268292682938</v>
      </c>
      <c r="Q74" s="290">
        <v>1.2329268292682938</v>
      </c>
      <c r="R74" s="291">
        <f>'Unit Savings Calculations'!$G70</f>
        <v>0.76</v>
      </c>
      <c r="S74" s="291">
        <f>'Unit Savings Calculations'!$G70</f>
        <v>0.76</v>
      </c>
      <c r="T74" s="291">
        <f>'Unit Savings Calculations'!$G70</f>
        <v>0.76</v>
      </c>
      <c r="U74" s="291">
        <f>'Unit Savings Calculations'!$G70</f>
        <v>0.76</v>
      </c>
      <c r="V74" s="292">
        <f t="shared" si="44"/>
        <v>2529.9658536585389</v>
      </c>
      <c r="W74" s="292">
        <f t="shared" si="45"/>
        <v>2529.9658536585389</v>
      </c>
      <c r="X74" s="292">
        <f t="shared" si="46"/>
        <v>2529.9658536585389</v>
      </c>
      <c r="Y74" s="292">
        <f t="shared" si="47"/>
        <v>2529.9658536585389</v>
      </c>
      <c r="Z74" s="292">
        <f t="shared" si="48"/>
        <v>10119.863414634156</v>
      </c>
      <c r="AA74" s="287"/>
      <c r="AB74" s="287"/>
      <c r="AC74" s="293">
        <f>'Unit Savings Calculations'!N70</f>
        <v>1.3039024390243914</v>
      </c>
      <c r="AD74" s="287"/>
      <c r="AE74" s="292">
        <f t="shared" si="49"/>
        <v>2675.6078048780514</v>
      </c>
      <c r="AF74" s="289">
        <f t="shared" si="50"/>
        <v>145.64195121951252</v>
      </c>
      <c r="AG74" s="287"/>
      <c r="AH74" s="287">
        <f t="shared" si="51"/>
        <v>0</v>
      </c>
      <c r="AI74" s="290">
        <f>'Unit Savings Calculations'!O70</f>
        <v>1.3039024390243914</v>
      </c>
      <c r="AJ74" s="287" t="s">
        <v>872</v>
      </c>
      <c r="AK74" s="292">
        <f t="shared" si="52"/>
        <v>2675.6078048780514</v>
      </c>
      <c r="AL74" s="289">
        <f t="shared" si="53"/>
        <v>145.64195121951252</v>
      </c>
      <c r="AM74" s="287"/>
      <c r="AN74" s="287"/>
      <c r="AO74" s="290">
        <f>'Unit Savings Calculations'!P70</f>
        <v>1.3039024390243914</v>
      </c>
      <c r="AP74" s="287" t="s">
        <v>1450</v>
      </c>
      <c r="AQ74" s="292">
        <f t="shared" si="54"/>
        <v>2675.6078048780514</v>
      </c>
      <c r="AR74" s="289">
        <f t="shared" si="55"/>
        <v>145.64195121951252</v>
      </c>
      <c r="AS74" s="287"/>
      <c r="AT74" s="287"/>
      <c r="AU74" s="290">
        <f>'Unit Savings Calculations'!Q70</f>
        <v>1.3039024390243914</v>
      </c>
      <c r="AV74" s="287" t="str">
        <f t="shared" si="56"/>
        <v>Updated heating EFLH</v>
      </c>
      <c r="AW74" s="292">
        <f t="shared" si="57"/>
        <v>2675.6078048780514</v>
      </c>
      <c r="AX74" s="289">
        <f t="shared" si="58"/>
        <v>145.64195121951252</v>
      </c>
      <c r="AY74" s="292">
        <f t="shared" si="59"/>
        <v>2675.6078048780514</v>
      </c>
      <c r="AZ74" s="292">
        <f t="shared" si="60"/>
        <v>2675.6078048780514</v>
      </c>
      <c r="BA74" s="292">
        <f t="shared" si="61"/>
        <v>2675.6078048780514</v>
      </c>
      <c r="BB74" s="292">
        <f t="shared" si="62"/>
        <v>2675.6078048780514</v>
      </c>
      <c r="BC74" s="294">
        <f t="shared" si="63"/>
        <v>10702.431219512206</v>
      </c>
      <c r="BD74" s="287" t="s">
        <v>764</v>
      </c>
      <c r="BE74" s="295" t="str">
        <f t="shared" si="64"/>
        <v>Exhibit 1.5B_R Peoples Gas EEPS_Adjustable_Savings_Goal_Template.xlsx, Unit Savings Calculations Tab</v>
      </c>
      <c r="BF74" s="297"/>
    </row>
    <row r="75" spans="1:58" ht="13.5" customHeight="1">
      <c r="A75" s="287" t="str">
        <f>'Unit Savings Calculations'!C71</f>
        <v>Res - MF Standard Rebates</v>
      </c>
      <c r="B75" s="287" t="str">
        <f>'Unit Savings Calculations'!D71</f>
        <v>Boiler ≥88% AFUE, ≥300MBh TE</v>
      </c>
      <c r="C75" s="288">
        <f t="shared" si="65"/>
        <v>1</v>
      </c>
      <c r="D75" s="287" t="str">
        <f>'Unit Savings Calculations'!T71</f>
        <v>4.4.10</v>
      </c>
      <c r="E75" s="287">
        <f>INDEX('Unit Savings Calculations'!$H$4:$H$421,MATCH('Measure-Level Adjustments Tab'!$A75&amp;"_"&amp;'Measure-Level Adjustments Tab'!$B75,'Unit Savings Calculations'!$A$4:$A$421,0))</f>
        <v>20</v>
      </c>
      <c r="F75" s="287">
        <f>INDEX('Unit Savings Calculations'!$I$4:$I$421,MATCH('Measure-Level Adjustments Tab'!A75&amp;"_"&amp;'Measure-Level Adjustments Tab'!B75,'Unit Savings Calculations'!$A$4:$A$421,0))</f>
        <v>20</v>
      </c>
      <c r="G75" s="287" t="str">
        <f>'Unit Savings Calculations'!E71</f>
        <v>MBH</v>
      </c>
      <c r="H75" s="289">
        <f>'Unit Savings Calculations'!$F71*'Unit Savings Calculations'!J71</f>
        <v>8750</v>
      </c>
      <c r="I75" s="289">
        <f>'Unit Savings Calculations'!$F71*'Unit Savings Calculations'!K71</f>
        <v>8750</v>
      </c>
      <c r="J75" s="289">
        <f>'Unit Savings Calculations'!$F71*'Unit Savings Calculations'!L71</f>
        <v>8750</v>
      </c>
      <c r="K75" s="289">
        <f>'Unit Savings Calculations'!$F71*'Unit Savings Calculations'!M71</f>
        <v>8750</v>
      </c>
      <c r="L75" s="287" t="str">
        <f>'Unit Savings Calculations'!U71</f>
        <v>CI-HVC-BOIL-V05-150601</v>
      </c>
      <c r="M75" s="363" t="s">
        <v>830</v>
      </c>
      <c r="N75" s="290">
        <v>1.6849999999999989</v>
      </c>
      <c r="O75" s="290">
        <v>1.6849999999999989</v>
      </c>
      <c r="P75" s="290">
        <v>1.6849999999999989</v>
      </c>
      <c r="Q75" s="290">
        <v>1.6849999999999989</v>
      </c>
      <c r="R75" s="291">
        <f>'Unit Savings Calculations'!$G71</f>
        <v>0.76</v>
      </c>
      <c r="S75" s="291">
        <f>'Unit Savings Calculations'!$G71</f>
        <v>0.76</v>
      </c>
      <c r="T75" s="291">
        <f>'Unit Savings Calculations'!$G71</f>
        <v>0.76</v>
      </c>
      <c r="U75" s="291">
        <f>'Unit Savings Calculations'!$G71</f>
        <v>0.76</v>
      </c>
      <c r="V75" s="292">
        <f t="shared" si="44"/>
        <v>11205.249999999993</v>
      </c>
      <c r="W75" s="292">
        <f t="shared" si="45"/>
        <v>11205.249999999993</v>
      </c>
      <c r="X75" s="292">
        <f t="shared" si="46"/>
        <v>11205.249999999993</v>
      </c>
      <c r="Y75" s="292">
        <f t="shared" si="47"/>
        <v>11205.249999999993</v>
      </c>
      <c r="Z75" s="292">
        <f t="shared" si="48"/>
        <v>44820.999999999971</v>
      </c>
      <c r="AA75" s="287"/>
      <c r="AB75" s="287"/>
      <c r="AC75" s="293">
        <f>'Unit Savings Calculations'!N71</f>
        <v>1.7819999999999991</v>
      </c>
      <c r="AD75" s="287"/>
      <c r="AE75" s="292">
        <f t="shared" si="49"/>
        <v>11850.299999999994</v>
      </c>
      <c r="AF75" s="289">
        <f t="shared" si="50"/>
        <v>645.05000000000109</v>
      </c>
      <c r="AG75" s="287"/>
      <c r="AH75" s="287">
        <f t="shared" si="51"/>
        <v>0</v>
      </c>
      <c r="AI75" s="290">
        <f>'Unit Savings Calculations'!O71</f>
        <v>1.7819999999999991</v>
      </c>
      <c r="AJ75" s="287" t="s">
        <v>872</v>
      </c>
      <c r="AK75" s="292">
        <f t="shared" si="52"/>
        <v>11850.299999999994</v>
      </c>
      <c r="AL75" s="289">
        <f t="shared" si="53"/>
        <v>645.05000000000109</v>
      </c>
      <c r="AM75" s="287"/>
      <c r="AN75" s="287"/>
      <c r="AO75" s="290">
        <f>'Unit Savings Calculations'!P71</f>
        <v>1.7819999999999991</v>
      </c>
      <c r="AP75" s="287" t="s">
        <v>1450</v>
      </c>
      <c r="AQ75" s="292">
        <f t="shared" si="54"/>
        <v>11850.299999999994</v>
      </c>
      <c r="AR75" s="289">
        <f t="shared" si="55"/>
        <v>645.05000000000109</v>
      </c>
      <c r="AS75" s="287"/>
      <c r="AT75" s="287"/>
      <c r="AU75" s="290">
        <f>'Unit Savings Calculations'!Q71</f>
        <v>1.7819999999999991</v>
      </c>
      <c r="AV75" s="287" t="str">
        <f t="shared" si="56"/>
        <v>Updated heating EFLH</v>
      </c>
      <c r="AW75" s="292">
        <f t="shared" si="57"/>
        <v>11850.299999999994</v>
      </c>
      <c r="AX75" s="289">
        <f t="shared" si="58"/>
        <v>645.05000000000109</v>
      </c>
      <c r="AY75" s="292">
        <f t="shared" si="59"/>
        <v>11850.299999999994</v>
      </c>
      <c r="AZ75" s="292">
        <f t="shared" si="60"/>
        <v>11850.299999999994</v>
      </c>
      <c r="BA75" s="292">
        <f t="shared" si="61"/>
        <v>11850.299999999994</v>
      </c>
      <c r="BB75" s="292">
        <f t="shared" si="62"/>
        <v>11850.299999999994</v>
      </c>
      <c r="BC75" s="294">
        <f t="shared" si="63"/>
        <v>47401.199999999975</v>
      </c>
      <c r="BD75" s="287" t="s">
        <v>764</v>
      </c>
      <c r="BE75" s="295" t="str">
        <f t="shared" si="64"/>
        <v>Exhibit 1.5B_R Peoples Gas EEPS_Adjustable_Savings_Goal_Template.xlsx, Unit Savings Calculations Tab</v>
      </c>
      <c r="BF75" s="297"/>
    </row>
    <row r="76" spans="1:58" ht="13.5" customHeight="1">
      <c r="A76" s="287" t="str">
        <f>'Unit Savings Calculations'!C72</f>
        <v>Res - MF Standard Rebates</v>
      </c>
      <c r="B76" s="287" t="str">
        <f>'Unit Savings Calculations'!D72</f>
        <v>Boiler Reset Controls</v>
      </c>
      <c r="C76" s="288">
        <f t="shared" si="65"/>
        <v>1</v>
      </c>
      <c r="D76" s="287" t="str">
        <f>'Unit Savings Calculations'!T72</f>
        <v>4.4.4</v>
      </c>
      <c r="E76" s="287">
        <f>INDEX('Unit Savings Calculations'!$H$4:$H$421,MATCH('Measure-Level Adjustments Tab'!$A76&amp;"_"&amp;'Measure-Level Adjustments Tab'!$B76,'Unit Savings Calculations'!$A$4:$A$421,0))</f>
        <v>20</v>
      </c>
      <c r="F76" s="287">
        <f>INDEX('Unit Savings Calculations'!$I$4:$I$421,MATCH('Measure-Level Adjustments Tab'!A76&amp;"_"&amp;'Measure-Level Adjustments Tab'!B76,'Unit Savings Calculations'!$A$4:$A$421,0))</f>
        <v>20</v>
      </c>
      <c r="G76" s="287" t="str">
        <f>'Unit Savings Calculations'!E72</f>
        <v>MBH</v>
      </c>
      <c r="H76" s="289">
        <f>'Unit Savings Calculations'!$F72*'Unit Savings Calculations'!J72</f>
        <v>2200</v>
      </c>
      <c r="I76" s="289">
        <f>'Unit Savings Calculations'!$F72*'Unit Savings Calculations'!K72</f>
        <v>2200</v>
      </c>
      <c r="J76" s="289">
        <f>'Unit Savings Calculations'!$F72*'Unit Savings Calculations'!L72</f>
        <v>2200</v>
      </c>
      <c r="K76" s="289">
        <f>'Unit Savings Calculations'!$F72*'Unit Savings Calculations'!M72</f>
        <v>2200</v>
      </c>
      <c r="L76" s="287" t="str">
        <f>'Unit Savings Calculations'!U72</f>
        <v>CI-HVC-BLRC-V03-150601</v>
      </c>
      <c r="M76" s="363" t="s">
        <v>830</v>
      </c>
      <c r="N76" s="290">
        <v>1.3480000000000001</v>
      </c>
      <c r="O76" s="290">
        <v>1.3480000000000001</v>
      </c>
      <c r="P76" s="290">
        <v>1.3480000000000001</v>
      </c>
      <c r="Q76" s="290">
        <v>1.3480000000000001</v>
      </c>
      <c r="R76" s="291">
        <f>'Unit Savings Calculations'!$G72</f>
        <v>0.76</v>
      </c>
      <c r="S76" s="291">
        <f>'Unit Savings Calculations'!$G72</f>
        <v>0.76</v>
      </c>
      <c r="T76" s="291">
        <f>'Unit Savings Calculations'!$G72</f>
        <v>0.76</v>
      </c>
      <c r="U76" s="291">
        <f>'Unit Savings Calculations'!$G72</f>
        <v>0.76</v>
      </c>
      <c r="V76" s="292">
        <f t="shared" si="44"/>
        <v>2253.8560000000002</v>
      </c>
      <c r="W76" s="292">
        <f t="shared" si="45"/>
        <v>2253.8560000000002</v>
      </c>
      <c r="X76" s="292">
        <f t="shared" si="46"/>
        <v>2253.8560000000002</v>
      </c>
      <c r="Y76" s="292">
        <f t="shared" si="47"/>
        <v>2253.8560000000002</v>
      </c>
      <c r="Z76" s="292">
        <f t="shared" si="48"/>
        <v>9015.4240000000009</v>
      </c>
      <c r="AA76" s="287"/>
      <c r="AB76" s="287"/>
      <c r="AC76" s="293">
        <f>'Unit Savings Calculations'!N72</f>
        <v>1.4256</v>
      </c>
      <c r="AD76" s="287"/>
      <c r="AE76" s="292">
        <f t="shared" si="49"/>
        <v>2383.6032</v>
      </c>
      <c r="AF76" s="289">
        <f t="shared" si="50"/>
        <v>129.74719999999979</v>
      </c>
      <c r="AG76" s="287"/>
      <c r="AH76" s="287">
        <f t="shared" si="51"/>
        <v>0</v>
      </c>
      <c r="AI76" s="290">
        <f>'Unit Savings Calculations'!O72</f>
        <v>1.4256</v>
      </c>
      <c r="AJ76" s="287" t="s">
        <v>872</v>
      </c>
      <c r="AK76" s="292">
        <f t="shared" si="52"/>
        <v>2383.6032</v>
      </c>
      <c r="AL76" s="289">
        <f t="shared" si="53"/>
        <v>129.74719999999979</v>
      </c>
      <c r="AM76" s="287"/>
      <c r="AN76" s="287"/>
      <c r="AO76" s="290">
        <f>'Unit Savings Calculations'!P72</f>
        <v>1.4256</v>
      </c>
      <c r="AP76" s="287" t="s">
        <v>1450</v>
      </c>
      <c r="AQ76" s="292">
        <f t="shared" si="54"/>
        <v>2383.6032</v>
      </c>
      <c r="AR76" s="289">
        <f t="shared" si="55"/>
        <v>129.74719999999979</v>
      </c>
      <c r="AS76" s="287"/>
      <c r="AT76" s="287"/>
      <c r="AU76" s="290">
        <f>'Unit Savings Calculations'!Q72</f>
        <v>1.4256</v>
      </c>
      <c r="AV76" s="287" t="str">
        <f t="shared" si="56"/>
        <v>Updated heating EFLH</v>
      </c>
      <c r="AW76" s="292">
        <f t="shared" si="57"/>
        <v>2383.6032</v>
      </c>
      <c r="AX76" s="289">
        <f t="shared" si="58"/>
        <v>129.74719999999979</v>
      </c>
      <c r="AY76" s="292">
        <f t="shared" si="59"/>
        <v>2383.6032</v>
      </c>
      <c r="AZ76" s="292">
        <f t="shared" si="60"/>
        <v>2383.6032</v>
      </c>
      <c r="BA76" s="292">
        <f t="shared" si="61"/>
        <v>2383.6032</v>
      </c>
      <c r="BB76" s="292">
        <f t="shared" si="62"/>
        <v>2383.6032</v>
      </c>
      <c r="BC76" s="294">
        <f t="shared" si="63"/>
        <v>9534.4128000000001</v>
      </c>
      <c r="BD76" s="287" t="s">
        <v>764</v>
      </c>
      <c r="BE76" s="295" t="str">
        <f t="shared" si="64"/>
        <v>Exhibit 1.5B_R Peoples Gas EEPS_Adjustable_Savings_Goal_Template.xlsx, Unit Savings Calculations Tab</v>
      </c>
      <c r="BF76" s="297"/>
    </row>
    <row r="77" spans="1:58" ht="13.5" customHeight="1">
      <c r="A77" s="287" t="str">
        <f>'Unit Savings Calculations'!C73</f>
        <v>Res - MF Standard Rebates</v>
      </c>
      <c r="B77" s="287" t="str">
        <f>'Unit Savings Calculations'!D73</f>
        <v>Boiler Tune Up - Process</v>
      </c>
      <c r="C77" s="288">
        <f t="shared" si="65"/>
        <v>1</v>
      </c>
      <c r="D77" s="287" t="str">
        <f>'Unit Savings Calculations'!T73</f>
        <v>4.4.3</v>
      </c>
      <c r="E77" s="287">
        <f>INDEX('Unit Savings Calculations'!$H$4:$H$421,MATCH('Measure-Level Adjustments Tab'!$A77&amp;"_"&amp;'Measure-Level Adjustments Tab'!$B77,'Unit Savings Calculations'!$A$4:$A$421,0))</f>
        <v>3</v>
      </c>
      <c r="F77" s="287">
        <f>INDEX('Unit Savings Calculations'!$I$4:$I$421,MATCH('Measure-Level Adjustments Tab'!A77&amp;"_"&amp;'Measure-Level Adjustments Tab'!B77,'Unit Savings Calculations'!$A$4:$A$421,0))</f>
        <v>3</v>
      </c>
      <c r="G77" s="287" t="str">
        <f>'Unit Savings Calculations'!E73</f>
        <v>MBH</v>
      </c>
      <c r="H77" s="289">
        <f>'Unit Savings Calculations'!$F73*'Unit Savings Calculations'!J73</f>
        <v>1400</v>
      </c>
      <c r="I77" s="289">
        <f>'Unit Savings Calculations'!$F73*'Unit Savings Calculations'!K73</f>
        <v>1400</v>
      </c>
      <c r="J77" s="289">
        <f>'Unit Savings Calculations'!$F73*'Unit Savings Calculations'!L73</f>
        <v>1400</v>
      </c>
      <c r="K77" s="289">
        <f>'Unit Savings Calculations'!$F73*'Unit Savings Calculations'!M73</f>
        <v>1400</v>
      </c>
      <c r="L77" s="287" t="str">
        <f>'Unit Savings Calculations'!U73</f>
        <v>CI-HVC-PBTU-V05-160601</v>
      </c>
      <c r="M77" s="363" t="s">
        <v>830</v>
      </c>
      <c r="N77" s="290">
        <v>0.83823507428978783</v>
      </c>
      <c r="O77" s="290">
        <v>0.83823507428978783</v>
      </c>
      <c r="P77" s="290">
        <v>0.83823507428978783</v>
      </c>
      <c r="Q77" s="290">
        <v>0.83823507428978783</v>
      </c>
      <c r="R77" s="291">
        <f>'Unit Savings Calculations'!$G73</f>
        <v>0.76</v>
      </c>
      <c r="S77" s="291">
        <f>'Unit Savings Calculations'!$G73</f>
        <v>0.76</v>
      </c>
      <c r="T77" s="291">
        <f>'Unit Savings Calculations'!$G73</f>
        <v>0.76</v>
      </c>
      <c r="U77" s="291">
        <f>'Unit Savings Calculations'!$G73</f>
        <v>0.76</v>
      </c>
      <c r="V77" s="292">
        <f t="shared" si="44"/>
        <v>891.88211904433422</v>
      </c>
      <c r="W77" s="292">
        <f t="shared" si="45"/>
        <v>891.88211904433422</v>
      </c>
      <c r="X77" s="292">
        <f t="shared" si="46"/>
        <v>891.88211904433422</v>
      </c>
      <c r="Y77" s="292">
        <f t="shared" si="47"/>
        <v>891.88211904433422</v>
      </c>
      <c r="Z77" s="292">
        <f t="shared" si="48"/>
        <v>3567.5284761773369</v>
      </c>
      <c r="AA77" s="287"/>
      <c r="AB77" s="287"/>
      <c r="AC77" s="293">
        <f>'Unit Savings Calculations'!N73</f>
        <v>0.83823507428978783</v>
      </c>
      <c r="AD77" s="287"/>
      <c r="AE77" s="292">
        <f t="shared" si="49"/>
        <v>891.88211904433422</v>
      </c>
      <c r="AF77" s="289">
        <f t="shared" si="50"/>
        <v>0</v>
      </c>
      <c r="AG77" s="287"/>
      <c r="AH77" s="287">
        <f t="shared" si="51"/>
        <v>0</v>
      </c>
      <c r="AI77" s="290">
        <f>'Unit Savings Calculations'!O73</f>
        <v>0.83823507428978783</v>
      </c>
      <c r="AJ77" s="287" t="s">
        <v>872</v>
      </c>
      <c r="AK77" s="292">
        <f t="shared" si="52"/>
        <v>891.88211904433422</v>
      </c>
      <c r="AL77" s="289">
        <f t="shared" si="53"/>
        <v>0</v>
      </c>
      <c r="AM77" s="287"/>
      <c r="AN77" s="287"/>
      <c r="AO77" s="290">
        <f>'Unit Savings Calculations'!P73</f>
        <v>0.83823507428978783</v>
      </c>
      <c r="AP77" s="287" t="s">
        <v>764</v>
      </c>
      <c r="AQ77" s="292">
        <f t="shared" si="54"/>
        <v>891.88211904433422</v>
      </c>
      <c r="AR77" s="289">
        <f t="shared" si="55"/>
        <v>0</v>
      </c>
      <c r="AS77" s="287"/>
      <c r="AT77" s="287"/>
      <c r="AU77" s="290">
        <f>'Unit Savings Calculations'!Q73</f>
        <v>0.83823507428978783</v>
      </c>
      <c r="AV77" s="287" t="str">
        <f t="shared" si="56"/>
        <v>n/a</v>
      </c>
      <c r="AW77" s="292">
        <f t="shared" si="57"/>
        <v>891.88211904433422</v>
      </c>
      <c r="AX77" s="289">
        <f t="shared" si="58"/>
        <v>0</v>
      </c>
      <c r="AY77" s="292">
        <f t="shared" si="59"/>
        <v>891.88211904433422</v>
      </c>
      <c r="AZ77" s="292">
        <f t="shared" si="60"/>
        <v>891.88211904433422</v>
      </c>
      <c r="BA77" s="292">
        <f t="shared" si="61"/>
        <v>891.88211904433422</v>
      </c>
      <c r="BB77" s="292">
        <f t="shared" si="62"/>
        <v>891.88211904433422</v>
      </c>
      <c r="BC77" s="294">
        <f t="shared" si="63"/>
        <v>3567.5284761773369</v>
      </c>
      <c r="BD77" s="287" t="s">
        <v>764</v>
      </c>
      <c r="BE77" s="295" t="str">
        <f t="shared" si="64"/>
        <v>Exhibit 1.5B_R Peoples Gas EEPS_Adjustable_Savings_Goal_Template.xlsx, Unit Savings Calculations Tab</v>
      </c>
      <c r="BF77" s="297"/>
    </row>
    <row r="78" spans="1:58" ht="13.5" customHeight="1">
      <c r="A78" s="287" t="str">
        <f>'Unit Savings Calculations'!C74</f>
        <v>Res - MF Standard Rebates</v>
      </c>
      <c r="B78" s="287" t="str">
        <f>'Unit Savings Calculations'!D74</f>
        <v>Boiler Tune Up - Space Heating</v>
      </c>
      <c r="C78" s="288">
        <f t="shared" si="65"/>
        <v>1</v>
      </c>
      <c r="D78" s="287" t="str">
        <f>'Unit Savings Calculations'!T74</f>
        <v>4.4.2</v>
      </c>
      <c r="E78" s="287">
        <f>INDEX('Unit Savings Calculations'!$H$4:$H$421,MATCH('Measure-Level Adjustments Tab'!$A78&amp;"_"&amp;'Measure-Level Adjustments Tab'!$B78,'Unit Savings Calculations'!$A$4:$A$421,0))</f>
        <v>3</v>
      </c>
      <c r="F78" s="287">
        <f>INDEX('Unit Savings Calculations'!$I$4:$I$421,MATCH('Measure-Level Adjustments Tab'!A78&amp;"_"&amp;'Measure-Level Adjustments Tab'!B78,'Unit Savings Calculations'!$A$4:$A$421,0))</f>
        <v>3</v>
      </c>
      <c r="G78" s="287" t="str">
        <f>'Unit Savings Calculations'!E74</f>
        <v>MBH</v>
      </c>
      <c r="H78" s="289">
        <f>'Unit Savings Calculations'!$F74*'Unit Savings Calculations'!J74</f>
        <v>2200</v>
      </c>
      <c r="I78" s="289">
        <f>'Unit Savings Calculations'!$F74*'Unit Savings Calculations'!K74</f>
        <v>2200</v>
      </c>
      <c r="J78" s="289">
        <f>'Unit Savings Calculations'!$F74*'Unit Savings Calculations'!L74</f>
        <v>2200</v>
      </c>
      <c r="K78" s="289">
        <f>'Unit Savings Calculations'!$F74*'Unit Savings Calculations'!M74</f>
        <v>2200</v>
      </c>
      <c r="L78" s="287" t="str">
        <f>'Unit Savings Calculations'!U74</f>
        <v>CI-HVC-BLRT-V06-160601</v>
      </c>
      <c r="M78" s="363" t="s">
        <v>830</v>
      </c>
      <c r="N78" s="290">
        <v>0.393528767789805</v>
      </c>
      <c r="O78" s="290">
        <v>0.393528767789805</v>
      </c>
      <c r="P78" s="290">
        <v>0.393528767789805</v>
      </c>
      <c r="Q78" s="290">
        <v>0.393528767789805</v>
      </c>
      <c r="R78" s="291">
        <f>'Unit Savings Calculations'!$G74</f>
        <v>0.76</v>
      </c>
      <c r="S78" s="291">
        <f>'Unit Savings Calculations'!$G74</f>
        <v>0.76</v>
      </c>
      <c r="T78" s="291">
        <f>'Unit Savings Calculations'!$G74</f>
        <v>0.76</v>
      </c>
      <c r="U78" s="291">
        <f>'Unit Savings Calculations'!$G74</f>
        <v>0.76</v>
      </c>
      <c r="V78" s="292">
        <f t="shared" si="44"/>
        <v>657.98009974455397</v>
      </c>
      <c r="W78" s="292">
        <f t="shared" si="45"/>
        <v>657.98009974455397</v>
      </c>
      <c r="X78" s="292">
        <f t="shared" si="46"/>
        <v>657.98009974455397</v>
      </c>
      <c r="Y78" s="292">
        <f t="shared" si="47"/>
        <v>657.98009974455397</v>
      </c>
      <c r="Z78" s="292">
        <f t="shared" si="48"/>
        <v>2631.9203989782159</v>
      </c>
      <c r="AA78" s="287"/>
      <c r="AB78" s="287"/>
      <c r="AC78" s="293">
        <f>'Unit Savings Calculations'!N74</f>
        <v>0.41618294611360979</v>
      </c>
      <c r="AD78" s="287"/>
      <c r="AE78" s="292">
        <f t="shared" si="49"/>
        <v>695.85788590195557</v>
      </c>
      <c r="AF78" s="289">
        <f t="shared" si="50"/>
        <v>37.877786157401601</v>
      </c>
      <c r="AG78" s="287"/>
      <c r="AH78" s="287">
        <f t="shared" si="51"/>
        <v>0</v>
      </c>
      <c r="AI78" s="290">
        <f>'Unit Savings Calculations'!O74</f>
        <v>0.41618294611360979</v>
      </c>
      <c r="AJ78" s="287" t="s">
        <v>872</v>
      </c>
      <c r="AK78" s="292">
        <f t="shared" si="52"/>
        <v>695.85788590195557</v>
      </c>
      <c r="AL78" s="289">
        <f t="shared" si="53"/>
        <v>37.877786157401601</v>
      </c>
      <c r="AM78" s="287"/>
      <c r="AN78" s="287"/>
      <c r="AO78" s="290">
        <f>'Unit Savings Calculations'!P74</f>
        <v>0.41618294611360979</v>
      </c>
      <c r="AP78" s="287" t="s">
        <v>1450</v>
      </c>
      <c r="AQ78" s="292">
        <f t="shared" si="54"/>
        <v>695.85788590195557</v>
      </c>
      <c r="AR78" s="289">
        <f t="shared" si="55"/>
        <v>37.877786157401601</v>
      </c>
      <c r="AS78" s="287"/>
      <c r="AT78" s="287"/>
      <c r="AU78" s="290">
        <f>'Unit Savings Calculations'!Q74</f>
        <v>0.41618294611360979</v>
      </c>
      <c r="AV78" s="287" t="str">
        <f t="shared" si="56"/>
        <v>Updated heating EFLH</v>
      </c>
      <c r="AW78" s="292">
        <f t="shared" si="57"/>
        <v>695.85788590195557</v>
      </c>
      <c r="AX78" s="289">
        <f t="shared" si="58"/>
        <v>37.877786157401601</v>
      </c>
      <c r="AY78" s="292">
        <f t="shared" si="59"/>
        <v>695.85788590195557</v>
      </c>
      <c r="AZ78" s="292">
        <f t="shared" si="60"/>
        <v>695.85788590195557</v>
      </c>
      <c r="BA78" s="292">
        <f t="shared" si="61"/>
        <v>695.85788590195557</v>
      </c>
      <c r="BB78" s="292">
        <f t="shared" si="62"/>
        <v>695.85788590195557</v>
      </c>
      <c r="BC78" s="294">
        <f t="shared" si="63"/>
        <v>2783.4315436078223</v>
      </c>
      <c r="BD78" s="287" t="s">
        <v>764</v>
      </c>
      <c r="BE78" s="295" t="str">
        <f t="shared" si="64"/>
        <v>Exhibit 1.5B_R Peoples Gas EEPS_Adjustable_Savings_Goal_Template.xlsx, Unit Savings Calculations Tab</v>
      </c>
      <c r="BF78" s="297"/>
    </row>
    <row r="79" spans="1:58" ht="13.5" customHeight="1">
      <c r="A79" s="287" t="str">
        <f>'Unit Savings Calculations'!C75</f>
        <v>Res - MF Standard Rebates</v>
      </c>
      <c r="B79" s="287" t="str">
        <f>'Unit Savings Calculations'!D75</f>
        <v>Condensing Unit Heater</v>
      </c>
      <c r="C79" s="288">
        <f t="shared" si="65"/>
        <v>1</v>
      </c>
      <c r="D79" s="287" t="str">
        <f>'Unit Savings Calculations'!T75</f>
        <v>4.4.5</v>
      </c>
      <c r="E79" s="287">
        <f>INDEX('Unit Savings Calculations'!$H$4:$H$421,MATCH('Measure-Level Adjustments Tab'!$A79&amp;"_"&amp;'Measure-Level Adjustments Tab'!$B79,'Unit Savings Calculations'!$A$4:$A$421,0))</f>
        <v>12</v>
      </c>
      <c r="F79" s="287">
        <f>INDEX('Unit Savings Calculations'!$I$4:$I$421,MATCH('Measure-Level Adjustments Tab'!A79&amp;"_"&amp;'Measure-Level Adjustments Tab'!B79,'Unit Savings Calculations'!$A$4:$A$421,0))</f>
        <v>12</v>
      </c>
      <c r="G79" s="287" t="str">
        <f>'Unit Savings Calculations'!E75</f>
        <v>MBH</v>
      </c>
      <c r="H79" s="289">
        <f>'Unit Savings Calculations'!$F75*'Unit Savings Calculations'!J75</f>
        <v>0</v>
      </c>
      <c r="I79" s="289">
        <f>'Unit Savings Calculations'!$F75*'Unit Savings Calculations'!K75</f>
        <v>0</v>
      </c>
      <c r="J79" s="289">
        <f>'Unit Savings Calculations'!$F75*'Unit Savings Calculations'!L75</f>
        <v>0</v>
      </c>
      <c r="K79" s="289">
        <f>'Unit Savings Calculations'!$F75*'Unit Savings Calculations'!M75</f>
        <v>0</v>
      </c>
      <c r="L79" s="287" t="str">
        <f>'Unit Savings Calculations'!U75</f>
        <v>CI-HVC-CUHT-V01-120601</v>
      </c>
      <c r="M79" s="363" t="s">
        <v>830</v>
      </c>
      <c r="N79" s="290">
        <v>1.7733333333333334</v>
      </c>
      <c r="O79" s="290">
        <v>1.7733333333333334</v>
      </c>
      <c r="P79" s="290">
        <v>1.7733333333333334</v>
      </c>
      <c r="Q79" s="290">
        <v>1.7733333333333334</v>
      </c>
      <c r="R79" s="291">
        <f>'Unit Savings Calculations'!$G75</f>
        <v>0.76</v>
      </c>
      <c r="S79" s="291">
        <f>'Unit Savings Calculations'!$G75</f>
        <v>0.76</v>
      </c>
      <c r="T79" s="291">
        <f>'Unit Savings Calculations'!$G75</f>
        <v>0.76</v>
      </c>
      <c r="U79" s="291">
        <f>'Unit Savings Calculations'!$G75</f>
        <v>0.76</v>
      </c>
      <c r="V79" s="292">
        <f t="shared" si="44"/>
        <v>0</v>
      </c>
      <c r="W79" s="292">
        <f t="shared" si="45"/>
        <v>0</v>
      </c>
      <c r="X79" s="292">
        <f t="shared" si="46"/>
        <v>0</v>
      </c>
      <c r="Y79" s="292">
        <f t="shared" si="47"/>
        <v>0</v>
      </c>
      <c r="Z79" s="292">
        <f t="shared" si="48"/>
        <v>0</v>
      </c>
      <c r="AA79" s="287"/>
      <c r="AB79" s="287"/>
      <c r="AC79" s="293">
        <f>'Unit Savings Calculations'!N75</f>
        <v>1.7733333333333334</v>
      </c>
      <c r="AD79" s="287"/>
      <c r="AE79" s="292">
        <f t="shared" si="49"/>
        <v>0</v>
      </c>
      <c r="AF79" s="289">
        <f t="shared" si="50"/>
        <v>0</v>
      </c>
      <c r="AG79" s="287"/>
      <c r="AH79" s="287">
        <f t="shared" si="51"/>
        <v>0</v>
      </c>
      <c r="AI79" s="290">
        <f>'Unit Savings Calculations'!O75</f>
        <v>1.7733333333333334</v>
      </c>
      <c r="AJ79" s="287" t="s">
        <v>872</v>
      </c>
      <c r="AK79" s="292">
        <f t="shared" si="52"/>
        <v>0</v>
      </c>
      <c r="AL79" s="289">
        <f t="shared" si="53"/>
        <v>0</v>
      </c>
      <c r="AM79" s="287"/>
      <c r="AN79" s="287"/>
      <c r="AO79" s="290">
        <f>'Unit Savings Calculations'!P75</f>
        <v>1.7733333333333334</v>
      </c>
      <c r="AP79" s="287" t="s">
        <v>764</v>
      </c>
      <c r="AQ79" s="292">
        <f t="shared" si="54"/>
        <v>0</v>
      </c>
      <c r="AR79" s="289">
        <f t="shared" si="55"/>
        <v>0</v>
      </c>
      <c r="AS79" s="287"/>
      <c r="AT79" s="287"/>
      <c r="AU79" s="290">
        <f>'Unit Savings Calculations'!Q75</f>
        <v>1.7733333333333334</v>
      </c>
      <c r="AV79" s="287" t="str">
        <f t="shared" si="56"/>
        <v>n/a</v>
      </c>
      <c r="AW79" s="292">
        <f t="shared" si="57"/>
        <v>0</v>
      </c>
      <c r="AX79" s="289">
        <f t="shared" si="58"/>
        <v>0</v>
      </c>
      <c r="AY79" s="292">
        <f t="shared" si="59"/>
        <v>0</v>
      </c>
      <c r="AZ79" s="292">
        <f t="shared" si="60"/>
        <v>0</v>
      </c>
      <c r="BA79" s="292">
        <f t="shared" si="61"/>
        <v>0</v>
      </c>
      <c r="BB79" s="292">
        <f t="shared" si="62"/>
        <v>0</v>
      </c>
      <c r="BC79" s="294">
        <f t="shared" si="63"/>
        <v>0</v>
      </c>
      <c r="BD79" s="287" t="s">
        <v>764</v>
      </c>
      <c r="BE79" s="295" t="str">
        <f t="shared" si="64"/>
        <v>Exhibit 1.5B_R Peoples Gas EEPS_Adjustable_Savings_Goal_Template.xlsx, Unit Savings Calculations Tab</v>
      </c>
      <c r="BF79" s="297"/>
    </row>
    <row r="80" spans="1:58" ht="13.5" customHeight="1">
      <c r="A80" s="287" t="str">
        <f>'Unit Savings Calculations'!C76</f>
        <v>Res - MF Standard Rebates</v>
      </c>
      <c r="B80" s="287" t="str">
        <f>'Unit Savings Calculations'!D76</f>
        <v>Direct Fired Heaters</v>
      </c>
      <c r="C80" s="288">
        <f t="shared" si="65"/>
        <v>0</v>
      </c>
      <c r="D80" s="287" t="str">
        <f>'Unit Savings Calculations'!T76</f>
        <v>Custom</v>
      </c>
      <c r="E80" s="287">
        <f>INDEX('Unit Savings Calculations'!$H$4:$H$421,MATCH('Measure-Level Adjustments Tab'!$A80&amp;"_"&amp;'Measure-Level Adjustments Tab'!$B80,'Unit Savings Calculations'!$A$4:$A$421,0))</f>
        <v>20</v>
      </c>
      <c r="F80" s="287">
        <f>INDEX('Unit Savings Calculations'!$I$4:$I$421,MATCH('Measure-Level Adjustments Tab'!A80&amp;"_"&amp;'Measure-Level Adjustments Tab'!B80,'Unit Savings Calculations'!$A$4:$A$421,0))</f>
        <v>20</v>
      </c>
      <c r="G80" s="287" t="str">
        <f>'Unit Savings Calculations'!E76</f>
        <v>MBH</v>
      </c>
      <c r="H80" s="289">
        <f>'Unit Savings Calculations'!$F76*'Unit Savings Calculations'!J76</f>
        <v>0</v>
      </c>
      <c r="I80" s="289">
        <f>'Unit Savings Calculations'!$F76*'Unit Savings Calculations'!K76</f>
        <v>0</v>
      </c>
      <c r="J80" s="289">
        <f>'Unit Savings Calculations'!$F76*'Unit Savings Calculations'!L76</f>
        <v>0</v>
      </c>
      <c r="K80" s="289">
        <f>'Unit Savings Calculations'!$F76*'Unit Savings Calculations'!M76</f>
        <v>0</v>
      </c>
      <c r="L80" s="287" t="str">
        <f>'Unit Savings Calculations'!U76</f>
        <v>Custom</v>
      </c>
      <c r="M80" s="287" t="str">
        <f>'Unit Savings Calculations'!S76</f>
        <v>Custom</v>
      </c>
      <c r="N80" s="290">
        <v>2.3932499999999983</v>
      </c>
      <c r="O80" s="290">
        <v>2.3932499999999983</v>
      </c>
      <c r="P80" s="290">
        <v>2.3932499999999983</v>
      </c>
      <c r="Q80" s="290">
        <v>2.3932499999999983</v>
      </c>
      <c r="R80" s="291">
        <f>'Unit Savings Calculations'!$G76</f>
        <v>0.76</v>
      </c>
      <c r="S80" s="291">
        <f>'Unit Savings Calculations'!$G76</f>
        <v>0.76</v>
      </c>
      <c r="T80" s="291">
        <f>'Unit Savings Calculations'!$G76</f>
        <v>0.76</v>
      </c>
      <c r="U80" s="291">
        <f>'Unit Savings Calculations'!$G76</f>
        <v>0.76</v>
      </c>
      <c r="V80" s="292">
        <f t="shared" si="44"/>
        <v>0</v>
      </c>
      <c r="W80" s="292">
        <f t="shared" si="45"/>
        <v>0</v>
      </c>
      <c r="X80" s="292">
        <f t="shared" si="46"/>
        <v>0</v>
      </c>
      <c r="Y80" s="292">
        <f t="shared" si="47"/>
        <v>0</v>
      </c>
      <c r="Z80" s="292">
        <f t="shared" si="48"/>
        <v>0</v>
      </c>
      <c r="AA80" s="364"/>
      <c r="AB80" s="364"/>
      <c r="AC80" s="365">
        <f>'Unit Savings Calculations'!N76</f>
        <v>2.4914999999999985</v>
      </c>
      <c r="AD80" s="364"/>
      <c r="AE80" s="366">
        <f t="shared" si="49"/>
        <v>0</v>
      </c>
      <c r="AF80" s="367">
        <f t="shared" si="50"/>
        <v>0</v>
      </c>
      <c r="AG80" s="364"/>
      <c r="AH80" s="364">
        <f t="shared" si="51"/>
        <v>0</v>
      </c>
      <c r="AI80" s="368">
        <f>'Unit Savings Calculations'!O76</f>
        <v>2.4914999999999985</v>
      </c>
      <c r="AJ80" s="364" t="s">
        <v>872</v>
      </c>
      <c r="AK80" s="366">
        <f t="shared" si="52"/>
        <v>0</v>
      </c>
      <c r="AL80" s="367">
        <f t="shared" si="53"/>
        <v>0</v>
      </c>
      <c r="AM80" s="364"/>
      <c r="AN80" s="364"/>
      <c r="AO80" s="368">
        <f>'Unit Savings Calculations'!P76</f>
        <v>2.4914999999999985</v>
      </c>
      <c r="AP80" s="364" t="s">
        <v>1450</v>
      </c>
      <c r="AQ80" s="366">
        <f t="shared" si="54"/>
        <v>0</v>
      </c>
      <c r="AR80" s="367">
        <f t="shared" si="55"/>
        <v>0</v>
      </c>
      <c r="AS80" s="364"/>
      <c r="AT80" s="364"/>
      <c r="AU80" s="368">
        <f>'Unit Savings Calculations'!Q76</f>
        <v>2.4914999999999985</v>
      </c>
      <c r="AV80" s="364" t="str">
        <f t="shared" si="56"/>
        <v>Updated heating EFLH</v>
      </c>
      <c r="AW80" s="366">
        <f t="shared" si="57"/>
        <v>0</v>
      </c>
      <c r="AX80" s="367">
        <f t="shared" si="58"/>
        <v>0</v>
      </c>
      <c r="AY80" s="292">
        <f t="shared" si="59"/>
        <v>0</v>
      </c>
      <c r="AZ80" s="292">
        <f t="shared" si="60"/>
        <v>0</v>
      </c>
      <c r="BA80" s="292">
        <f t="shared" si="61"/>
        <v>0</v>
      </c>
      <c r="BB80" s="292">
        <f t="shared" si="62"/>
        <v>0</v>
      </c>
      <c r="BC80" s="294">
        <f t="shared" si="63"/>
        <v>0</v>
      </c>
      <c r="BD80" s="287" t="s">
        <v>764</v>
      </c>
      <c r="BE80" s="295" t="str">
        <f t="shared" si="64"/>
        <v>Custom</v>
      </c>
      <c r="BF80" s="297"/>
    </row>
    <row r="81" spans="1:58" ht="13.5" customHeight="1">
      <c r="A81" s="287" t="str">
        <f>'Unit Savings Calculations'!C77</f>
        <v>Res - MF Standard Rebates</v>
      </c>
      <c r="B81" s="287" t="str">
        <f>'Unit Savings Calculations'!D77</f>
        <v>Furnace &gt;95% AFUE</v>
      </c>
      <c r="C81" s="288">
        <f t="shared" si="65"/>
        <v>1</v>
      </c>
      <c r="D81" s="287" t="str">
        <f>'Unit Savings Calculations'!T77</f>
        <v>4.4.11</v>
      </c>
      <c r="E81" s="287">
        <f>INDEX('Unit Savings Calculations'!$H$4:$H$421,MATCH('Measure-Level Adjustments Tab'!$A81&amp;"_"&amp;'Measure-Level Adjustments Tab'!$B81,'Unit Savings Calculations'!$A$4:$A$421,0))</f>
        <v>16</v>
      </c>
      <c r="F81" s="287">
        <f>INDEX('Unit Savings Calculations'!$I$4:$I$421,MATCH('Measure-Level Adjustments Tab'!A81&amp;"_"&amp;'Measure-Level Adjustments Tab'!B81,'Unit Savings Calculations'!$A$4:$A$421,0))</f>
        <v>16</v>
      </c>
      <c r="G81" s="287" t="str">
        <f>'Unit Savings Calculations'!E77</f>
        <v>each</v>
      </c>
      <c r="H81" s="289">
        <f>'Unit Savings Calculations'!$F77*'Unit Savings Calculations'!J77</f>
        <v>11</v>
      </c>
      <c r="I81" s="289">
        <f>'Unit Savings Calculations'!$F77*'Unit Savings Calculations'!K77</f>
        <v>11</v>
      </c>
      <c r="J81" s="289">
        <f>'Unit Savings Calculations'!$F77*'Unit Savings Calculations'!L77</f>
        <v>11</v>
      </c>
      <c r="K81" s="289">
        <f>'Unit Savings Calculations'!$F77*'Unit Savings Calculations'!M77</f>
        <v>11</v>
      </c>
      <c r="L81" s="287" t="str">
        <f>'Unit Savings Calculations'!U77</f>
        <v>CI-HVC-FRNC-V07-180101</v>
      </c>
      <c r="M81" s="363" t="s">
        <v>830</v>
      </c>
      <c r="N81" s="290">
        <v>240.11249999999984</v>
      </c>
      <c r="O81" s="290">
        <v>240.11249999999984</v>
      </c>
      <c r="P81" s="290">
        <v>240.11249999999984</v>
      </c>
      <c r="Q81" s="290">
        <v>240.11249999999984</v>
      </c>
      <c r="R81" s="291">
        <f>'Unit Savings Calculations'!$G77</f>
        <v>0.76</v>
      </c>
      <c r="S81" s="291">
        <f>'Unit Savings Calculations'!$G77</f>
        <v>0.76</v>
      </c>
      <c r="T81" s="291">
        <f>'Unit Savings Calculations'!$G77</f>
        <v>0.76</v>
      </c>
      <c r="U81" s="291">
        <f>'Unit Savings Calculations'!$G77</f>
        <v>0.76</v>
      </c>
      <c r="V81" s="292">
        <f t="shared" si="44"/>
        <v>2007.3404999999989</v>
      </c>
      <c r="W81" s="292">
        <f t="shared" si="45"/>
        <v>2007.3404999999989</v>
      </c>
      <c r="X81" s="292">
        <f t="shared" si="46"/>
        <v>2007.3404999999989</v>
      </c>
      <c r="Y81" s="292">
        <f t="shared" si="47"/>
        <v>2007.3404999999989</v>
      </c>
      <c r="Z81" s="292">
        <f t="shared" si="48"/>
        <v>8029.3619999999955</v>
      </c>
      <c r="AA81" s="287"/>
      <c r="AB81" s="287"/>
      <c r="AC81" s="293">
        <f>'Unit Savings Calculations'!N77</f>
        <v>253.93499999999986</v>
      </c>
      <c r="AD81" s="287"/>
      <c r="AE81" s="292">
        <f t="shared" si="49"/>
        <v>2122.8965999999987</v>
      </c>
      <c r="AF81" s="289">
        <f t="shared" si="50"/>
        <v>115.55609999999979</v>
      </c>
      <c r="AG81" s="287"/>
      <c r="AH81" s="287">
        <f t="shared" si="51"/>
        <v>0</v>
      </c>
      <c r="AI81" s="290">
        <f>'Unit Savings Calculations'!O77</f>
        <v>253.93499999999986</v>
      </c>
      <c r="AJ81" s="287" t="s">
        <v>872</v>
      </c>
      <c r="AK81" s="292">
        <f t="shared" si="52"/>
        <v>2122.8965999999987</v>
      </c>
      <c r="AL81" s="289">
        <f t="shared" si="53"/>
        <v>115.55609999999979</v>
      </c>
      <c r="AM81" s="287"/>
      <c r="AN81" s="287"/>
      <c r="AO81" s="290">
        <f>'Unit Savings Calculations'!P77</f>
        <v>253.93499999999986</v>
      </c>
      <c r="AP81" s="287" t="s">
        <v>1450</v>
      </c>
      <c r="AQ81" s="292">
        <f t="shared" si="54"/>
        <v>2122.8965999999987</v>
      </c>
      <c r="AR81" s="289">
        <f t="shared" si="55"/>
        <v>115.55609999999979</v>
      </c>
      <c r="AS81" s="287"/>
      <c r="AT81" s="287"/>
      <c r="AU81" s="290">
        <f>'Unit Savings Calculations'!Q77</f>
        <v>253.93499999999986</v>
      </c>
      <c r="AV81" s="287" t="str">
        <f t="shared" si="56"/>
        <v>Updated heating EFLH</v>
      </c>
      <c r="AW81" s="292">
        <f t="shared" si="57"/>
        <v>2122.8965999999987</v>
      </c>
      <c r="AX81" s="289">
        <f t="shared" si="58"/>
        <v>115.55609999999979</v>
      </c>
      <c r="AY81" s="292">
        <f t="shared" si="59"/>
        <v>2122.8965999999987</v>
      </c>
      <c r="AZ81" s="292">
        <f t="shared" si="60"/>
        <v>2122.8965999999987</v>
      </c>
      <c r="BA81" s="292">
        <f t="shared" si="61"/>
        <v>2122.8965999999987</v>
      </c>
      <c r="BB81" s="292">
        <f t="shared" si="62"/>
        <v>2122.8965999999987</v>
      </c>
      <c r="BC81" s="294">
        <f t="shared" si="63"/>
        <v>8491.5863999999947</v>
      </c>
      <c r="BD81" s="287" t="s">
        <v>764</v>
      </c>
      <c r="BE81" s="295" t="str">
        <f t="shared" si="64"/>
        <v>Exhibit 1.5B_R Peoples Gas EEPS_Adjustable_Savings_Goal_Template.xlsx, Unit Savings Calculations Tab</v>
      </c>
      <c r="BF81" s="297"/>
    </row>
    <row r="82" spans="1:58" ht="13.5" customHeight="1">
      <c r="A82" s="287" t="str">
        <f>'Unit Savings Calculations'!C78</f>
        <v>Res - MF Standard Rebates</v>
      </c>
      <c r="B82" s="287" t="str">
        <f>'Unit Savings Calculations'!D78</f>
        <v>High Speed Washer</v>
      </c>
      <c r="C82" s="288">
        <f t="shared" si="65"/>
        <v>1</v>
      </c>
      <c r="D82" s="287" t="str">
        <f>'Unit Savings Calculations'!T78</f>
        <v>4.8.5</v>
      </c>
      <c r="E82" s="287">
        <f>INDEX('Unit Savings Calculations'!$H$4:$H$421,MATCH('Measure-Level Adjustments Tab'!$A82&amp;"_"&amp;'Measure-Level Adjustments Tab'!$B82,'Unit Savings Calculations'!$A$4:$A$421,0))</f>
        <v>7</v>
      </c>
      <c r="F82" s="287">
        <f>INDEX('Unit Savings Calculations'!$I$4:$I$421,MATCH('Measure-Level Adjustments Tab'!A82&amp;"_"&amp;'Measure-Level Adjustments Tab'!B82,'Unit Savings Calculations'!$A$4:$A$421,0))</f>
        <v>7</v>
      </c>
      <c r="G82" s="287" t="str">
        <f>'Unit Savings Calculations'!E78</f>
        <v>lb-capacity</v>
      </c>
      <c r="H82" s="289">
        <f>'Unit Savings Calculations'!$F78*'Unit Savings Calculations'!J78</f>
        <v>2750</v>
      </c>
      <c r="I82" s="289">
        <f>'Unit Savings Calculations'!$F78*'Unit Savings Calculations'!K78</f>
        <v>2750</v>
      </c>
      <c r="J82" s="289">
        <f>'Unit Savings Calculations'!$F78*'Unit Savings Calculations'!L78</f>
        <v>2750</v>
      </c>
      <c r="K82" s="289">
        <f>'Unit Savings Calculations'!$F78*'Unit Savings Calculations'!M78</f>
        <v>2750</v>
      </c>
      <c r="L82" s="287" t="str">
        <f>'Unit Savings Calculations'!U78</f>
        <v>CI-MSC-HSCW-V01-180101</v>
      </c>
      <c r="M82" s="363" t="s">
        <v>830</v>
      </c>
      <c r="N82" s="290">
        <v>3.6756720000000001</v>
      </c>
      <c r="O82" s="290">
        <v>3.6756720000000001</v>
      </c>
      <c r="P82" s="290">
        <v>3.6756720000000001</v>
      </c>
      <c r="Q82" s="290">
        <v>3.6756720000000001</v>
      </c>
      <c r="R82" s="291">
        <f>'Unit Savings Calculations'!$G78</f>
        <v>0.76</v>
      </c>
      <c r="S82" s="291">
        <f>'Unit Savings Calculations'!$G78</f>
        <v>0.76</v>
      </c>
      <c r="T82" s="291">
        <f>'Unit Savings Calculations'!$G78</f>
        <v>0.76</v>
      </c>
      <c r="U82" s="291">
        <f>'Unit Savings Calculations'!$G78</f>
        <v>0.76</v>
      </c>
      <c r="V82" s="292">
        <f t="shared" si="44"/>
        <v>7682.1544800000001</v>
      </c>
      <c r="W82" s="292">
        <f t="shared" si="45"/>
        <v>7682.1544800000001</v>
      </c>
      <c r="X82" s="292">
        <f t="shared" si="46"/>
        <v>7682.1544800000001</v>
      </c>
      <c r="Y82" s="292">
        <f t="shared" si="47"/>
        <v>7682.1544800000001</v>
      </c>
      <c r="Z82" s="292">
        <f t="shared" si="48"/>
        <v>30728.617920000001</v>
      </c>
      <c r="AA82" s="287"/>
      <c r="AB82" s="287"/>
      <c r="AC82" s="293">
        <f>'Unit Savings Calculations'!N78</f>
        <v>3.6756720000000001</v>
      </c>
      <c r="AD82" s="287"/>
      <c r="AE82" s="292">
        <f t="shared" si="49"/>
        <v>7682.1544800000001</v>
      </c>
      <c r="AF82" s="289">
        <f t="shared" si="50"/>
        <v>0</v>
      </c>
      <c r="AG82" s="287"/>
      <c r="AH82" s="287">
        <f t="shared" si="51"/>
        <v>0</v>
      </c>
      <c r="AI82" s="290">
        <f>'Unit Savings Calculations'!O78</f>
        <v>3.6756720000000001</v>
      </c>
      <c r="AJ82" s="287" t="s">
        <v>872</v>
      </c>
      <c r="AK82" s="292">
        <f t="shared" si="52"/>
        <v>7682.1544800000001</v>
      </c>
      <c r="AL82" s="289">
        <f t="shared" si="53"/>
        <v>0</v>
      </c>
      <c r="AM82" s="287"/>
      <c r="AN82" s="287"/>
      <c r="AO82" s="290">
        <f>'Unit Savings Calculations'!P78</f>
        <v>3.6756720000000001</v>
      </c>
      <c r="AP82" s="287" t="s">
        <v>764</v>
      </c>
      <c r="AQ82" s="292">
        <f t="shared" si="54"/>
        <v>7682.1544800000001</v>
      </c>
      <c r="AR82" s="289">
        <f t="shared" si="55"/>
        <v>0</v>
      </c>
      <c r="AS82" s="287"/>
      <c r="AT82" s="287"/>
      <c r="AU82" s="290">
        <f>'Unit Savings Calculations'!Q78</f>
        <v>3.6756720000000001</v>
      </c>
      <c r="AV82" s="287" t="str">
        <f t="shared" si="56"/>
        <v>n/a</v>
      </c>
      <c r="AW82" s="292">
        <f t="shared" si="57"/>
        <v>7682.1544800000001</v>
      </c>
      <c r="AX82" s="289">
        <f t="shared" si="58"/>
        <v>0</v>
      </c>
      <c r="AY82" s="292">
        <f t="shared" si="59"/>
        <v>7682.1544800000001</v>
      </c>
      <c r="AZ82" s="292">
        <f t="shared" si="60"/>
        <v>7682.1544800000001</v>
      </c>
      <c r="BA82" s="292">
        <f t="shared" si="61"/>
        <v>7682.1544800000001</v>
      </c>
      <c r="BB82" s="292">
        <f t="shared" si="62"/>
        <v>7682.1544800000001</v>
      </c>
      <c r="BC82" s="294">
        <f t="shared" si="63"/>
        <v>30728.617920000001</v>
      </c>
      <c r="BD82" s="287" t="s">
        <v>764</v>
      </c>
      <c r="BE82" s="295" t="str">
        <f t="shared" si="64"/>
        <v>Exhibit 1.5B_R Peoples Gas EEPS_Adjustable_Savings_Goal_Template.xlsx, Unit Savings Calculations Tab</v>
      </c>
      <c r="BF82" s="297"/>
    </row>
    <row r="83" spans="1:58" ht="13.5" customHeight="1">
      <c r="A83" s="287" t="str">
        <f>'Unit Savings Calculations'!C79</f>
        <v>Res - MF Standard Rebates</v>
      </c>
      <c r="B83" s="287" t="str">
        <f>'Unit Savings Calculations'!D79</f>
        <v>Infrared Heater</v>
      </c>
      <c r="C83" s="288">
        <f t="shared" si="65"/>
        <v>1</v>
      </c>
      <c r="D83" s="287" t="str">
        <f>'Unit Savings Calculations'!T79</f>
        <v>4.4.12</v>
      </c>
      <c r="E83" s="287">
        <f>INDEX('Unit Savings Calculations'!$H$4:$H$421,MATCH('Measure-Level Adjustments Tab'!$A83&amp;"_"&amp;'Measure-Level Adjustments Tab'!$B83,'Unit Savings Calculations'!$A$4:$A$421,0))</f>
        <v>12</v>
      </c>
      <c r="F83" s="287">
        <f>INDEX('Unit Savings Calculations'!$I$4:$I$421,MATCH('Measure-Level Adjustments Tab'!A83&amp;"_"&amp;'Measure-Level Adjustments Tab'!B83,'Unit Savings Calculations'!$A$4:$A$421,0))</f>
        <v>12</v>
      </c>
      <c r="G83" s="287" t="str">
        <f>'Unit Savings Calculations'!E79</f>
        <v>MBH</v>
      </c>
      <c r="H83" s="289">
        <f>'Unit Savings Calculations'!$F79*'Unit Savings Calculations'!J79</f>
        <v>0</v>
      </c>
      <c r="I83" s="289">
        <f>'Unit Savings Calculations'!$F79*'Unit Savings Calculations'!K79</f>
        <v>0</v>
      </c>
      <c r="J83" s="289">
        <f>'Unit Savings Calculations'!$F79*'Unit Savings Calculations'!L79</f>
        <v>0</v>
      </c>
      <c r="K83" s="289">
        <f>'Unit Savings Calculations'!$F79*'Unit Savings Calculations'!M79</f>
        <v>0</v>
      </c>
      <c r="L83" s="287" t="str">
        <f>'Unit Savings Calculations'!U79</f>
        <v>CI-HVC-IRHT-V01-120601</v>
      </c>
      <c r="M83" s="363" t="s">
        <v>830</v>
      </c>
      <c r="N83" s="290">
        <v>3.0066666666666668</v>
      </c>
      <c r="O83" s="290">
        <v>3.0066666666666668</v>
      </c>
      <c r="P83" s="290">
        <v>3.0066666666666668</v>
      </c>
      <c r="Q83" s="290">
        <v>3.0066666666666668</v>
      </c>
      <c r="R83" s="291">
        <f>'Unit Savings Calculations'!$G79</f>
        <v>0.76</v>
      </c>
      <c r="S83" s="291">
        <f>'Unit Savings Calculations'!$G79</f>
        <v>0.76</v>
      </c>
      <c r="T83" s="291">
        <f>'Unit Savings Calculations'!$G79</f>
        <v>0.76</v>
      </c>
      <c r="U83" s="291">
        <f>'Unit Savings Calculations'!$G79</f>
        <v>0.76</v>
      </c>
      <c r="V83" s="292">
        <f t="shared" si="44"/>
        <v>0</v>
      </c>
      <c r="W83" s="292">
        <f t="shared" si="45"/>
        <v>0</v>
      </c>
      <c r="X83" s="292">
        <f t="shared" si="46"/>
        <v>0</v>
      </c>
      <c r="Y83" s="292">
        <f t="shared" si="47"/>
        <v>0</v>
      </c>
      <c r="Z83" s="292">
        <f t="shared" si="48"/>
        <v>0</v>
      </c>
      <c r="AA83" s="287"/>
      <c r="AB83" s="287"/>
      <c r="AC83" s="293">
        <f>'Unit Savings Calculations'!N79</f>
        <v>3.0066666666666668</v>
      </c>
      <c r="AD83" s="287"/>
      <c r="AE83" s="292">
        <f t="shared" si="49"/>
        <v>0</v>
      </c>
      <c r="AF83" s="289">
        <f t="shared" si="50"/>
        <v>0</v>
      </c>
      <c r="AG83" s="287"/>
      <c r="AH83" s="287">
        <f t="shared" si="51"/>
        <v>0</v>
      </c>
      <c r="AI83" s="290">
        <f>'Unit Savings Calculations'!O79</f>
        <v>3.0066666666666668</v>
      </c>
      <c r="AJ83" s="287" t="s">
        <v>872</v>
      </c>
      <c r="AK83" s="292">
        <f t="shared" si="52"/>
        <v>0</v>
      </c>
      <c r="AL83" s="289">
        <f t="shared" si="53"/>
        <v>0</v>
      </c>
      <c r="AM83" s="287"/>
      <c r="AN83" s="287"/>
      <c r="AO83" s="290">
        <f>'Unit Savings Calculations'!P79</f>
        <v>3.0066666666666668</v>
      </c>
      <c r="AP83" s="287" t="s">
        <v>764</v>
      </c>
      <c r="AQ83" s="292">
        <f t="shared" si="54"/>
        <v>0</v>
      </c>
      <c r="AR83" s="289">
        <f t="shared" si="55"/>
        <v>0</v>
      </c>
      <c r="AS83" s="287"/>
      <c r="AT83" s="287"/>
      <c r="AU83" s="290">
        <f>'Unit Savings Calculations'!Q79</f>
        <v>3.0066666666666668</v>
      </c>
      <c r="AV83" s="287" t="str">
        <f t="shared" si="56"/>
        <v>n/a</v>
      </c>
      <c r="AW83" s="292">
        <f t="shared" si="57"/>
        <v>0</v>
      </c>
      <c r="AX83" s="289">
        <f t="shared" si="58"/>
        <v>0</v>
      </c>
      <c r="AY83" s="292">
        <f t="shared" si="59"/>
        <v>0</v>
      </c>
      <c r="AZ83" s="292">
        <f t="shared" si="60"/>
        <v>0</v>
      </c>
      <c r="BA83" s="292">
        <f t="shared" si="61"/>
        <v>0</v>
      </c>
      <c r="BB83" s="292">
        <f t="shared" si="62"/>
        <v>0</v>
      </c>
      <c r="BC83" s="294">
        <f t="shared" si="63"/>
        <v>0</v>
      </c>
      <c r="BD83" s="287" t="s">
        <v>764</v>
      </c>
      <c r="BE83" s="295" t="str">
        <f t="shared" si="64"/>
        <v>Exhibit 1.5B_R Peoples Gas EEPS_Adjustable_Savings_Goal_Template.xlsx, Unit Savings Calculations Tab</v>
      </c>
      <c r="BF83" s="297"/>
    </row>
    <row r="84" spans="1:58" ht="13.5" customHeight="1">
      <c r="A84" s="287" t="str">
        <f>'Unit Savings Calculations'!C80</f>
        <v>Res - MF Standard Rebates</v>
      </c>
      <c r="B84" s="287" t="str">
        <f>'Unit Savings Calculations'!D80</f>
        <v>Ozone Laundry</v>
      </c>
      <c r="C84" s="288">
        <f t="shared" si="65"/>
        <v>1</v>
      </c>
      <c r="D84" s="287" t="str">
        <f>'Unit Savings Calculations'!T80</f>
        <v>5.1.12</v>
      </c>
      <c r="E84" s="287">
        <f>INDEX('Unit Savings Calculations'!$H$4:$H$421,MATCH('Measure-Level Adjustments Tab'!$A84&amp;"_"&amp;'Measure-Level Adjustments Tab'!$B84,'Unit Savings Calculations'!$A$4:$A$421,0))</f>
        <v>10</v>
      </c>
      <c r="F84" s="287">
        <f>INDEX('Unit Savings Calculations'!$I$4:$I$421,MATCH('Measure-Level Adjustments Tab'!A84&amp;"_"&amp;'Measure-Level Adjustments Tab'!B84,'Unit Savings Calculations'!$A$4:$A$421,0))</f>
        <v>10</v>
      </c>
      <c r="G84" s="287" t="str">
        <f>'Unit Savings Calculations'!E80</f>
        <v>lb-capacity</v>
      </c>
      <c r="H84" s="289">
        <f>'Unit Savings Calculations'!$F80*'Unit Savings Calculations'!J80</f>
        <v>2750</v>
      </c>
      <c r="I84" s="289">
        <f>'Unit Savings Calculations'!$F80*'Unit Savings Calculations'!K80</f>
        <v>2750</v>
      </c>
      <c r="J84" s="289">
        <f>'Unit Savings Calculations'!$F80*'Unit Savings Calculations'!L80</f>
        <v>2750</v>
      </c>
      <c r="K84" s="289">
        <f>'Unit Savings Calculations'!$F80*'Unit Savings Calculations'!M80</f>
        <v>2750</v>
      </c>
      <c r="L84" s="287" t="str">
        <f>'Unit Savings Calculations'!U80</f>
        <v>CI-HW-OZLD-VO1-140601</v>
      </c>
      <c r="M84" s="363" t="s">
        <v>830</v>
      </c>
      <c r="N84" s="290">
        <v>30.722664192350027</v>
      </c>
      <c r="O84" s="290">
        <v>30.722664192350027</v>
      </c>
      <c r="P84" s="290">
        <v>30.722664192350027</v>
      </c>
      <c r="Q84" s="290">
        <v>30.722664192350027</v>
      </c>
      <c r="R84" s="291">
        <f>'Unit Savings Calculations'!$G80</f>
        <v>0.76</v>
      </c>
      <c r="S84" s="291">
        <f>'Unit Savings Calculations'!$G80</f>
        <v>0.76</v>
      </c>
      <c r="T84" s="291">
        <f>'Unit Savings Calculations'!$G80</f>
        <v>0.76</v>
      </c>
      <c r="U84" s="291">
        <f>'Unit Savings Calculations'!$G80</f>
        <v>0.76</v>
      </c>
      <c r="V84" s="292">
        <f t="shared" si="44"/>
        <v>64210.368162011553</v>
      </c>
      <c r="W84" s="292">
        <f t="shared" si="45"/>
        <v>64210.368162011553</v>
      </c>
      <c r="X84" s="292">
        <f t="shared" si="46"/>
        <v>64210.368162011553</v>
      </c>
      <c r="Y84" s="292">
        <f t="shared" si="47"/>
        <v>64210.368162011553</v>
      </c>
      <c r="Z84" s="292">
        <f t="shared" si="48"/>
        <v>256841.47264804621</v>
      </c>
      <c r="AA84" s="287"/>
      <c r="AB84" s="287"/>
      <c r="AC84" s="293">
        <f>'Unit Savings Calculations'!N80</f>
        <v>13.190532978680915</v>
      </c>
      <c r="AD84" s="287"/>
      <c r="AE84" s="292">
        <f t="shared" si="49"/>
        <v>27568.213925443117</v>
      </c>
      <c r="AF84" s="289">
        <f t="shared" si="50"/>
        <v>-36642.154236568436</v>
      </c>
      <c r="AG84" s="287"/>
      <c r="AH84" s="287">
        <f t="shared" si="51"/>
        <v>0</v>
      </c>
      <c r="AI84" s="290">
        <f>'Unit Savings Calculations'!O80</f>
        <v>13.190532978680915</v>
      </c>
      <c r="AJ84" s="287" t="s">
        <v>1055</v>
      </c>
      <c r="AK84" s="292">
        <f t="shared" si="52"/>
        <v>27568.213925443117</v>
      </c>
      <c r="AL84" s="289">
        <f t="shared" si="53"/>
        <v>-36642.154236568436</v>
      </c>
      <c r="AM84" s="287"/>
      <c r="AN84" s="287"/>
      <c r="AO84" s="290">
        <f>'Unit Savings Calculations'!P80</f>
        <v>13.190532978680915</v>
      </c>
      <c r="AP84" s="287" t="s">
        <v>764</v>
      </c>
      <c r="AQ84" s="292">
        <f t="shared" si="54"/>
        <v>27568.213925443117</v>
      </c>
      <c r="AR84" s="289">
        <f t="shared" si="55"/>
        <v>-36642.154236568436</v>
      </c>
      <c r="AS84" s="287"/>
      <c r="AT84" s="287"/>
      <c r="AU84" s="290">
        <f>'Unit Savings Calculations'!Q80</f>
        <v>13.190532978680915</v>
      </c>
      <c r="AV84" s="287" t="str">
        <f t="shared" si="56"/>
        <v>n/a</v>
      </c>
      <c r="AW84" s="292">
        <f t="shared" si="57"/>
        <v>27568.213925443117</v>
      </c>
      <c r="AX84" s="289">
        <f t="shared" si="58"/>
        <v>-36642.154236568436</v>
      </c>
      <c r="AY84" s="292">
        <f t="shared" si="59"/>
        <v>27568.213925443117</v>
      </c>
      <c r="AZ84" s="292">
        <f t="shared" si="60"/>
        <v>27568.213925443117</v>
      </c>
      <c r="BA84" s="292">
        <f t="shared" si="61"/>
        <v>27568.213925443117</v>
      </c>
      <c r="BB84" s="292">
        <f t="shared" si="62"/>
        <v>27568.213925443117</v>
      </c>
      <c r="BC84" s="294">
        <f t="shared" si="63"/>
        <v>110272.85570177247</v>
      </c>
      <c r="BD84" s="287" t="s">
        <v>764</v>
      </c>
      <c r="BE84" s="295" t="str">
        <f t="shared" si="64"/>
        <v>Exhibit 1.5B_R Peoples Gas EEPS_Adjustable_Savings_Goal_Template.xlsx, Unit Savings Calculations Tab</v>
      </c>
      <c r="BF84" s="297"/>
    </row>
    <row r="85" spans="1:58" ht="13.5" customHeight="1">
      <c r="A85" s="287" t="str">
        <f>'Unit Savings Calculations'!C81</f>
        <v>Res - MF Standard Rebates</v>
      </c>
      <c r="B85" s="287" t="str">
        <f>'Unit Savings Calculations'!D81</f>
        <v>Pipe Insulation - Hyd. Boiler Sm &lt;=1.25"</v>
      </c>
      <c r="C85" s="288">
        <f t="shared" si="65"/>
        <v>1</v>
      </c>
      <c r="D85" s="287" t="str">
        <f>'Unit Savings Calculations'!T81</f>
        <v>4.4.14</v>
      </c>
      <c r="E85" s="287">
        <f>INDEX('Unit Savings Calculations'!$H$4:$H$421,MATCH('Measure-Level Adjustments Tab'!$A85&amp;"_"&amp;'Measure-Level Adjustments Tab'!$B85,'Unit Savings Calculations'!$A$4:$A$421,0))</f>
        <v>15</v>
      </c>
      <c r="F85" s="287">
        <f>INDEX('Unit Savings Calculations'!$I$4:$I$421,MATCH('Measure-Level Adjustments Tab'!A85&amp;"_"&amp;'Measure-Level Adjustments Tab'!B85,'Unit Savings Calculations'!$A$4:$A$421,0))</f>
        <v>15</v>
      </c>
      <c r="G85" s="287" t="str">
        <f>'Unit Savings Calculations'!E81</f>
        <v>ft</v>
      </c>
      <c r="H85" s="289">
        <f>'Unit Savings Calculations'!$F81*'Unit Savings Calculations'!J81</f>
        <v>75</v>
      </c>
      <c r="I85" s="289">
        <f>'Unit Savings Calculations'!$F81*'Unit Savings Calculations'!K81</f>
        <v>75</v>
      </c>
      <c r="J85" s="289">
        <f>'Unit Savings Calculations'!$F81*'Unit Savings Calculations'!L81</f>
        <v>75</v>
      </c>
      <c r="K85" s="289">
        <f>'Unit Savings Calculations'!$F81*'Unit Savings Calculations'!M81</f>
        <v>75</v>
      </c>
      <c r="L85" s="287" t="str">
        <f>'Unit Savings Calculations'!U81</f>
        <v>CI-HVC-PINS-V04-160601</v>
      </c>
      <c r="M85" s="363" t="s">
        <v>831</v>
      </c>
      <c r="N85" s="290">
        <v>2.3011493874643869</v>
      </c>
      <c r="O85" s="290">
        <v>2.3011493874643869</v>
      </c>
      <c r="P85" s="290">
        <v>2.3011493874643869</v>
      </c>
      <c r="Q85" s="290">
        <v>2.3011493874643869</v>
      </c>
      <c r="R85" s="291">
        <f>'Unit Savings Calculations'!$G81</f>
        <v>0.76</v>
      </c>
      <c r="S85" s="291">
        <f>'Unit Savings Calculations'!$G81</f>
        <v>0.76</v>
      </c>
      <c r="T85" s="291">
        <f>'Unit Savings Calculations'!$G81</f>
        <v>0.76</v>
      </c>
      <c r="U85" s="291">
        <f>'Unit Savings Calculations'!$G81</f>
        <v>0.76</v>
      </c>
      <c r="V85" s="292">
        <f t="shared" si="44"/>
        <v>131.16551508547005</v>
      </c>
      <c r="W85" s="292">
        <f t="shared" si="45"/>
        <v>131.16551508547005</v>
      </c>
      <c r="X85" s="292">
        <f t="shared" si="46"/>
        <v>131.16551508547005</v>
      </c>
      <c r="Y85" s="292">
        <f t="shared" si="47"/>
        <v>131.16551508547005</v>
      </c>
      <c r="Z85" s="292">
        <f t="shared" si="48"/>
        <v>524.66206034188019</v>
      </c>
      <c r="AA85" s="287"/>
      <c r="AB85" s="287"/>
      <c r="AC85" s="293">
        <f>'Unit Savings Calculations'!N81</f>
        <v>2.3011493874643869</v>
      </c>
      <c r="AD85" s="287"/>
      <c r="AE85" s="292">
        <f t="shared" si="49"/>
        <v>131.16551508547005</v>
      </c>
      <c r="AF85" s="289">
        <f t="shared" si="50"/>
        <v>0</v>
      </c>
      <c r="AG85" s="287"/>
      <c r="AH85" s="287">
        <f t="shared" si="51"/>
        <v>0</v>
      </c>
      <c r="AI85" s="290">
        <f>'Unit Savings Calculations'!O81</f>
        <v>2.3011493874643869</v>
      </c>
      <c r="AJ85" s="287" t="s">
        <v>872</v>
      </c>
      <c r="AK85" s="292">
        <f t="shared" si="52"/>
        <v>131.16551508547005</v>
      </c>
      <c r="AL85" s="289">
        <f t="shared" si="53"/>
        <v>0</v>
      </c>
      <c r="AM85" s="287"/>
      <c r="AN85" s="287"/>
      <c r="AO85" s="290">
        <f>'Unit Savings Calculations'!P81</f>
        <v>2.3011493874643869</v>
      </c>
      <c r="AP85" s="287" t="s">
        <v>764</v>
      </c>
      <c r="AQ85" s="292">
        <f t="shared" si="54"/>
        <v>131.16551508547005</v>
      </c>
      <c r="AR85" s="289">
        <f t="shared" si="55"/>
        <v>0</v>
      </c>
      <c r="AS85" s="287"/>
      <c r="AT85" s="287"/>
      <c r="AU85" s="290">
        <f>'Unit Savings Calculations'!Q81</f>
        <v>2.3011493874643869</v>
      </c>
      <c r="AV85" s="287" t="str">
        <f t="shared" si="56"/>
        <v>n/a</v>
      </c>
      <c r="AW85" s="292">
        <f t="shared" si="57"/>
        <v>131.16551508547005</v>
      </c>
      <c r="AX85" s="289">
        <f t="shared" si="58"/>
        <v>0</v>
      </c>
      <c r="AY85" s="292">
        <f t="shared" si="59"/>
        <v>131.16551508547005</v>
      </c>
      <c r="AZ85" s="292">
        <f t="shared" si="60"/>
        <v>131.16551508547005</v>
      </c>
      <c r="BA85" s="292">
        <f t="shared" si="61"/>
        <v>131.16551508547005</v>
      </c>
      <c r="BB85" s="292">
        <f t="shared" si="62"/>
        <v>131.16551508547005</v>
      </c>
      <c r="BC85" s="294">
        <f t="shared" si="63"/>
        <v>524.66206034188019</v>
      </c>
      <c r="BD85" s="287" t="s">
        <v>764</v>
      </c>
      <c r="BE85" s="295" t="str">
        <f t="shared" si="64"/>
        <v>Exhibit 1.5B_R Peoples Gas EEPS_Adjustable_Savings_Goal_Template.xlsx,Pipe Insulation Detail Tab</v>
      </c>
      <c r="BF85" s="297"/>
    </row>
    <row r="86" spans="1:58" ht="13.5" customHeight="1">
      <c r="A86" s="287" t="str">
        <f>'Unit Savings Calculations'!C82</f>
        <v>Res - MF Standard Rebates</v>
      </c>
      <c r="B86" s="287" t="str">
        <f>'Unit Savings Calculations'!D82</f>
        <v>Pipe Insulation - Hyd. Boiler Med 1.25-2"</v>
      </c>
      <c r="C86" s="288">
        <f t="shared" si="65"/>
        <v>1</v>
      </c>
      <c r="D86" s="287" t="str">
        <f>'Unit Savings Calculations'!T82</f>
        <v>4.4.14</v>
      </c>
      <c r="E86" s="287">
        <f>INDEX('Unit Savings Calculations'!$H$4:$H$421,MATCH('Measure-Level Adjustments Tab'!$A86&amp;"_"&amp;'Measure-Level Adjustments Tab'!$B86,'Unit Savings Calculations'!$A$4:$A$421,0))</f>
        <v>15</v>
      </c>
      <c r="F86" s="287">
        <f>INDEX('Unit Savings Calculations'!$I$4:$I$421,MATCH('Measure-Level Adjustments Tab'!A86&amp;"_"&amp;'Measure-Level Adjustments Tab'!B86,'Unit Savings Calculations'!$A$4:$A$421,0))</f>
        <v>15</v>
      </c>
      <c r="G86" s="287" t="str">
        <f>'Unit Savings Calculations'!E82</f>
        <v>ft</v>
      </c>
      <c r="H86" s="289">
        <f>'Unit Savings Calculations'!$F82*'Unit Savings Calculations'!J82</f>
        <v>75</v>
      </c>
      <c r="I86" s="289">
        <f>'Unit Savings Calculations'!$F82*'Unit Savings Calculations'!K82</f>
        <v>75</v>
      </c>
      <c r="J86" s="289">
        <f>'Unit Savings Calculations'!$F82*'Unit Savings Calculations'!L82</f>
        <v>75</v>
      </c>
      <c r="K86" s="289">
        <f>'Unit Savings Calculations'!$F82*'Unit Savings Calculations'!M82</f>
        <v>75</v>
      </c>
      <c r="L86" s="287" t="str">
        <f>'Unit Savings Calculations'!U82</f>
        <v>CI-HVC-PINS-V04-160601</v>
      </c>
      <c r="M86" s="363" t="s">
        <v>831</v>
      </c>
      <c r="N86" s="290">
        <v>3.6034773504273505</v>
      </c>
      <c r="O86" s="290">
        <v>3.6034773504273505</v>
      </c>
      <c r="P86" s="290">
        <v>3.6034773504273505</v>
      </c>
      <c r="Q86" s="290">
        <v>3.6034773504273505</v>
      </c>
      <c r="R86" s="291">
        <f>'Unit Savings Calculations'!$G82</f>
        <v>0.76</v>
      </c>
      <c r="S86" s="291">
        <f>'Unit Savings Calculations'!$G82</f>
        <v>0.76</v>
      </c>
      <c r="T86" s="291">
        <f>'Unit Savings Calculations'!$G82</f>
        <v>0.76</v>
      </c>
      <c r="U86" s="291">
        <f>'Unit Savings Calculations'!$G82</f>
        <v>0.76</v>
      </c>
      <c r="V86" s="292">
        <f t="shared" si="44"/>
        <v>205.39820897435897</v>
      </c>
      <c r="W86" s="292">
        <f t="shared" si="45"/>
        <v>205.39820897435897</v>
      </c>
      <c r="X86" s="292">
        <f t="shared" si="46"/>
        <v>205.39820897435897</v>
      </c>
      <c r="Y86" s="292">
        <f t="shared" si="47"/>
        <v>205.39820897435897</v>
      </c>
      <c r="Z86" s="292">
        <f t="shared" si="48"/>
        <v>821.59283589743586</v>
      </c>
      <c r="AA86" s="287"/>
      <c r="AB86" s="287"/>
      <c r="AC86" s="293">
        <f>'Unit Savings Calculations'!N82</f>
        <v>3.6034773504273505</v>
      </c>
      <c r="AD86" s="287"/>
      <c r="AE86" s="292">
        <f t="shared" si="49"/>
        <v>205.39820897435897</v>
      </c>
      <c r="AF86" s="289">
        <f t="shared" si="50"/>
        <v>0</v>
      </c>
      <c r="AG86" s="287"/>
      <c r="AH86" s="287">
        <f t="shared" si="51"/>
        <v>0</v>
      </c>
      <c r="AI86" s="290">
        <f>'Unit Savings Calculations'!O82</f>
        <v>3.6034773504273505</v>
      </c>
      <c r="AJ86" s="287" t="s">
        <v>872</v>
      </c>
      <c r="AK86" s="292">
        <f t="shared" si="52"/>
        <v>205.39820897435897</v>
      </c>
      <c r="AL86" s="289">
        <f t="shared" si="53"/>
        <v>0</v>
      </c>
      <c r="AM86" s="287"/>
      <c r="AN86" s="287"/>
      <c r="AO86" s="290">
        <f>'Unit Savings Calculations'!P82</f>
        <v>3.6034773504273505</v>
      </c>
      <c r="AP86" s="287" t="s">
        <v>764</v>
      </c>
      <c r="AQ86" s="292">
        <f t="shared" si="54"/>
        <v>205.39820897435897</v>
      </c>
      <c r="AR86" s="289">
        <f t="shared" si="55"/>
        <v>0</v>
      </c>
      <c r="AS86" s="287"/>
      <c r="AT86" s="287"/>
      <c r="AU86" s="290">
        <f>'Unit Savings Calculations'!Q82</f>
        <v>3.6034773504273505</v>
      </c>
      <c r="AV86" s="287" t="str">
        <f t="shared" si="56"/>
        <v>n/a</v>
      </c>
      <c r="AW86" s="292">
        <f t="shared" si="57"/>
        <v>205.39820897435897</v>
      </c>
      <c r="AX86" s="289">
        <f t="shared" si="58"/>
        <v>0</v>
      </c>
      <c r="AY86" s="292">
        <f t="shared" si="59"/>
        <v>205.39820897435897</v>
      </c>
      <c r="AZ86" s="292">
        <f t="shared" si="60"/>
        <v>205.39820897435897</v>
      </c>
      <c r="BA86" s="292">
        <f t="shared" si="61"/>
        <v>205.39820897435897</v>
      </c>
      <c r="BB86" s="292">
        <f t="shared" si="62"/>
        <v>205.39820897435897</v>
      </c>
      <c r="BC86" s="294">
        <f t="shared" si="63"/>
        <v>821.59283589743586</v>
      </c>
      <c r="BD86" s="287" t="s">
        <v>764</v>
      </c>
      <c r="BE86" s="295" t="str">
        <f t="shared" si="64"/>
        <v>Exhibit 1.5B_R Peoples Gas EEPS_Adjustable_Savings_Goal_Template.xlsx,Pipe Insulation Detail Tab</v>
      </c>
      <c r="BF86" s="297"/>
    </row>
    <row r="87" spans="1:58" ht="13.5" customHeight="1">
      <c r="A87" s="287" t="str">
        <f>'Unit Savings Calculations'!C83</f>
        <v>Res - MF Standard Rebates</v>
      </c>
      <c r="B87" s="287" t="str">
        <f>'Unit Savings Calculations'!D83</f>
        <v>Pipe Insulation - Hyd. Boiler Large ≥2"</v>
      </c>
      <c r="C87" s="288">
        <f t="shared" ref="C87:C150" si="66">IF(D87="Custom",0,1)</f>
        <v>1</v>
      </c>
      <c r="D87" s="287" t="str">
        <f>'Unit Savings Calculations'!T83</f>
        <v>4.4.14</v>
      </c>
      <c r="E87" s="287">
        <f>INDEX('Unit Savings Calculations'!$H$4:$H$421,MATCH('Measure-Level Adjustments Tab'!$A87&amp;"_"&amp;'Measure-Level Adjustments Tab'!$B87,'Unit Savings Calculations'!$A$4:$A$421,0))</f>
        <v>15</v>
      </c>
      <c r="F87" s="287">
        <f>INDEX('Unit Savings Calculations'!$I$4:$I$421,MATCH('Measure-Level Adjustments Tab'!A87&amp;"_"&amp;'Measure-Level Adjustments Tab'!B87,'Unit Savings Calculations'!$A$4:$A$421,0))</f>
        <v>15</v>
      </c>
      <c r="G87" s="287" t="str">
        <f>'Unit Savings Calculations'!E83</f>
        <v>ft</v>
      </c>
      <c r="H87" s="289">
        <f>'Unit Savings Calculations'!$F83*'Unit Savings Calculations'!J83</f>
        <v>75</v>
      </c>
      <c r="I87" s="289">
        <f>'Unit Savings Calculations'!$F83*'Unit Savings Calculations'!K83</f>
        <v>75</v>
      </c>
      <c r="J87" s="289">
        <f>'Unit Savings Calculations'!$F83*'Unit Savings Calculations'!L83</f>
        <v>75</v>
      </c>
      <c r="K87" s="289">
        <f>'Unit Savings Calculations'!$F83*'Unit Savings Calculations'!M83</f>
        <v>75</v>
      </c>
      <c r="L87" s="287" t="str">
        <f>'Unit Savings Calculations'!U83</f>
        <v>CI-HVC-PINS-V04-160601</v>
      </c>
      <c r="M87" s="363" t="s">
        <v>831</v>
      </c>
      <c r="N87" s="290">
        <v>6.1867824786324785</v>
      </c>
      <c r="O87" s="290">
        <v>6.1867824786324785</v>
      </c>
      <c r="P87" s="290">
        <v>6.1867824786324785</v>
      </c>
      <c r="Q87" s="290">
        <v>6.1867824786324785</v>
      </c>
      <c r="R87" s="291">
        <f>'Unit Savings Calculations'!$G83</f>
        <v>0.76</v>
      </c>
      <c r="S87" s="291">
        <f>'Unit Savings Calculations'!$G83</f>
        <v>0.76</v>
      </c>
      <c r="T87" s="291">
        <f>'Unit Savings Calculations'!$G83</f>
        <v>0.76</v>
      </c>
      <c r="U87" s="291">
        <f>'Unit Savings Calculations'!$G83</f>
        <v>0.76</v>
      </c>
      <c r="V87" s="292">
        <f t="shared" si="44"/>
        <v>352.64660128205128</v>
      </c>
      <c r="W87" s="292">
        <f t="shared" si="45"/>
        <v>352.64660128205128</v>
      </c>
      <c r="X87" s="292">
        <f t="shared" si="46"/>
        <v>352.64660128205128</v>
      </c>
      <c r="Y87" s="292">
        <f t="shared" si="47"/>
        <v>352.64660128205128</v>
      </c>
      <c r="Z87" s="292">
        <f t="shared" si="48"/>
        <v>1410.5864051282051</v>
      </c>
      <c r="AA87" s="287"/>
      <c r="AB87" s="287"/>
      <c r="AC87" s="293">
        <f>'Unit Savings Calculations'!N83</f>
        <v>6.1867824786324785</v>
      </c>
      <c r="AD87" s="287"/>
      <c r="AE87" s="292">
        <f t="shared" si="49"/>
        <v>352.64660128205128</v>
      </c>
      <c r="AF87" s="289">
        <f t="shared" si="50"/>
        <v>0</v>
      </c>
      <c r="AG87" s="287"/>
      <c r="AH87" s="287">
        <f t="shared" si="51"/>
        <v>0</v>
      </c>
      <c r="AI87" s="290">
        <f>'Unit Savings Calculations'!O83</f>
        <v>6.1867824786324785</v>
      </c>
      <c r="AJ87" s="287" t="s">
        <v>872</v>
      </c>
      <c r="AK87" s="292">
        <f t="shared" si="52"/>
        <v>352.64660128205128</v>
      </c>
      <c r="AL87" s="289">
        <f t="shared" si="53"/>
        <v>0</v>
      </c>
      <c r="AM87" s="287"/>
      <c r="AN87" s="287"/>
      <c r="AO87" s="290">
        <f>'Unit Savings Calculations'!P83</f>
        <v>6.1867824786324785</v>
      </c>
      <c r="AP87" s="287" t="s">
        <v>764</v>
      </c>
      <c r="AQ87" s="292">
        <f t="shared" si="54"/>
        <v>352.64660128205128</v>
      </c>
      <c r="AR87" s="289">
        <f t="shared" si="55"/>
        <v>0</v>
      </c>
      <c r="AS87" s="287"/>
      <c r="AT87" s="287"/>
      <c r="AU87" s="290">
        <f>'Unit Savings Calculations'!Q83</f>
        <v>6.1867824786324785</v>
      </c>
      <c r="AV87" s="287" t="str">
        <f t="shared" si="56"/>
        <v>n/a</v>
      </c>
      <c r="AW87" s="292">
        <f t="shared" si="57"/>
        <v>352.64660128205128</v>
      </c>
      <c r="AX87" s="289">
        <f t="shared" si="58"/>
        <v>0</v>
      </c>
      <c r="AY87" s="292">
        <f t="shared" si="59"/>
        <v>352.64660128205128</v>
      </c>
      <c r="AZ87" s="292">
        <f t="shared" si="60"/>
        <v>352.64660128205128</v>
      </c>
      <c r="BA87" s="292">
        <f t="shared" si="61"/>
        <v>352.64660128205128</v>
      </c>
      <c r="BB87" s="292">
        <f t="shared" si="62"/>
        <v>352.64660128205128</v>
      </c>
      <c r="BC87" s="294">
        <f t="shared" si="63"/>
        <v>1410.5864051282051</v>
      </c>
      <c r="BD87" s="287" t="s">
        <v>764</v>
      </c>
      <c r="BE87" s="295" t="str">
        <f t="shared" si="64"/>
        <v>Exhibit 1.5B_R Peoples Gas EEPS_Adjustable_Savings_Goal_Template.xlsx,Pipe Insulation Detail Tab</v>
      </c>
      <c r="BF87" s="297"/>
    </row>
    <row r="88" spans="1:58" ht="13.5" customHeight="1">
      <c r="A88" s="287" t="str">
        <f>'Unit Savings Calculations'!C84</f>
        <v>Res - MF Standard Rebates</v>
      </c>
      <c r="B88" s="287" t="str">
        <f>'Unit Savings Calculations'!D84</f>
        <v>Pipe Insulation - HW Small 1" to 2"</v>
      </c>
      <c r="C88" s="288">
        <f t="shared" si="66"/>
        <v>1</v>
      </c>
      <c r="D88" s="287" t="str">
        <f>'Unit Savings Calculations'!T84</f>
        <v>4.4.14</v>
      </c>
      <c r="E88" s="287">
        <f>INDEX('Unit Savings Calculations'!$H$4:$H$421,MATCH('Measure-Level Adjustments Tab'!$A88&amp;"_"&amp;'Measure-Level Adjustments Tab'!$B88,'Unit Savings Calculations'!$A$4:$A$421,0))</f>
        <v>15</v>
      </c>
      <c r="F88" s="287">
        <f>INDEX('Unit Savings Calculations'!$I$4:$I$421,MATCH('Measure-Level Adjustments Tab'!A88&amp;"_"&amp;'Measure-Level Adjustments Tab'!B88,'Unit Savings Calculations'!$A$4:$A$421,0))</f>
        <v>15</v>
      </c>
      <c r="G88" s="287" t="str">
        <f>'Unit Savings Calculations'!E84</f>
        <v>ft</v>
      </c>
      <c r="H88" s="289">
        <f>'Unit Savings Calculations'!$F84*'Unit Savings Calculations'!J84</f>
        <v>300</v>
      </c>
      <c r="I88" s="289">
        <f>'Unit Savings Calculations'!$F84*'Unit Savings Calculations'!K84</f>
        <v>300</v>
      </c>
      <c r="J88" s="289">
        <f>'Unit Savings Calculations'!$F84*'Unit Savings Calculations'!L84</f>
        <v>300</v>
      </c>
      <c r="K88" s="289">
        <f>'Unit Savings Calculations'!$F84*'Unit Savings Calculations'!M84</f>
        <v>300</v>
      </c>
      <c r="L88" s="287" t="str">
        <f>'Unit Savings Calculations'!U84</f>
        <v>CI-HVC-PINS-V04-160601</v>
      </c>
      <c r="M88" s="363" t="s">
        <v>831</v>
      </c>
      <c r="N88" s="290">
        <v>3.1358228800964363</v>
      </c>
      <c r="O88" s="290">
        <v>3.1358228800964363</v>
      </c>
      <c r="P88" s="290">
        <v>3.1358228800964363</v>
      </c>
      <c r="Q88" s="290">
        <v>3.1358228800964363</v>
      </c>
      <c r="R88" s="291">
        <f>'Unit Savings Calculations'!$G84</f>
        <v>0.76</v>
      </c>
      <c r="S88" s="291">
        <f>'Unit Savings Calculations'!$G84</f>
        <v>0.76</v>
      </c>
      <c r="T88" s="291">
        <f>'Unit Savings Calculations'!$G84</f>
        <v>0.76</v>
      </c>
      <c r="U88" s="291">
        <f>'Unit Savings Calculations'!$G84</f>
        <v>0.76</v>
      </c>
      <c r="V88" s="292">
        <f t="shared" si="44"/>
        <v>714.96761666198745</v>
      </c>
      <c r="W88" s="292">
        <f t="shared" si="45"/>
        <v>714.96761666198745</v>
      </c>
      <c r="X88" s="292">
        <f t="shared" si="46"/>
        <v>714.96761666198745</v>
      </c>
      <c r="Y88" s="292">
        <f t="shared" si="47"/>
        <v>714.96761666198745</v>
      </c>
      <c r="Z88" s="292">
        <f t="shared" si="48"/>
        <v>2859.8704666479498</v>
      </c>
      <c r="AA88" s="287"/>
      <c r="AB88" s="287"/>
      <c r="AC88" s="293">
        <f>'Unit Savings Calculations'!N84</f>
        <v>3.1358228800964363</v>
      </c>
      <c r="AD88" s="287"/>
      <c r="AE88" s="292">
        <f t="shared" si="49"/>
        <v>714.96761666198745</v>
      </c>
      <c r="AF88" s="289">
        <f t="shared" si="50"/>
        <v>0</v>
      </c>
      <c r="AG88" s="287"/>
      <c r="AH88" s="287">
        <f t="shared" si="51"/>
        <v>0</v>
      </c>
      <c r="AI88" s="290">
        <f>'Unit Savings Calculations'!O84</f>
        <v>3.1358228800964363</v>
      </c>
      <c r="AJ88" s="287" t="s">
        <v>872</v>
      </c>
      <c r="AK88" s="292">
        <f t="shared" si="52"/>
        <v>714.96761666198745</v>
      </c>
      <c r="AL88" s="289">
        <f t="shared" si="53"/>
        <v>0</v>
      </c>
      <c r="AM88" s="287"/>
      <c r="AN88" s="287"/>
      <c r="AO88" s="290">
        <f>'Unit Savings Calculations'!P84</f>
        <v>3.1358228800964363</v>
      </c>
      <c r="AP88" s="287" t="s">
        <v>764</v>
      </c>
      <c r="AQ88" s="292">
        <f t="shared" si="54"/>
        <v>714.96761666198745</v>
      </c>
      <c r="AR88" s="289">
        <f t="shared" si="55"/>
        <v>0</v>
      </c>
      <c r="AS88" s="287"/>
      <c r="AT88" s="287"/>
      <c r="AU88" s="290">
        <f>'Unit Savings Calculations'!Q84</f>
        <v>3.1358228800964363</v>
      </c>
      <c r="AV88" s="287" t="str">
        <f t="shared" si="56"/>
        <v>n/a</v>
      </c>
      <c r="AW88" s="292">
        <f t="shared" si="57"/>
        <v>714.96761666198745</v>
      </c>
      <c r="AX88" s="289">
        <f t="shared" si="58"/>
        <v>0</v>
      </c>
      <c r="AY88" s="292">
        <f t="shared" si="59"/>
        <v>714.96761666198745</v>
      </c>
      <c r="AZ88" s="292">
        <f t="shared" si="60"/>
        <v>714.96761666198745</v>
      </c>
      <c r="BA88" s="292">
        <f t="shared" si="61"/>
        <v>714.96761666198745</v>
      </c>
      <c r="BB88" s="292">
        <f t="shared" si="62"/>
        <v>714.96761666198745</v>
      </c>
      <c r="BC88" s="294">
        <f t="shared" si="63"/>
        <v>2859.8704666479498</v>
      </c>
      <c r="BD88" s="287" t="s">
        <v>764</v>
      </c>
      <c r="BE88" s="295" t="str">
        <f t="shared" si="64"/>
        <v>Exhibit 1.5B_R Peoples Gas EEPS_Adjustable_Savings_Goal_Template.xlsx,Pipe Insulation Detail Tab</v>
      </c>
      <c r="BF88" s="297"/>
    </row>
    <row r="89" spans="1:58" ht="13.5" customHeight="1">
      <c r="A89" s="287" t="str">
        <f>'Unit Savings Calculations'!C85</f>
        <v>Res - MF Standard Rebates</v>
      </c>
      <c r="B89" s="287" t="str">
        <f>'Unit Savings Calculations'!D85</f>
        <v>Pipe Insulation - HW Medium 2.1" to 4"</v>
      </c>
      <c r="C89" s="288">
        <f t="shared" si="66"/>
        <v>1</v>
      </c>
      <c r="D89" s="287" t="str">
        <f>'Unit Savings Calculations'!T85</f>
        <v>4.4.14</v>
      </c>
      <c r="E89" s="287">
        <f>INDEX('Unit Savings Calculations'!$H$4:$H$421,MATCH('Measure-Level Adjustments Tab'!$A89&amp;"_"&amp;'Measure-Level Adjustments Tab'!$B89,'Unit Savings Calculations'!$A$4:$A$421,0))</f>
        <v>15</v>
      </c>
      <c r="F89" s="287">
        <f>INDEX('Unit Savings Calculations'!$I$4:$I$421,MATCH('Measure-Level Adjustments Tab'!A89&amp;"_"&amp;'Measure-Level Adjustments Tab'!B89,'Unit Savings Calculations'!$A$4:$A$421,0))</f>
        <v>15</v>
      </c>
      <c r="G89" s="287" t="str">
        <f>'Unit Savings Calculations'!E85</f>
        <v>ft</v>
      </c>
      <c r="H89" s="289">
        <f>'Unit Savings Calculations'!$F85*'Unit Savings Calculations'!J85</f>
        <v>75</v>
      </c>
      <c r="I89" s="289">
        <f>'Unit Savings Calculations'!$F85*'Unit Savings Calculations'!K85</f>
        <v>75</v>
      </c>
      <c r="J89" s="289">
        <f>'Unit Savings Calculations'!$F85*'Unit Savings Calculations'!L85</f>
        <v>75</v>
      </c>
      <c r="K89" s="289">
        <f>'Unit Savings Calculations'!$F85*'Unit Savings Calculations'!M85</f>
        <v>75</v>
      </c>
      <c r="L89" s="287" t="str">
        <f>'Unit Savings Calculations'!U85</f>
        <v>CI-HVC-PINS-V04-160601</v>
      </c>
      <c r="M89" s="363" t="s">
        <v>831</v>
      </c>
      <c r="N89" s="290">
        <v>6.1942373572810965</v>
      </c>
      <c r="O89" s="290">
        <v>6.1942373572810965</v>
      </c>
      <c r="P89" s="290">
        <v>6.1942373572810965</v>
      </c>
      <c r="Q89" s="290">
        <v>6.1942373572810965</v>
      </c>
      <c r="R89" s="291">
        <f>'Unit Savings Calculations'!$G85</f>
        <v>0.76</v>
      </c>
      <c r="S89" s="291">
        <f>'Unit Savings Calculations'!$G85</f>
        <v>0.76</v>
      </c>
      <c r="T89" s="291">
        <f>'Unit Savings Calculations'!$G85</f>
        <v>0.76</v>
      </c>
      <c r="U89" s="291">
        <f>'Unit Savings Calculations'!$G85</f>
        <v>0.76</v>
      </c>
      <c r="V89" s="292">
        <f t="shared" si="44"/>
        <v>353.07152936502251</v>
      </c>
      <c r="W89" s="292">
        <f t="shared" si="45"/>
        <v>353.07152936502251</v>
      </c>
      <c r="X89" s="292">
        <f t="shared" si="46"/>
        <v>353.07152936502251</v>
      </c>
      <c r="Y89" s="292">
        <f t="shared" si="47"/>
        <v>353.07152936502251</v>
      </c>
      <c r="Z89" s="292">
        <f t="shared" si="48"/>
        <v>1412.2861174600901</v>
      </c>
      <c r="AA89" s="287"/>
      <c r="AB89" s="287"/>
      <c r="AC89" s="293">
        <f>'Unit Savings Calculations'!N85</f>
        <v>6.1942373572810965</v>
      </c>
      <c r="AD89" s="287"/>
      <c r="AE89" s="292">
        <f t="shared" si="49"/>
        <v>353.07152936502251</v>
      </c>
      <c r="AF89" s="289">
        <f t="shared" si="50"/>
        <v>0</v>
      </c>
      <c r="AG89" s="287"/>
      <c r="AH89" s="287">
        <f t="shared" si="51"/>
        <v>0</v>
      </c>
      <c r="AI89" s="290">
        <f>'Unit Savings Calculations'!O85</f>
        <v>6.1942373572810965</v>
      </c>
      <c r="AJ89" s="287" t="s">
        <v>872</v>
      </c>
      <c r="AK89" s="292">
        <f t="shared" si="52"/>
        <v>353.07152936502251</v>
      </c>
      <c r="AL89" s="289">
        <f t="shared" si="53"/>
        <v>0</v>
      </c>
      <c r="AM89" s="287"/>
      <c r="AN89" s="287"/>
      <c r="AO89" s="290">
        <f>'Unit Savings Calculations'!P85</f>
        <v>6.1942373572810965</v>
      </c>
      <c r="AP89" s="287" t="s">
        <v>764</v>
      </c>
      <c r="AQ89" s="292">
        <f t="shared" si="54"/>
        <v>353.07152936502251</v>
      </c>
      <c r="AR89" s="289">
        <f t="shared" si="55"/>
        <v>0</v>
      </c>
      <c r="AS89" s="287"/>
      <c r="AT89" s="287"/>
      <c r="AU89" s="290">
        <f>'Unit Savings Calculations'!Q85</f>
        <v>6.1942373572810965</v>
      </c>
      <c r="AV89" s="287" t="str">
        <f t="shared" si="56"/>
        <v>n/a</v>
      </c>
      <c r="AW89" s="292">
        <f t="shared" si="57"/>
        <v>353.07152936502251</v>
      </c>
      <c r="AX89" s="289">
        <f t="shared" si="58"/>
        <v>0</v>
      </c>
      <c r="AY89" s="292">
        <f t="shared" si="59"/>
        <v>353.07152936502251</v>
      </c>
      <c r="AZ89" s="292">
        <f t="shared" si="60"/>
        <v>353.07152936502251</v>
      </c>
      <c r="BA89" s="292">
        <f t="shared" si="61"/>
        <v>353.07152936502251</v>
      </c>
      <c r="BB89" s="292">
        <f t="shared" si="62"/>
        <v>353.07152936502251</v>
      </c>
      <c r="BC89" s="294">
        <f t="shared" si="63"/>
        <v>1412.2861174600901</v>
      </c>
      <c r="BD89" s="287" t="s">
        <v>764</v>
      </c>
      <c r="BE89" s="295" t="str">
        <f t="shared" si="64"/>
        <v>Exhibit 1.5B_R Peoples Gas EEPS_Adjustable_Savings_Goal_Template.xlsx,Pipe Insulation Detail Tab</v>
      </c>
      <c r="BF89" s="297"/>
    </row>
    <row r="90" spans="1:58" ht="13.5" customHeight="1">
      <c r="A90" s="287" t="str">
        <f>'Unit Savings Calculations'!C86</f>
        <v>Res - MF Standard Rebates</v>
      </c>
      <c r="B90" s="287" t="str">
        <f>'Unit Savings Calculations'!D86</f>
        <v>Pipe Insulation - HW Large &gt;4"</v>
      </c>
      <c r="C90" s="288">
        <f t="shared" si="66"/>
        <v>1</v>
      </c>
      <c r="D90" s="287" t="str">
        <f>'Unit Savings Calculations'!T86</f>
        <v>4.4.14</v>
      </c>
      <c r="E90" s="287">
        <f>INDEX('Unit Savings Calculations'!$H$4:$H$421,MATCH('Measure-Level Adjustments Tab'!$A90&amp;"_"&amp;'Measure-Level Adjustments Tab'!$B90,'Unit Savings Calculations'!$A$4:$A$421,0))</f>
        <v>15</v>
      </c>
      <c r="F90" s="287">
        <f>INDEX('Unit Savings Calculations'!$I$4:$I$421,MATCH('Measure-Level Adjustments Tab'!A90&amp;"_"&amp;'Measure-Level Adjustments Tab'!B90,'Unit Savings Calculations'!$A$4:$A$421,0))</f>
        <v>15</v>
      </c>
      <c r="G90" s="287" t="str">
        <f>'Unit Savings Calculations'!E86</f>
        <v>ft</v>
      </c>
      <c r="H90" s="289">
        <f>'Unit Savings Calculations'!$F86*'Unit Savings Calculations'!J86</f>
        <v>0</v>
      </c>
      <c r="I90" s="289">
        <f>'Unit Savings Calculations'!$F86*'Unit Savings Calculations'!K86</f>
        <v>0</v>
      </c>
      <c r="J90" s="289">
        <f>'Unit Savings Calculations'!$F86*'Unit Savings Calculations'!L86</f>
        <v>0</v>
      </c>
      <c r="K90" s="289">
        <f>'Unit Savings Calculations'!$F86*'Unit Savings Calculations'!M86</f>
        <v>0</v>
      </c>
      <c r="L90" s="287" t="str">
        <f>'Unit Savings Calculations'!U86</f>
        <v>CI-HVC-PINS-V04-160601</v>
      </c>
      <c r="M90" s="363" t="s">
        <v>831</v>
      </c>
      <c r="N90" s="290">
        <v>10.672873287490331</v>
      </c>
      <c r="O90" s="290">
        <v>10.672873287490331</v>
      </c>
      <c r="P90" s="290">
        <v>10.672873287490331</v>
      </c>
      <c r="Q90" s="290">
        <v>10.672873287490331</v>
      </c>
      <c r="R90" s="291">
        <f>'Unit Savings Calculations'!$G86</f>
        <v>0.76</v>
      </c>
      <c r="S90" s="291">
        <f>'Unit Savings Calculations'!$G86</f>
        <v>0.76</v>
      </c>
      <c r="T90" s="291">
        <f>'Unit Savings Calculations'!$G86</f>
        <v>0.76</v>
      </c>
      <c r="U90" s="291">
        <f>'Unit Savings Calculations'!$G86</f>
        <v>0.76</v>
      </c>
      <c r="V90" s="292">
        <f t="shared" si="44"/>
        <v>0</v>
      </c>
      <c r="W90" s="292">
        <f t="shared" si="45"/>
        <v>0</v>
      </c>
      <c r="X90" s="292">
        <f t="shared" si="46"/>
        <v>0</v>
      </c>
      <c r="Y90" s="292">
        <f t="shared" si="47"/>
        <v>0</v>
      </c>
      <c r="Z90" s="292">
        <f t="shared" si="48"/>
        <v>0</v>
      </c>
      <c r="AA90" s="287"/>
      <c r="AB90" s="287"/>
      <c r="AC90" s="293">
        <f>'Unit Savings Calculations'!N86</f>
        <v>10.672873287490331</v>
      </c>
      <c r="AD90" s="287"/>
      <c r="AE90" s="292">
        <f t="shared" si="49"/>
        <v>0</v>
      </c>
      <c r="AF90" s="289">
        <f t="shared" si="50"/>
        <v>0</v>
      </c>
      <c r="AG90" s="287"/>
      <c r="AH90" s="287">
        <f t="shared" si="51"/>
        <v>0</v>
      </c>
      <c r="AI90" s="290">
        <f>'Unit Savings Calculations'!O86</f>
        <v>10.672873287490331</v>
      </c>
      <c r="AJ90" s="287" t="s">
        <v>872</v>
      </c>
      <c r="AK90" s="292">
        <f t="shared" si="52"/>
        <v>0</v>
      </c>
      <c r="AL90" s="289">
        <f t="shared" si="53"/>
        <v>0</v>
      </c>
      <c r="AM90" s="287"/>
      <c r="AN90" s="287"/>
      <c r="AO90" s="290">
        <f>'Unit Savings Calculations'!P86</f>
        <v>10.672873287490331</v>
      </c>
      <c r="AP90" s="287" t="s">
        <v>764</v>
      </c>
      <c r="AQ90" s="292">
        <f t="shared" si="54"/>
        <v>0</v>
      </c>
      <c r="AR90" s="289">
        <f t="shared" si="55"/>
        <v>0</v>
      </c>
      <c r="AS90" s="287"/>
      <c r="AT90" s="287"/>
      <c r="AU90" s="290">
        <f>'Unit Savings Calculations'!Q86</f>
        <v>10.672873287490331</v>
      </c>
      <c r="AV90" s="287" t="str">
        <f t="shared" si="56"/>
        <v>n/a</v>
      </c>
      <c r="AW90" s="292">
        <f t="shared" si="57"/>
        <v>0</v>
      </c>
      <c r="AX90" s="289">
        <f t="shared" si="58"/>
        <v>0</v>
      </c>
      <c r="AY90" s="292">
        <f t="shared" si="59"/>
        <v>0</v>
      </c>
      <c r="AZ90" s="292">
        <f t="shared" si="60"/>
        <v>0</v>
      </c>
      <c r="BA90" s="292">
        <f t="shared" si="61"/>
        <v>0</v>
      </c>
      <c r="BB90" s="292">
        <f t="shared" si="62"/>
        <v>0</v>
      </c>
      <c r="BC90" s="294">
        <f t="shared" si="63"/>
        <v>0</v>
      </c>
      <c r="BD90" s="287" t="s">
        <v>764</v>
      </c>
      <c r="BE90" s="295" t="str">
        <f t="shared" si="64"/>
        <v>Exhibit 1.5B_R Peoples Gas EEPS_Adjustable_Savings_Goal_Template.xlsx,Pipe Insulation Detail Tab</v>
      </c>
      <c r="BF90" s="297"/>
    </row>
    <row r="91" spans="1:58" ht="13.5" customHeight="1">
      <c r="A91" s="287" t="str">
        <f>'Unit Savings Calculations'!C87</f>
        <v>Res - MF Standard Rebates</v>
      </c>
      <c r="B91" s="287" t="str">
        <f>'Unit Savings Calculations'!D87</f>
        <v>Pipe Insulation - Steam - Small 1" to 2"</v>
      </c>
      <c r="C91" s="288">
        <f t="shared" si="66"/>
        <v>1</v>
      </c>
      <c r="D91" s="287" t="str">
        <f>'Unit Savings Calculations'!T87</f>
        <v>4.4.14</v>
      </c>
      <c r="E91" s="287">
        <f>INDEX('Unit Savings Calculations'!$H$4:$H$421,MATCH('Measure-Level Adjustments Tab'!$A91&amp;"_"&amp;'Measure-Level Adjustments Tab'!$B91,'Unit Savings Calculations'!$A$4:$A$421,0))</f>
        <v>15</v>
      </c>
      <c r="F91" s="287">
        <f>INDEX('Unit Savings Calculations'!$I$4:$I$421,MATCH('Measure-Level Adjustments Tab'!A91&amp;"_"&amp;'Measure-Level Adjustments Tab'!B91,'Unit Savings Calculations'!$A$4:$A$421,0))</f>
        <v>15</v>
      </c>
      <c r="G91" s="287" t="str">
        <f>'Unit Savings Calculations'!E87</f>
        <v>ft</v>
      </c>
      <c r="H91" s="289">
        <f>'Unit Savings Calculations'!$F87*'Unit Savings Calculations'!J87</f>
        <v>525</v>
      </c>
      <c r="I91" s="289">
        <f>'Unit Savings Calculations'!$F87*'Unit Savings Calculations'!K87</f>
        <v>525</v>
      </c>
      <c r="J91" s="289">
        <f>'Unit Savings Calculations'!$F87*'Unit Savings Calculations'!L87</f>
        <v>525</v>
      </c>
      <c r="K91" s="289">
        <f>'Unit Savings Calculations'!$F87*'Unit Savings Calculations'!M87</f>
        <v>525</v>
      </c>
      <c r="L91" s="287" t="str">
        <f>'Unit Savings Calculations'!U87</f>
        <v>CI-HVC-PINS-V04-160601</v>
      </c>
      <c r="M91" s="363" t="s">
        <v>831</v>
      </c>
      <c r="N91" s="290">
        <v>3.967097058288509</v>
      </c>
      <c r="O91" s="290">
        <v>3.967097058288509</v>
      </c>
      <c r="P91" s="290">
        <v>3.967097058288509</v>
      </c>
      <c r="Q91" s="290">
        <v>3.967097058288509</v>
      </c>
      <c r="R91" s="291">
        <f>'Unit Savings Calculations'!$G87</f>
        <v>0.76</v>
      </c>
      <c r="S91" s="291">
        <f>'Unit Savings Calculations'!$G87</f>
        <v>0.76</v>
      </c>
      <c r="T91" s="291">
        <f>'Unit Savings Calculations'!$G87</f>
        <v>0.76</v>
      </c>
      <c r="U91" s="291">
        <f>'Unit Savings Calculations'!$G87</f>
        <v>0.76</v>
      </c>
      <c r="V91" s="292">
        <f t="shared" si="44"/>
        <v>1582.8717262571151</v>
      </c>
      <c r="W91" s="292">
        <f t="shared" si="45"/>
        <v>1582.8717262571151</v>
      </c>
      <c r="X91" s="292">
        <f t="shared" si="46"/>
        <v>1582.8717262571151</v>
      </c>
      <c r="Y91" s="292">
        <f t="shared" si="47"/>
        <v>1582.8717262571151</v>
      </c>
      <c r="Z91" s="292">
        <f t="shared" si="48"/>
        <v>6331.4869050284606</v>
      </c>
      <c r="AA91" s="287"/>
      <c r="AB91" s="287"/>
      <c r="AC91" s="293">
        <f>'Unit Savings Calculations'!N87</f>
        <v>3.967097058288509</v>
      </c>
      <c r="AD91" s="287"/>
      <c r="AE91" s="292">
        <f t="shared" si="49"/>
        <v>1582.8717262571151</v>
      </c>
      <c r="AF91" s="289">
        <f t="shared" si="50"/>
        <v>0</v>
      </c>
      <c r="AG91" s="287"/>
      <c r="AH91" s="287">
        <f t="shared" si="51"/>
        <v>0</v>
      </c>
      <c r="AI91" s="290">
        <f>'Unit Savings Calculations'!O87</f>
        <v>3.967097058288509</v>
      </c>
      <c r="AJ91" s="287" t="s">
        <v>872</v>
      </c>
      <c r="AK91" s="292">
        <f t="shared" si="52"/>
        <v>1582.8717262571151</v>
      </c>
      <c r="AL91" s="289">
        <f t="shared" si="53"/>
        <v>0</v>
      </c>
      <c r="AM91" s="287"/>
      <c r="AN91" s="287"/>
      <c r="AO91" s="290">
        <f>'Unit Savings Calculations'!P87</f>
        <v>3.967097058288509</v>
      </c>
      <c r="AP91" s="287" t="s">
        <v>764</v>
      </c>
      <c r="AQ91" s="292">
        <f t="shared" si="54"/>
        <v>1582.8717262571151</v>
      </c>
      <c r="AR91" s="289">
        <f t="shared" si="55"/>
        <v>0</v>
      </c>
      <c r="AS91" s="287"/>
      <c r="AT91" s="287"/>
      <c r="AU91" s="290">
        <f>'Unit Savings Calculations'!Q87</f>
        <v>3.967097058288509</v>
      </c>
      <c r="AV91" s="287" t="str">
        <f t="shared" si="56"/>
        <v>n/a</v>
      </c>
      <c r="AW91" s="292">
        <f t="shared" si="57"/>
        <v>1582.8717262571151</v>
      </c>
      <c r="AX91" s="289">
        <f t="shared" si="58"/>
        <v>0</v>
      </c>
      <c r="AY91" s="292">
        <f t="shared" si="59"/>
        <v>1582.8717262571151</v>
      </c>
      <c r="AZ91" s="292">
        <f t="shared" si="60"/>
        <v>1582.8717262571151</v>
      </c>
      <c r="BA91" s="292">
        <f t="shared" si="61"/>
        <v>1582.8717262571151</v>
      </c>
      <c r="BB91" s="292">
        <f t="shared" si="62"/>
        <v>1582.8717262571151</v>
      </c>
      <c r="BC91" s="294">
        <f t="shared" si="63"/>
        <v>6331.4869050284606</v>
      </c>
      <c r="BD91" s="287" t="s">
        <v>764</v>
      </c>
      <c r="BE91" s="295" t="str">
        <f t="shared" si="64"/>
        <v>Exhibit 1.5B_R Peoples Gas EEPS_Adjustable_Savings_Goal_Template.xlsx,Pipe Insulation Detail Tab</v>
      </c>
      <c r="BF91" s="297"/>
    </row>
    <row r="92" spans="1:58" ht="13.5" customHeight="1">
      <c r="A92" s="287" t="str">
        <f>'Unit Savings Calculations'!C88</f>
        <v>Res - MF Standard Rebates</v>
      </c>
      <c r="B92" s="287" t="str">
        <f>'Unit Savings Calculations'!D88</f>
        <v>Pipe Insulation - Steam - Med 2.1" to 5"</v>
      </c>
      <c r="C92" s="288">
        <f t="shared" si="66"/>
        <v>1</v>
      </c>
      <c r="D92" s="287" t="str">
        <f>'Unit Savings Calculations'!T88</f>
        <v>4.4.14</v>
      </c>
      <c r="E92" s="287">
        <f>INDEX('Unit Savings Calculations'!$H$4:$H$421,MATCH('Measure-Level Adjustments Tab'!$A92&amp;"_"&amp;'Measure-Level Adjustments Tab'!$B92,'Unit Savings Calculations'!$A$4:$A$421,0))</f>
        <v>15</v>
      </c>
      <c r="F92" s="287">
        <f>INDEX('Unit Savings Calculations'!$I$4:$I$421,MATCH('Measure-Level Adjustments Tab'!A92&amp;"_"&amp;'Measure-Level Adjustments Tab'!B92,'Unit Savings Calculations'!$A$4:$A$421,0))</f>
        <v>15</v>
      </c>
      <c r="G92" s="287" t="str">
        <f>'Unit Savings Calculations'!E88</f>
        <v>ft</v>
      </c>
      <c r="H92" s="289">
        <f>'Unit Savings Calculations'!$F88*'Unit Savings Calculations'!J88</f>
        <v>525</v>
      </c>
      <c r="I92" s="289">
        <f>'Unit Savings Calculations'!$F88*'Unit Savings Calculations'!K88</f>
        <v>525</v>
      </c>
      <c r="J92" s="289">
        <f>'Unit Savings Calculations'!$F88*'Unit Savings Calculations'!L88</f>
        <v>525</v>
      </c>
      <c r="K92" s="289">
        <f>'Unit Savings Calculations'!$F88*'Unit Savings Calculations'!M88</f>
        <v>525</v>
      </c>
      <c r="L92" s="287" t="str">
        <f>'Unit Savings Calculations'!U88</f>
        <v>CI-HVC-PINS-V04-160601</v>
      </c>
      <c r="M92" s="363" t="s">
        <v>831</v>
      </c>
      <c r="N92" s="290">
        <v>13.577404706790121</v>
      </c>
      <c r="O92" s="290">
        <v>13.577404706790121</v>
      </c>
      <c r="P92" s="290">
        <v>13.577404706790121</v>
      </c>
      <c r="Q92" s="290">
        <v>13.577404706790121</v>
      </c>
      <c r="R92" s="291">
        <f>'Unit Savings Calculations'!$G88</f>
        <v>0.76</v>
      </c>
      <c r="S92" s="291">
        <f>'Unit Savings Calculations'!$G88</f>
        <v>0.76</v>
      </c>
      <c r="T92" s="291">
        <f>'Unit Savings Calculations'!$G88</f>
        <v>0.76</v>
      </c>
      <c r="U92" s="291">
        <f>'Unit Savings Calculations'!$G88</f>
        <v>0.76</v>
      </c>
      <c r="V92" s="292">
        <f t="shared" si="44"/>
        <v>5417.3844780092586</v>
      </c>
      <c r="W92" s="292">
        <f t="shared" si="45"/>
        <v>5417.3844780092586</v>
      </c>
      <c r="X92" s="292">
        <f t="shared" si="46"/>
        <v>5417.3844780092586</v>
      </c>
      <c r="Y92" s="292">
        <f t="shared" si="47"/>
        <v>5417.3844780092586</v>
      </c>
      <c r="Z92" s="292">
        <f t="shared" si="48"/>
        <v>21669.537912037034</v>
      </c>
      <c r="AA92" s="287"/>
      <c r="AB92" s="287"/>
      <c r="AC92" s="293">
        <f>'Unit Savings Calculations'!N88</f>
        <v>13.577404706790121</v>
      </c>
      <c r="AD92" s="287"/>
      <c r="AE92" s="292">
        <f t="shared" si="49"/>
        <v>5417.3844780092586</v>
      </c>
      <c r="AF92" s="289">
        <f t="shared" si="50"/>
        <v>0</v>
      </c>
      <c r="AG92" s="287"/>
      <c r="AH92" s="287">
        <f t="shared" si="51"/>
        <v>0</v>
      </c>
      <c r="AI92" s="290">
        <f>'Unit Savings Calculations'!O88</f>
        <v>13.577404706790121</v>
      </c>
      <c r="AJ92" s="287" t="s">
        <v>872</v>
      </c>
      <c r="AK92" s="292">
        <f t="shared" si="52"/>
        <v>5417.3844780092586</v>
      </c>
      <c r="AL92" s="289">
        <f t="shared" si="53"/>
        <v>0</v>
      </c>
      <c r="AM92" s="287"/>
      <c r="AN92" s="287"/>
      <c r="AO92" s="290">
        <f>'Unit Savings Calculations'!P88</f>
        <v>13.577404706790121</v>
      </c>
      <c r="AP92" s="287" t="s">
        <v>764</v>
      </c>
      <c r="AQ92" s="292">
        <f t="shared" si="54"/>
        <v>5417.3844780092586</v>
      </c>
      <c r="AR92" s="289">
        <f t="shared" si="55"/>
        <v>0</v>
      </c>
      <c r="AS92" s="287"/>
      <c r="AT92" s="287"/>
      <c r="AU92" s="290">
        <f>'Unit Savings Calculations'!Q88</f>
        <v>13.577404706790121</v>
      </c>
      <c r="AV92" s="287" t="str">
        <f t="shared" si="56"/>
        <v>n/a</v>
      </c>
      <c r="AW92" s="292">
        <f t="shared" si="57"/>
        <v>5417.3844780092586</v>
      </c>
      <c r="AX92" s="289">
        <f t="shared" si="58"/>
        <v>0</v>
      </c>
      <c r="AY92" s="292">
        <f t="shared" si="59"/>
        <v>5417.3844780092586</v>
      </c>
      <c r="AZ92" s="292">
        <f t="shared" si="60"/>
        <v>5417.3844780092586</v>
      </c>
      <c r="BA92" s="292">
        <f t="shared" si="61"/>
        <v>5417.3844780092586</v>
      </c>
      <c r="BB92" s="292">
        <f t="shared" si="62"/>
        <v>5417.3844780092586</v>
      </c>
      <c r="BC92" s="294">
        <f t="shared" si="63"/>
        <v>21669.537912037034</v>
      </c>
      <c r="BD92" s="287" t="s">
        <v>764</v>
      </c>
      <c r="BE92" s="295" t="str">
        <f t="shared" si="64"/>
        <v>Exhibit 1.5B_R Peoples Gas EEPS_Adjustable_Savings_Goal_Template.xlsx,Pipe Insulation Detail Tab</v>
      </c>
      <c r="BF92" s="297"/>
    </row>
    <row r="93" spans="1:58" ht="13.5" customHeight="1">
      <c r="A93" s="287" t="str">
        <f>'Unit Savings Calculations'!C89</f>
        <v>Res - MF Standard Rebates</v>
      </c>
      <c r="B93" s="287" t="str">
        <f>'Unit Savings Calculations'!D89</f>
        <v>Pipe Insulation - Steam - Large 5.1" to 8"</v>
      </c>
      <c r="C93" s="288">
        <f t="shared" si="66"/>
        <v>1</v>
      </c>
      <c r="D93" s="287" t="str">
        <f>'Unit Savings Calculations'!T89</f>
        <v>4.4.14</v>
      </c>
      <c r="E93" s="287">
        <f>INDEX('Unit Savings Calculations'!$H$4:$H$421,MATCH('Measure-Level Adjustments Tab'!$A93&amp;"_"&amp;'Measure-Level Adjustments Tab'!$B93,'Unit Savings Calculations'!$A$4:$A$421,0))</f>
        <v>15</v>
      </c>
      <c r="F93" s="287">
        <f>INDEX('Unit Savings Calculations'!$I$4:$I$421,MATCH('Measure-Level Adjustments Tab'!A93&amp;"_"&amp;'Measure-Level Adjustments Tab'!B93,'Unit Savings Calculations'!$A$4:$A$421,0))</f>
        <v>15</v>
      </c>
      <c r="G93" s="287" t="str">
        <f>'Unit Savings Calculations'!E89</f>
        <v>ft</v>
      </c>
      <c r="H93" s="289">
        <f>'Unit Savings Calculations'!$F89*'Unit Savings Calculations'!J89</f>
        <v>300</v>
      </c>
      <c r="I93" s="289">
        <f>'Unit Savings Calculations'!$F89*'Unit Savings Calculations'!K89</f>
        <v>300</v>
      </c>
      <c r="J93" s="289">
        <f>'Unit Savings Calculations'!$F89*'Unit Savings Calculations'!L89</f>
        <v>300</v>
      </c>
      <c r="K93" s="289">
        <f>'Unit Savings Calculations'!$F89*'Unit Savings Calculations'!M89</f>
        <v>300</v>
      </c>
      <c r="L93" s="287" t="str">
        <f>'Unit Savings Calculations'!U89</f>
        <v>CI-HVC-PINS-V04-160601</v>
      </c>
      <c r="M93" s="363" t="s">
        <v>831</v>
      </c>
      <c r="N93" s="290">
        <v>30.207245887345675</v>
      </c>
      <c r="O93" s="290">
        <v>30.207245887345675</v>
      </c>
      <c r="P93" s="290">
        <v>30.207245887345675</v>
      </c>
      <c r="Q93" s="290">
        <v>30.207245887345675</v>
      </c>
      <c r="R93" s="291">
        <f>'Unit Savings Calculations'!$G89</f>
        <v>0.76</v>
      </c>
      <c r="S93" s="291">
        <f>'Unit Savings Calculations'!$G89</f>
        <v>0.76</v>
      </c>
      <c r="T93" s="291">
        <f>'Unit Savings Calculations'!$G89</f>
        <v>0.76</v>
      </c>
      <c r="U93" s="291">
        <f>'Unit Savings Calculations'!$G89</f>
        <v>0.76</v>
      </c>
      <c r="V93" s="292">
        <f t="shared" ref="V93:V155" si="67">H93*N93*R93</f>
        <v>6887.2520623148148</v>
      </c>
      <c r="W93" s="292">
        <f t="shared" ref="W93:W157" si="68">I93*O93*S93</f>
        <v>6887.2520623148148</v>
      </c>
      <c r="X93" s="292">
        <f t="shared" ref="X93:X157" si="69">J93*P93*T93</f>
        <v>6887.2520623148148</v>
      </c>
      <c r="Y93" s="292">
        <f t="shared" ref="Y93:Y157" si="70">K93*Q93*U93</f>
        <v>6887.2520623148148</v>
      </c>
      <c r="Z93" s="292">
        <f t="shared" ref="Z93:Z157" si="71">V93+W93+X93+Y93</f>
        <v>27549.008249259259</v>
      </c>
      <c r="AA93" s="287"/>
      <c r="AB93" s="287"/>
      <c r="AC93" s="293">
        <f>'Unit Savings Calculations'!N89</f>
        <v>30.207245887345675</v>
      </c>
      <c r="AD93" s="287"/>
      <c r="AE93" s="292">
        <f t="shared" si="49"/>
        <v>6887.2520623148148</v>
      </c>
      <c r="AF93" s="289">
        <f t="shared" si="50"/>
        <v>0</v>
      </c>
      <c r="AG93" s="287"/>
      <c r="AH93" s="287">
        <f t="shared" si="51"/>
        <v>0</v>
      </c>
      <c r="AI93" s="290">
        <f>'Unit Savings Calculations'!O89</f>
        <v>30.207245887345675</v>
      </c>
      <c r="AJ93" s="287" t="s">
        <v>872</v>
      </c>
      <c r="AK93" s="292">
        <f t="shared" si="52"/>
        <v>6887.2520623148148</v>
      </c>
      <c r="AL93" s="289">
        <f t="shared" si="53"/>
        <v>0</v>
      </c>
      <c r="AM93" s="287"/>
      <c r="AN93" s="287"/>
      <c r="AO93" s="290">
        <f>'Unit Savings Calculations'!P89</f>
        <v>30.207245887345675</v>
      </c>
      <c r="AP93" s="287" t="s">
        <v>764</v>
      </c>
      <c r="AQ93" s="292">
        <f t="shared" si="54"/>
        <v>6887.2520623148148</v>
      </c>
      <c r="AR93" s="289">
        <f t="shared" si="55"/>
        <v>0</v>
      </c>
      <c r="AS93" s="287"/>
      <c r="AT93" s="287"/>
      <c r="AU93" s="290">
        <f>'Unit Savings Calculations'!Q89</f>
        <v>30.207245887345675</v>
      </c>
      <c r="AV93" s="287" t="str">
        <f t="shared" si="56"/>
        <v>n/a</v>
      </c>
      <c r="AW93" s="292">
        <f t="shared" si="57"/>
        <v>6887.2520623148148</v>
      </c>
      <c r="AX93" s="289">
        <f t="shared" si="58"/>
        <v>0</v>
      </c>
      <c r="AY93" s="292">
        <f t="shared" si="59"/>
        <v>6887.2520623148148</v>
      </c>
      <c r="AZ93" s="292">
        <f t="shared" si="60"/>
        <v>6887.2520623148148</v>
      </c>
      <c r="BA93" s="292">
        <f t="shared" si="61"/>
        <v>6887.2520623148148</v>
      </c>
      <c r="BB93" s="292">
        <f t="shared" si="62"/>
        <v>6887.2520623148148</v>
      </c>
      <c r="BC93" s="294">
        <f t="shared" si="63"/>
        <v>27549.008249259259</v>
      </c>
      <c r="BD93" s="287" t="s">
        <v>764</v>
      </c>
      <c r="BE93" s="295" t="str">
        <f t="shared" si="64"/>
        <v>Exhibit 1.5B_R Peoples Gas EEPS_Adjustable_Savings_Goal_Template.xlsx,Pipe Insulation Detail Tab</v>
      </c>
      <c r="BF93" s="297"/>
    </row>
    <row r="94" spans="1:58" ht="13.5" customHeight="1">
      <c r="A94" s="287" t="str">
        <f>'Unit Savings Calculations'!C90</f>
        <v>Res - MF Standard Rebates</v>
      </c>
      <c r="B94" s="287" t="str">
        <f>'Unit Savings Calculations'!D90</f>
        <v>Pipe Insulation - Steam - X-Large &gt;8"</v>
      </c>
      <c r="C94" s="288">
        <f t="shared" si="66"/>
        <v>1</v>
      </c>
      <c r="D94" s="287" t="str">
        <f>'Unit Savings Calculations'!T90</f>
        <v>4.4.14</v>
      </c>
      <c r="E94" s="287">
        <f>INDEX('Unit Savings Calculations'!$H$4:$H$421,MATCH('Measure-Level Adjustments Tab'!$A94&amp;"_"&amp;'Measure-Level Adjustments Tab'!$B94,'Unit Savings Calculations'!$A$4:$A$421,0))</f>
        <v>15</v>
      </c>
      <c r="F94" s="287">
        <f>INDEX('Unit Savings Calculations'!$I$4:$I$421,MATCH('Measure-Level Adjustments Tab'!A94&amp;"_"&amp;'Measure-Level Adjustments Tab'!B94,'Unit Savings Calculations'!$A$4:$A$421,0))</f>
        <v>15</v>
      </c>
      <c r="G94" s="287" t="str">
        <f>'Unit Savings Calculations'!E90</f>
        <v>ft</v>
      </c>
      <c r="H94" s="289">
        <f>'Unit Savings Calculations'!$F90*'Unit Savings Calculations'!J90</f>
        <v>75</v>
      </c>
      <c r="I94" s="289">
        <f>'Unit Savings Calculations'!$F90*'Unit Savings Calculations'!K90</f>
        <v>75</v>
      </c>
      <c r="J94" s="289">
        <f>'Unit Savings Calculations'!$F90*'Unit Savings Calculations'!L90</f>
        <v>75</v>
      </c>
      <c r="K94" s="289">
        <f>'Unit Savings Calculations'!$F90*'Unit Savings Calculations'!M90</f>
        <v>75</v>
      </c>
      <c r="L94" s="287" t="str">
        <f>'Unit Savings Calculations'!U90</f>
        <v>CI-HVC-PINS-V04-160601</v>
      </c>
      <c r="M94" s="363" t="s">
        <v>831</v>
      </c>
      <c r="N94" s="290">
        <v>44.814401171573145</v>
      </c>
      <c r="O94" s="290">
        <v>44.814401171573145</v>
      </c>
      <c r="P94" s="290">
        <v>44.814401171573145</v>
      </c>
      <c r="Q94" s="290">
        <v>44.814401171573145</v>
      </c>
      <c r="R94" s="291">
        <f>'Unit Savings Calculations'!$G90</f>
        <v>0.76</v>
      </c>
      <c r="S94" s="291">
        <f>'Unit Savings Calculations'!$G90</f>
        <v>0.76</v>
      </c>
      <c r="T94" s="291">
        <f>'Unit Savings Calculations'!$G90</f>
        <v>0.76</v>
      </c>
      <c r="U94" s="291">
        <f>'Unit Savings Calculations'!$G90</f>
        <v>0.76</v>
      </c>
      <c r="V94" s="292">
        <f t="shared" si="67"/>
        <v>2554.4208667796693</v>
      </c>
      <c r="W94" s="292">
        <f t="shared" si="68"/>
        <v>2554.4208667796693</v>
      </c>
      <c r="X94" s="292">
        <f t="shared" si="69"/>
        <v>2554.4208667796693</v>
      </c>
      <c r="Y94" s="292">
        <f t="shared" si="70"/>
        <v>2554.4208667796693</v>
      </c>
      <c r="Z94" s="292">
        <f t="shared" si="71"/>
        <v>10217.683467118677</v>
      </c>
      <c r="AA94" s="287"/>
      <c r="AB94" s="287"/>
      <c r="AC94" s="293">
        <f>'Unit Savings Calculations'!N90</f>
        <v>44.814401171573145</v>
      </c>
      <c r="AD94" s="287"/>
      <c r="AE94" s="292">
        <f t="shared" si="49"/>
        <v>2554.4208667796693</v>
      </c>
      <c r="AF94" s="289">
        <f t="shared" si="50"/>
        <v>0</v>
      </c>
      <c r="AG94" s="287"/>
      <c r="AH94" s="287">
        <f t="shared" si="51"/>
        <v>0</v>
      </c>
      <c r="AI94" s="290">
        <f>'Unit Savings Calculations'!O90</f>
        <v>44.814401171573145</v>
      </c>
      <c r="AJ94" s="287" t="s">
        <v>872</v>
      </c>
      <c r="AK94" s="292">
        <f t="shared" si="52"/>
        <v>2554.4208667796693</v>
      </c>
      <c r="AL94" s="289">
        <f t="shared" si="53"/>
        <v>0</v>
      </c>
      <c r="AM94" s="287"/>
      <c r="AN94" s="287"/>
      <c r="AO94" s="290">
        <f>'Unit Savings Calculations'!P90</f>
        <v>44.814401171573145</v>
      </c>
      <c r="AP94" s="287" t="s">
        <v>764</v>
      </c>
      <c r="AQ94" s="292">
        <f t="shared" si="54"/>
        <v>2554.4208667796693</v>
      </c>
      <c r="AR94" s="289">
        <f t="shared" si="55"/>
        <v>0</v>
      </c>
      <c r="AS94" s="287"/>
      <c r="AT94" s="287"/>
      <c r="AU94" s="290">
        <f>'Unit Savings Calculations'!Q90</f>
        <v>44.814401171573145</v>
      </c>
      <c r="AV94" s="287" t="str">
        <f t="shared" si="56"/>
        <v>n/a</v>
      </c>
      <c r="AW94" s="292">
        <f t="shared" si="57"/>
        <v>2554.4208667796693</v>
      </c>
      <c r="AX94" s="289">
        <f t="shared" si="58"/>
        <v>0</v>
      </c>
      <c r="AY94" s="292">
        <f t="shared" si="59"/>
        <v>2554.4208667796693</v>
      </c>
      <c r="AZ94" s="292">
        <f t="shared" si="60"/>
        <v>2554.4208667796693</v>
      </c>
      <c r="BA94" s="292">
        <f t="shared" si="61"/>
        <v>2554.4208667796693</v>
      </c>
      <c r="BB94" s="292">
        <f t="shared" si="62"/>
        <v>2554.4208667796693</v>
      </c>
      <c r="BC94" s="294">
        <f t="shared" si="63"/>
        <v>10217.683467118677</v>
      </c>
      <c r="BD94" s="287" t="s">
        <v>764</v>
      </c>
      <c r="BE94" s="295" t="str">
        <f t="shared" si="64"/>
        <v>Exhibit 1.5B_R Peoples Gas EEPS_Adjustable_Savings_Goal_Template.xlsx,Pipe Insulation Detail Tab</v>
      </c>
      <c r="BF94" s="297"/>
    </row>
    <row r="95" spans="1:58" ht="13.5" customHeight="1">
      <c r="A95" s="287" t="str">
        <f>'Unit Savings Calculations'!C91</f>
        <v>Res - MF Standard Rebates</v>
      </c>
      <c r="B95" s="287" t="str">
        <f>'Unit Savings Calculations'!D91</f>
        <v>Pipe Insulation - Steam Med Fitting</v>
      </c>
      <c r="C95" s="288">
        <f t="shared" si="66"/>
        <v>1</v>
      </c>
      <c r="D95" s="287" t="str">
        <f>'Unit Savings Calculations'!T91</f>
        <v>4.4.14</v>
      </c>
      <c r="E95" s="287">
        <f>INDEX('Unit Savings Calculations'!$H$4:$H$421,MATCH('Measure-Level Adjustments Tab'!$A95&amp;"_"&amp;'Measure-Level Adjustments Tab'!$B95,'Unit Savings Calculations'!$A$4:$A$421,0))</f>
        <v>15</v>
      </c>
      <c r="F95" s="287">
        <f>INDEX('Unit Savings Calculations'!$I$4:$I$421,MATCH('Measure-Level Adjustments Tab'!A95&amp;"_"&amp;'Measure-Level Adjustments Tab'!B95,'Unit Savings Calculations'!$A$4:$A$421,0))</f>
        <v>15</v>
      </c>
      <c r="G95" s="287" t="str">
        <f>'Unit Savings Calculations'!E91</f>
        <v>each</v>
      </c>
      <c r="H95" s="289">
        <f>'Unit Savings Calculations'!$F91*'Unit Savings Calculations'!J91</f>
        <v>6</v>
      </c>
      <c r="I95" s="289">
        <f>'Unit Savings Calculations'!$F91*'Unit Savings Calculations'!K91</f>
        <v>6</v>
      </c>
      <c r="J95" s="289">
        <f>'Unit Savings Calculations'!$F91*'Unit Savings Calculations'!L91</f>
        <v>6</v>
      </c>
      <c r="K95" s="289">
        <f>'Unit Savings Calculations'!$F91*'Unit Savings Calculations'!M91</f>
        <v>6</v>
      </c>
      <c r="L95" s="287" t="str">
        <f>'Unit Savings Calculations'!U91</f>
        <v>CI-HVC-PINS-V04-160601</v>
      </c>
      <c r="M95" s="363" t="s">
        <v>831</v>
      </c>
      <c r="N95" s="290">
        <v>15.586033402860688</v>
      </c>
      <c r="O95" s="290">
        <v>15.586033402860688</v>
      </c>
      <c r="P95" s="290">
        <v>15.586033402860688</v>
      </c>
      <c r="Q95" s="290">
        <v>15.586033402860688</v>
      </c>
      <c r="R95" s="291">
        <f>'Unit Savings Calculations'!$G91</f>
        <v>0.76</v>
      </c>
      <c r="S95" s="291">
        <f>'Unit Savings Calculations'!$G91</f>
        <v>0.76</v>
      </c>
      <c r="T95" s="291">
        <f>'Unit Savings Calculations'!$G91</f>
        <v>0.76</v>
      </c>
      <c r="U95" s="291">
        <f>'Unit Savings Calculations'!$G91</f>
        <v>0.76</v>
      </c>
      <c r="V95" s="292">
        <f t="shared" si="67"/>
        <v>71.072312317044734</v>
      </c>
      <c r="W95" s="292">
        <f t="shared" si="68"/>
        <v>71.072312317044734</v>
      </c>
      <c r="X95" s="292">
        <f t="shared" si="69"/>
        <v>71.072312317044734</v>
      </c>
      <c r="Y95" s="292">
        <f t="shared" si="70"/>
        <v>71.072312317044734</v>
      </c>
      <c r="Z95" s="292">
        <f t="shared" si="71"/>
        <v>284.28924926817893</v>
      </c>
      <c r="AA95" s="287"/>
      <c r="AB95" s="287"/>
      <c r="AC95" s="293">
        <f>'Unit Savings Calculations'!N91</f>
        <v>15.586033402860688</v>
      </c>
      <c r="AD95" s="287"/>
      <c r="AE95" s="292">
        <f t="shared" si="49"/>
        <v>71.072312317044734</v>
      </c>
      <c r="AF95" s="289">
        <f t="shared" si="50"/>
        <v>0</v>
      </c>
      <c r="AG95" s="287"/>
      <c r="AH95" s="287">
        <f t="shared" si="51"/>
        <v>0</v>
      </c>
      <c r="AI95" s="290">
        <f>'Unit Savings Calculations'!O91</f>
        <v>15.586033402860688</v>
      </c>
      <c r="AJ95" s="287" t="s">
        <v>872</v>
      </c>
      <c r="AK95" s="292">
        <f t="shared" si="52"/>
        <v>71.072312317044734</v>
      </c>
      <c r="AL95" s="289">
        <f t="shared" si="53"/>
        <v>0</v>
      </c>
      <c r="AM95" s="287"/>
      <c r="AN95" s="287"/>
      <c r="AO95" s="290">
        <f>'Unit Savings Calculations'!P91</f>
        <v>15.586033402860688</v>
      </c>
      <c r="AP95" s="287" t="s">
        <v>764</v>
      </c>
      <c r="AQ95" s="292">
        <f t="shared" si="54"/>
        <v>71.072312317044734</v>
      </c>
      <c r="AR95" s="289">
        <f t="shared" si="55"/>
        <v>0</v>
      </c>
      <c r="AS95" s="287"/>
      <c r="AT95" s="287"/>
      <c r="AU95" s="290">
        <f>'Unit Savings Calculations'!Q91</f>
        <v>15.586033402860688</v>
      </c>
      <c r="AV95" s="287" t="str">
        <f t="shared" si="56"/>
        <v>n/a</v>
      </c>
      <c r="AW95" s="292">
        <f t="shared" si="57"/>
        <v>71.072312317044734</v>
      </c>
      <c r="AX95" s="289">
        <f t="shared" si="58"/>
        <v>0</v>
      </c>
      <c r="AY95" s="292">
        <f t="shared" si="59"/>
        <v>71.072312317044734</v>
      </c>
      <c r="AZ95" s="292">
        <f t="shared" si="60"/>
        <v>71.072312317044734</v>
      </c>
      <c r="BA95" s="292">
        <f t="shared" si="61"/>
        <v>71.072312317044734</v>
      </c>
      <c r="BB95" s="292">
        <f t="shared" si="62"/>
        <v>71.072312317044734</v>
      </c>
      <c r="BC95" s="294">
        <f t="shared" si="63"/>
        <v>284.28924926817893</v>
      </c>
      <c r="BD95" s="287" t="s">
        <v>764</v>
      </c>
      <c r="BE95" s="295" t="str">
        <f t="shared" si="64"/>
        <v>Exhibit 1.5B_R Peoples Gas EEPS_Adjustable_Savings_Goal_Template.xlsx,Pipe Insulation Detail Tab</v>
      </c>
      <c r="BF95" s="297"/>
    </row>
    <row r="96" spans="1:58" ht="13.5" customHeight="1">
      <c r="A96" s="287" t="str">
        <f>'Unit Savings Calculations'!C92</f>
        <v>Res - MF Standard Rebates</v>
      </c>
      <c r="B96" s="287" t="str">
        <f>'Unit Savings Calculations'!D92</f>
        <v>Pipe Insulation - Steam Large Fitting</v>
      </c>
      <c r="C96" s="288">
        <f t="shared" si="66"/>
        <v>1</v>
      </c>
      <c r="D96" s="287" t="str">
        <f>'Unit Savings Calculations'!T92</f>
        <v>4.4.14</v>
      </c>
      <c r="E96" s="287">
        <f>INDEX('Unit Savings Calculations'!$H$4:$H$421,MATCH('Measure-Level Adjustments Tab'!$A96&amp;"_"&amp;'Measure-Level Adjustments Tab'!$B96,'Unit Savings Calculations'!$A$4:$A$421,0))</f>
        <v>15</v>
      </c>
      <c r="F96" s="287">
        <f>INDEX('Unit Savings Calculations'!$I$4:$I$421,MATCH('Measure-Level Adjustments Tab'!A96&amp;"_"&amp;'Measure-Level Adjustments Tab'!B96,'Unit Savings Calculations'!$A$4:$A$421,0))</f>
        <v>15</v>
      </c>
      <c r="G96" s="287" t="str">
        <f>'Unit Savings Calculations'!E92</f>
        <v>each</v>
      </c>
      <c r="H96" s="289">
        <f>'Unit Savings Calculations'!$F92*'Unit Savings Calculations'!J92</f>
        <v>4</v>
      </c>
      <c r="I96" s="289">
        <f>'Unit Savings Calculations'!$F92*'Unit Savings Calculations'!K92</f>
        <v>4</v>
      </c>
      <c r="J96" s="289">
        <f>'Unit Savings Calculations'!$F92*'Unit Savings Calculations'!L92</f>
        <v>4</v>
      </c>
      <c r="K96" s="289">
        <f>'Unit Savings Calculations'!$F92*'Unit Savings Calculations'!M92</f>
        <v>4</v>
      </c>
      <c r="L96" s="287" t="str">
        <f>'Unit Savings Calculations'!U92</f>
        <v>CI-HVC-PINS-V04-160601</v>
      </c>
      <c r="M96" s="363" t="s">
        <v>831</v>
      </c>
      <c r="N96" s="290">
        <v>63.824627950912159</v>
      </c>
      <c r="O96" s="290">
        <v>63.824627950912159</v>
      </c>
      <c r="P96" s="290">
        <v>63.824627950912159</v>
      </c>
      <c r="Q96" s="290">
        <v>63.824627950912159</v>
      </c>
      <c r="R96" s="291">
        <f>'Unit Savings Calculations'!$G92</f>
        <v>0.76</v>
      </c>
      <c r="S96" s="291">
        <f>'Unit Savings Calculations'!$G92</f>
        <v>0.76</v>
      </c>
      <c r="T96" s="291">
        <f>'Unit Savings Calculations'!$G92</f>
        <v>0.76</v>
      </c>
      <c r="U96" s="291">
        <f>'Unit Savings Calculations'!$G92</f>
        <v>0.76</v>
      </c>
      <c r="V96" s="292">
        <f t="shared" si="67"/>
        <v>194.02686897077297</v>
      </c>
      <c r="W96" s="292">
        <f t="shared" si="68"/>
        <v>194.02686897077297</v>
      </c>
      <c r="X96" s="292">
        <f t="shared" si="69"/>
        <v>194.02686897077297</v>
      </c>
      <c r="Y96" s="292">
        <f t="shared" si="70"/>
        <v>194.02686897077297</v>
      </c>
      <c r="Z96" s="292">
        <f t="shared" si="71"/>
        <v>776.10747588309187</v>
      </c>
      <c r="AA96" s="287"/>
      <c r="AB96" s="287"/>
      <c r="AC96" s="293">
        <f>'Unit Savings Calculations'!N92</f>
        <v>63.824627950912159</v>
      </c>
      <c r="AD96" s="287"/>
      <c r="AE96" s="292">
        <f t="shared" si="49"/>
        <v>194.02686897077297</v>
      </c>
      <c r="AF96" s="289">
        <f t="shared" si="50"/>
        <v>0</v>
      </c>
      <c r="AG96" s="287"/>
      <c r="AH96" s="287">
        <f t="shared" si="51"/>
        <v>0</v>
      </c>
      <c r="AI96" s="290">
        <f>'Unit Savings Calculations'!O92</f>
        <v>63.824627950912159</v>
      </c>
      <c r="AJ96" s="287" t="s">
        <v>872</v>
      </c>
      <c r="AK96" s="292">
        <f t="shared" si="52"/>
        <v>194.02686897077297</v>
      </c>
      <c r="AL96" s="289">
        <f t="shared" si="53"/>
        <v>0</v>
      </c>
      <c r="AM96" s="287"/>
      <c r="AN96" s="287"/>
      <c r="AO96" s="290">
        <f>'Unit Savings Calculations'!P92</f>
        <v>63.824627950912159</v>
      </c>
      <c r="AP96" s="287" t="s">
        <v>764</v>
      </c>
      <c r="AQ96" s="292">
        <f t="shared" si="54"/>
        <v>194.02686897077297</v>
      </c>
      <c r="AR96" s="289">
        <f t="shared" si="55"/>
        <v>0</v>
      </c>
      <c r="AS96" s="287"/>
      <c r="AT96" s="287"/>
      <c r="AU96" s="290">
        <f>'Unit Savings Calculations'!Q92</f>
        <v>63.824627950912159</v>
      </c>
      <c r="AV96" s="287" t="str">
        <f t="shared" si="56"/>
        <v>n/a</v>
      </c>
      <c r="AW96" s="292">
        <f t="shared" si="57"/>
        <v>194.02686897077297</v>
      </c>
      <c r="AX96" s="289">
        <f t="shared" si="58"/>
        <v>0</v>
      </c>
      <c r="AY96" s="292">
        <f t="shared" si="59"/>
        <v>194.02686897077297</v>
      </c>
      <c r="AZ96" s="292">
        <f t="shared" si="60"/>
        <v>194.02686897077297</v>
      </c>
      <c r="BA96" s="292">
        <f t="shared" si="61"/>
        <v>194.02686897077297</v>
      </c>
      <c r="BB96" s="292">
        <f t="shared" si="62"/>
        <v>194.02686897077297</v>
      </c>
      <c r="BC96" s="294">
        <f t="shared" si="63"/>
        <v>776.10747588309187</v>
      </c>
      <c r="BD96" s="287" t="s">
        <v>764</v>
      </c>
      <c r="BE96" s="295" t="str">
        <f t="shared" si="64"/>
        <v>Exhibit 1.5B_R Peoples Gas EEPS_Adjustable_Savings_Goal_Template.xlsx,Pipe Insulation Detail Tab</v>
      </c>
      <c r="BF96" s="297"/>
    </row>
    <row r="97" spans="1:58" ht="13.5" customHeight="1">
      <c r="A97" s="287" t="str">
        <f>'Unit Savings Calculations'!C93</f>
        <v>Res - MF Standard Rebates</v>
      </c>
      <c r="B97" s="287" t="str">
        <f>'Unit Savings Calculations'!D93</f>
        <v>Pipe Insulation - Steam X-Large Fitting</v>
      </c>
      <c r="C97" s="288">
        <f t="shared" si="66"/>
        <v>1</v>
      </c>
      <c r="D97" s="287" t="str">
        <f>'Unit Savings Calculations'!T93</f>
        <v>4.4.14</v>
      </c>
      <c r="E97" s="287">
        <f>INDEX('Unit Savings Calculations'!$H$4:$H$421,MATCH('Measure-Level Adjustments Tab'!$A97&amp;"_"&amp;'Measure-Level Adjustments Tab'!$B97,'Unit Savings Calculations'!$A$4:$A$421,0))</f>
        <v>15</v>
      </c>
      <c r="F97" s="287">
        <f>INDEX('Unit Savings Calculations'!$I$4:$I$421,MATCH('Measure-Level Adjustments Tab'!A97&amp;"_"&amp;'Measure-Level Adjustments Tab'!B97,'Unit Savings Calculations'!$A$4:$A$421,0))</f>
        <v>15</v>
      </c>
      <c r="G97" s="287" t="str">
        <f>'Unit Savings Calculations'!E93</f>
        <v>each</v>
      </c>
      <c r="H97" s="289">
        <f>'Unit Savings Calculations'!$F93*'Unit Savings Calculations'!J93</f>
        <v>1</v>
      </c>
      <c r="I97" s="289">
        <f>'Unit Savings Calculations'!$F93*'Unit Savings Calculations'!K93</f>
        <v>1</v>
      </c>
      <c r="J97" s="289">
        <f>'Unit Savings Calculations'!$F93*'Unit Savings Calculations'!L93</f>
        <v>1</v>
      </c>
      <c r="K97" s="289">
        <f>'Unit Savings Calculations'!$F93*'Unit Savings Calculations'!M93</f>
        <v>1</v>
      </c>
      <c r="L97" s="287" t="str">
        <f>'Unit Savings Calculations'!U93</f>
        <v>CI-HVC-PINS-V04-160601</v>
      </c>
      <c r="M97" s="363" t="s">
        <v>831</v>
      </c>
      <c r="N97" s="290">
        <v>123.46367522768401</v>
      </c>
      <c r="O97" s="290">
        <v>123.46367522768401</v>
      </c>
      <c r="P97" s="290">
        <v>123.46367522768401</v>
      </c>
      <c r="Q97" s="290">
        <v>123.46367522768401</v>
      </c>
      <c r="R97" s="291">
        <f>'Unit Savings Calculations'!$G93</f>
        <v>0.76</v>
      </c>
      <c r="S97" s="291">
        <f>'Unit Savings Calculations'!$G93</f>
        <v>0.76</v>
      </c>
      <c r="T97" s="291">
        <f>'Unit Savings Calculations'!$G93</f>
        <v>0.76</v>
      </c>
      <c r="U97" s="291">
        <f>'Unit Savings Calculations'!$G93</f>
        <v>0.76</v>
      </c>
      <c r="V97" s="292">
        <f t="shared" si="67"/>
        <v>93.832393173039847</v>
      </c>
      <c r="W97" s="292">
        <f t="shared" si="68"/>
        <v>93.832393173039847</v>
      </c>
      <c r="X97" s="292">
        <f t="shared" si="69"/>
        <v>93.832393173039847</v>
      </c>
      <c r="Y97" s="292">
        <f t="shared" si="70"/>
        <v>93.832393173039847</v>
      </c>
      <c r="Z97" s="292">
        <f t="shared" si="71"/>
        <v>375.32957269215939</v>
      </c>
      <c r="AA97" s="287"/>
      <c r="AB97" s="287"/>
      <c r="AC97" s="293">
        <f>'Unit Savings Calculations'!N93</f>
        <v>123.46367522768401</v>
      </c>
      <c r="AD97" s="287"/>
      <c r="AE97" s="292">
        <f t="shared" si="49"/>
        <v>93.832393173039847</v>
      </c>
      <c r="AF97" s="289">
        <f t="shared" si="50"/>
        <v>0</v>
      </c>
      <c r="AG97" s="287"/>
      <c r="AH97" s="287">
        <f t="shared" si="51"/>
        <v>0</v>
      </c>
      <c r="AI97" s="290">
        <f>'Unit Savings Calculations'!O93</f>
        <v>123.46367522768401</v>
      </c>
      <c r="AJ97" s="287" t="s">
        <v>872</v>
      </c>
      <c r="AK97" s="292">
        <f t="shared" si="52"/>
        <v>93.832393173039847</v>
      </c>
      <c r="AL97" s="289">
        <f t="shared" si="53"/>
        <v>0</v>
      </c>
      <c r="AM97" s="287"/>
      <c r="AN97" s="287"/>
      <c r="AO97" s="290">
        <f>'Unit Savings Calculations'!P93</f>
        <v>123.46367522768401</v>
      </c>
      <c r="AP97" s="287" t="s">
        <v>764</v>
      </c>
      <c r="AQ97" s="292">
        <f t="shared" si="54"/>
        <v>93.832393173039847</v>
      </c>
      <c r="AR97" s="289">
        <f t="shared" si="55"/>
        <v>0</v>
      </c>
      <c r="AS97" s="287"/>
      <c r="AT97" s="287"/>
      <c r="AU97" s="290">
        <f>'Unit Savings Calculations'!Q93</f>
        <v>123.46367522768401</v>
      </c>
      <c r="AV97" s="287" t="str">
        <f t="shared" si="56"/>
        <v>n/a</v>
      </c>
      <c r="AW97" s="292">
        <f t="shared" si="57"/>
        <v>93.832393173039847</v>
      </c>
      <c r="AX97" s="289">
        <f t="shared" si="58"/>
        <v>0</v>
      </c>
      <c r="AY97" s="292">
        <f t="shared" si="59"/>
        <v>93.832393173039847</v>
      </c>
      <c r="AZ97" s="292">
        <f t="shared" si="60"/>
        <v>93.832393173039847</v>
      </c>
      <c r="BA97" s="292">
        <f t="shared" si="61"/>
        <v>93.832393173039847</v>
      </c>
      <c r="BB97" s="292">
        <f t="shared" si="62"/>
        <v>93.832393173039847</v>
      </c>
      <c r="BC97" s="294">
        <f t="shared" si="63"/>
        <v>375.32957269215939</v>
      </c>
      <c r="BD97" s="287" t="s">
        <v>764</v>
      </c>
      <c r="BE97" s="295" t="str">
        <f t="shared" si="64"/>
        <v>Exhibit 1.5B_R Peoples Gas EEPS_Adjustable_Savings_Goal_Template.xlsx,Pipe Insulation Detail Tab</v>
      </c>
      <c r="BF97" s="297"/>
    </row>
    <row r="98" spans="1:58" ht="13.5" customHeight="1">
      <c r="A98" s="287" t="str">
        <f>'Unit Savings Calculations'!C94</f>
        <v>Res - MF Standard Rebates</v>
      </c>
      <c r="B98" s="287" t="str">
        <f>'Unit Savings Calculations'!D94</f>
        <v>Pipe Insulation - Steam Med Valve</v>
      </c>
      <c r="C98" s="288">
        <f t="shared" si="66"/>
        <v>1</v>
      </c>
      <c r="D98" s="287" t="str">
        <f>'Unit Savings Calculations'!T94</f>
        <v>4.4.14</v>
      </c>
      <c r="E98" s="287">
        <f>INDEX('Unit Savings Calculations'!$H$4:$H$421,MATCH('Measure-Level Adjustments Tab'!$A98&amp;"_"&amp;'Measure-Level Adjustments Tab'!$B98,'Unit Savings Calculations'!$A$4:$A$421,0))</f>
        <v>15</v>
      </c>
      <c r="F98" s="287">
        <f>INDEX('Unit Savings Calculations'!$I$4:$I$421,MATCH('Measure-Level Adjustments Tab'!A98&amp;"_"&amp;'Measure-Level Adjustments Tab'!B98,'Unit Savings Calculations'!$A$4:$A$421,0))</f>
        <v>15</v>
      </c>
      <c r="G98" s="287" t="str">
        <f>'Unit Savings Calculations'!E94</f>
        <v>each</v>
      </c>
      <c r="H98" s="289">
        <f>'Unit Savings Calculations'!$F94*'Unit Savings Calculations'!J94</f>
        <v>3</v>
      </c>
      <c r="I98" s="289">
        <f>'Unit Savings Calculations'!$F94*'Unit Savings Calculations'!K94</f>
        <v>3</v>
      </c>
      <c r="J98" s="289">
        <f>'Unit Savings Calculations'!$F94*'Unit Savings Calculations'!L94</f>
        <v>3</v>
      </c>
      <c r="K98" s="289">
        <f>'Unit Savings Calculations'!$F94*'Unit Savings Calculations'!M94</f>
        <v>3</v>
      </c>
      <c r="L98" s="287" t="str">
        <f>'Unit Savings Calculations'!U94</f>
        <v>CI-HVC-PINS-V04-160601</v>
      </c>
      <c r="M98" s="363" t="s">
        <v>831</v>
      </c>
      <c r="N98" s="290">
        <v>46.605980670745772</v>
      </c>
      <c r="O98" s="290">
        <v>46.605980670745772</v>
      </c>
      <c r="P98" s="290">
        <v>46.605980670745772</v>
      </c>
      <c r="Q98" s="290">
        <v>46.605980670745772</v>
      </c>
      <c r="R98" s="291">
        <f>'Unit Savings Calculations'!$G94</f>
        <v>0.76</v>
      </c>
      <c r="S98" s="291">
        <f>'Unit Savings Calculations'!$G94</f>
        <v>0.76</v>
      </c>
      <c r="T98" s="291">
        <f>'Unit Savings Calculations'!$G94</f>
        <v>0.76</v>
      </c>
      <c r="U98" s="291">
        <f>'Unit Savings Calculations'!$G94</f>
        <v>0.76</v>
      </c>
      <c r="V98" s="292">
        <f t="shared" si="67"/>
        <v>106.26163592930037</v>
      </c>
      <c r="W98" s="292">
        <f t="shared" si="68"/>
        <v>106.26163592930037</v>
      </c>
      <c r="X98" s="292">
        <f t="shared" si="69"/>
        <v>106.26163592930037</v>
      </c>
      <c r="Y98" s="292">
        <f t="shared" si="70"/>
        <v>106.26163592930037</v>
      </c>
      <c r="Z98" s="292">
        <f t="shared" si="71"/>
        <v>425.04654371720147</v>
      </c>
      <c r="AA98" s="287"/>
      <c r="AB98" s="287"/>
      <c r="AC98" s="293">
        <f>'Unit Savings Calculations'!N94</f>
        <v>46.605980670745772</v>
      </c>
      <c r="AD98" s="287"/>
      <c r="AE98" s="292">
        <f t="shared" si="49"/>
        <v>106.26163592930037</v>
      </c>
      <c r="AF98" s="289">
        <f t="shared" si="50"/>
        <v>0</v>
      </c>
      <c r="AG98" s="287"/>
      <c r="AH98" s="287">
        <f t="shared" si="51"/>
        <v>0</v>
      </c>
      <c r="AI98" s="290">
        <f>'Unit Savings Calculations'!O94</f>
        <v>46.605980670745772</v>
      </c>
      <c r="AJ98" s="287" t="s">
        <v>872</v>
      </c>
      <c r="AK98" s="292">
        <f t="shared" si="52"/>
        <v>106.26163592930037</v>
      </c>
      <c r="AL98" s="289">
        <f t="shared" si="53"/>
        <v>0</v>
      </c>
      <c r="AM98" s="287"/>
      <c r="AN98" s="287"/>
      <c r="AO98" s="290">
        <f>'Unit Savings Calculations'!P94</f>
        <v>46.605980670745772</v>
      </c>
      <c r="AP98" s="287" t="s">
        <v>764</v>
      </c>
      <c r="AQ98" s="292">
        <f t="shared" si="54"/>
        <v>106.26163592930037</v>
      </c>
      <c r="AR98" s="289">
        <f t="shared" si="55"/>
        <v>0</v>
      </c>
      <c r="AS98" s="287"/>
      <c r="AT98" s="287"/>
      <c r="AU98" s="290">
        <f>'Unit Savings Calculations'!Q94</f>
        <v>46.605980670745772</v>
      </c>
      <c r="AV98" s="287" t="str">
        <f t="shared" si="56"/>
        <v>n/a</v>
      </c>
      <c r="AW98" s="292">
        <f t="shared" si="57"/>
        <v>106.26163592930037</v>
      </c>
      <c r="AX98" s="289">
        <f t="shared" si="58"/>
        <v>0</v>
      </c>
      <c r="AY98" s="292">
        <f t="shared" si="59"/>
        <v>106.26163592930037</v>
      </c>
      <c r="AZ98" s="292">
        <f t="shared" si="60"/>
        <v>106.26163592930037</v>
      </c>
      <c r="BA98" s="292">
        <f t="shared" si="61"/>
        <v>106.26163592930037</v>
      </c>
      <c r="BB98" s="292">
        <f t="shared" si="62"/>
        <v>106.26163592930037</v>
      </c>
      <c r="BC98" s="294">
        <f t="shared" si="63"/>
        <v>425.04654371720147</v>
      </c>
      <c r="BD98" s="287" t="s">
        <v>764</v>
      </c>
      <c r="BE98" s="295" t="str">
        <f t="shared" si="64"/>
        <v>Exhibit 1.5B_R Peoples Gas EEPS_Adjustable_Savings_Goal_Template.xlsx,Pipe Insulation Detail Tab</v>
      </c>
      <c r="BF98" s="297"/>
    </row>
    <row r="99" spans="1:58" ht="13.5" customHeight="1">
      <c r="A99" s="287" t="str">
        <f>'Unit Savings Calculations'!C95</f>
        <v>Res - MF Standard Rebates</v>
      </c>
      <c r="B99" s="287" t="str">
        <f>'Unit Savings Calculations'!D95</f>
        <v>Pipe Insulation - Steam Large Valve</v>
      </c>
      <c r="C99" s="288">
        <f t="shared" si="66"/>
        <v>1</v>
      </c>
      <c r="D99" s="287" t="str">
        <f>'Unit Savings Calculations'!T95</f>
        <v>4.4.14</v>
      </c>
      <c r="E99" s="287">
        <f>INDEX('Unit Savings Calculations'!$H$4:$H$421,MATCH('Measure-Level Adjustments Tab'!$A99&amp;"_"&amp;'Measure-Level Adjustments Tab'!$B99,'Unit Savings Calculations'!$A$4:$A$421,0))</f>
        <v>15</v>
      </c>
      <c r="F99" s="287">
        <f>INDEX('Unit Savings Calculations'!$I$4:$I$421,MATCH('Measure-Level Adjustments Tab'!A99&amp;"_"&amp;'Measure-Level Adjustments Tab'!B99,'Unit Savings Calculations'!$A$4:$A$421,0))</f>
        <v>15</v>
      </c>
      <c r="G99" s="287" t="str">
        <f>'Unit Savings Calculations'!E95</f>
        <v>each</v>
      </c>
      <c r="H99" s="289">
        <f>'Unit Savings Calculations'!$F95*'Unit Savings Calculations'!J95</f>
        <v>9</v>
      </c>
      <c r="I99" s="289">
        <f>'Unit Savings Calculations'!$F95*'Unit Savings Calculations'!K95</f>
        <v>9</v>
      </c>
      <c r="J99" s="289">
        <f>'Unit Savings Calculations'!$F95*'Unit Savings Calculations'!L95</f>
        <v>9</v>
      </c>
      <c r="K99" s="289">
        <f>'Unit Savings Calculations'!$F95*'Unit Savings Calculations'!M95</f>
        <v>9</v>
      </c>
      <c r="L99" s="287" t="str">
        <f>'Unit Savings Calculations'!U95</f>
        <v>CI-HVC-PINS-V04-160601</v>
      </c>
      <c r="M99" s="363" t="s">
        <v>831</v>
      </c>
      <c r="N99" s="290">
        <v>133.90978522057964</v>
      </c>
      <c r="O99" s="290">
        <v>133.90978522057964</v>
      </c>
      <c r="P99" s="290">
        <v>133.90978522057964</v>
      </c>
      <c r="Q99" s="290">
        <v>133.90978522057964</v>
      </c>
      <c r="R99" s="291">
        <f>'Unit Savings Calculations'!$G95</f>
        <v>0.76</v>
      </c>
      <c r="S99" s="291">
        <f>'Unit Savings Calculations'!$G95</f>
        <v>0.76</v>
      </c>
      <c r="T99" s="291">
        <f>'Unit Savings Calculations'!$G95</f>
        <v>0.76</v>
      </c>
      <c r="U99" s="291">
        <f>'Unit Savings Calculations'!$G95</f>
        <v>0.76</v>
      </c>
      <c r="V99" s="292">
        <f t="shared" si="67"/>
        <v>915.94293090876465</v>
      </c>
      <c r="W99" s="292">
        <f t="shared" si="68"/>
        <v>915.94293090876465</v>
      </c>
      <c r="X99" s="292">
        <f t="shared" si="69"/>
        <v>915.94293090876465</v>
      </c>
      <c r="Y99" s="292">
        <f t="shared" si="70"/>
        <v>915.94293090876465</v>
      </c>
      <c r="Z99" s="292">
        <f t="shared" si="71"/>
        <v>3663.7717236350586</v>
      </c>
      <c r="AA99" s="287"/>
      <c r="AB99" s="287"/>
      <c r="AC99" s="293">
        <f>'Unit Savings Calculations'!N95</f>
        <v>133.90978522057964</v>
      </c>
      <c r="AD99" s="287"/>
      <c r="AE99" s="292">
        <f t="shared" si="49"/>
        <v>915.94293090876465</v>
      </c>
      <c r="AF99" s="289">
        <f t="shared" si="50"/>
        <v>0</v>
      </c>
      <c r="AG99" s="287"/>
      <c r="AH99" s="287">
        <f t="shared" si="51"/>
        <v>0</v>
      </c>
      <c r="AI99" s="290">
        <f>'Unit Savings Calculations'!O95</f>
        <v>133.90978522057964</v>
      </c>
      <c r="AJ99" s="287" t="s">
        <v>872</v>
      </c>
      <c r="AK99" s="292">
        <f t="shared" si="52"/>
        <v>915.94293090876465</v>
      </c>
      <c r="AL99" s="289">
        <f t="shared" si="53"/>
        <v>0</v>
      </c>
      <c r="AM99" s="287"/>
      <c r="AN99" s="287"/>
      <c r="AO99" s="290">
        <f>'Unit Savings Calculations'!P95</f>
        <v>133.90978522057964</v>
      </c>
      <c r="AP99" s="287" t="s">
        <v>764</v>
      </c>
      <c r="AQ99" s="292">
        <f t="shared" si="54"/>
        <v>915.94293090876465</v>
      </c>
      <c r="AR99" s="289">
        <f t="shared" si="55"/>
        <v>0</v>
      </c>
      <c r="AS99" s="287"/>
      <c r="AT99" s="287"/>
      <c r="AU99" s="290">
        <f>'Unit Savings Calculations'!Q95</f>
        <v>133.90978522057964</v>
      </c>
      <c r="AV99" s="287" t="str">
        <f t="shared" si="56"/>
        <v>n/a</v>
      </c>
      <c r="AW99" s="292">
        <f t="shared" si="57"/>
        <v>915.94293090876465</v>
      </c>
      <c r="AX99" s="289">
        <f t="shared" si="58"/>
        <v>0</v>
      </c>
      <c r="AY99" s="292">
        <f t="shared" si="59"/>
        <v>915.94293090876465</v>
      </c>
      <c r="AZ99" s="292">
        <f t="shared" si="60"/>
        <v>915.94293090876465</v>
      </c>
      <c r="BA99" s="292">
        <f t="shared" si="61"/>
        <v>915.94293090876465</v>
      </c>
      <c r="BB99" s="292">
        <f t="shared" si="62"/>
        <v>915.94293090876465</v>
      </c>
      <c r="BC99" s="294">
        <f t="shared" si="63"/>
        <v>3663.7717236350586</v>
      </c>
      <c r="BD99" s="287" t="s">
        <v>764</v>
      </c>
      <c r="BE99" s="295" t="str">
        <f t="shared" si="64"/>
        <v>Exhibit 1.5B_R Peoples Gas EEPS_Adjustable_Savings_Goal_Template.xlsx,Pipe Insulation Detail Tab</v>
      </c>
      <c r="BF99" s="297"/>
    </row>
    <row r="100" spans="1:58" ht="13.5" customHeight="1">
      <c r="A100" s="287" t="str">
        <f>'Unit Savings Calculations'!C96</f>
        <v>Res - MF Standard Rebates</v>
      </c>
      <c r="B100" s="287" t="str">
        <f>'Unit Savings Calculations'!D96</f>
        <v>Pipe Insulation - Steam X-Large Valve</v>
      </c>
      <c r="C100" s="288">
        <f t="shared" si="66"/>
        <v>1</v>
      </c>
      <c r="D100" s="287" t="str">
        <f>'Unit Savings Calculations'!T96</f>
        <v>4.4.14</v>
      </c>
      <c r="E100" s="287">
        <f>INDEX('Unit Savings Calculations'!$H$4:$H$421,MATCH('Measure-Level Adjustments Tab'!$A100&amp;"_"&amp;'Measure-Level Adjustments Tab'!$B100,'Unit Savings Calculations'!$A$4:$A$421,0))</f>
        <v>15</v>
      </c>
      <c r="F100" s="287">
        <f>INDEX('Unit Savings Calculations'!$I$4:$I$421,MATCH('Measure-Level Adjustments Tab'!A100&amp;"_"&amp;'Measure-Level Adjustments Tab'!B100,'Unit Savings Calculations'!$A$4:$A$421,0))</f>
        <v>15</v>
      </c>
      <c r="G100" s="287" t="str">
        <f>'Unit Savings Calculations'!E96</f>
        <v>each</v>
      </c>
      <c r="H100" s="289">
        <f>'Unit Savings Calculations'!$F96*'Unit Savings Calculations'!J96</f>
        <v>1</v>
      </c>
      <c r="I100" s="289">
        <f>'Unit Savings Calculations'!$F96*'Unit Savings Calculations'!K96</f>
        <v>1</v>
      </c>
      <c r="J100" s="289">
        <f>'Unit Savings Calculations'!$F96*'Unit Savings Calculations'!L96</f>
        <v>1</v>
      </c>
      <c r="K100" s="289">
        <f>'Unit Savings Calculations'!$F96*'Unit Savings Calculations'!M96</f>
        <v>1</v>
      </c>
      <c r="L100" s="287" t="str">
        <f>'Unit Savings Calculations'!U96</f>
        <v>CI-HVC-PINS-V04-160601</v>
      </c>
      <c r="M100" s="363" t="s">
        <v>831</v>
      </c>
      <c r="N100" s="290">
        <v>218.0177023221575</v>
      </c>
      <c r="O100" s="290">
        <v>218.0177023221575</v>
      </c>
      <c r="P100" s="290">
        <v>218.0177023221575</v>
      </c>
      <c r="Q100" s="290">
        <v>218.0177023221575</v>
      </c>
      <c r="R100" s="291">
        <f>'Unit Savings Calculations'!$G96</f>
        <v>0.76</v>
      </c>
      <c r="S100" s="291">
        <f>'Unit Savings Calculations'!$G96</f>
        <v>0.76</v>
      </c>
      <c r="T100" s="291">
        <f>'Unit Savings Calculations'!$G96</f>
        <v>0.76</v>
      </c>
      <c r="U100" s="291">
        <f>'Unit Savings Calculations'!$G96</f>
        <v>0.76</v>
      </c>
      <c r="V100" s="292">
        <f t="shared" si="67"/>
        <v>165.69345376483972</v>
      </c>
      <c r="W100" s="292">
        <f t="shared" si="68"/>
        <v>165.69345376483972</v>
      </c>
      <c r="X100" s="292">
        <f t="shared" si="69"/>
        <v>165.69345376483972</v>
      </c>
      <c r="Y100" s="292">
        <f t="shared" si="70"/>
        <v>165.69345376483972</v>
      </c>
      <c r="Z100" s="292">
        <f t="shared" si="71"/>
        <v>662.77381505935887</v>
      </c>
      <c r="AA100" s="287"/>
      <c r="AB100" s="287"/>
      <c r="AC100" s="293">
        <f>'Unit Savings Calculations'!N96</f>
        <v>218.0177023221575</v>
      </c>
      <c r="AD100" s="287"/>
      <c r="AE100" s="292">
        <f t="shared" si="49"/>
        <v>165.69345376483972</v>
      </c>
      <c r="AF100" s="289">
        <f t="shared" si="50"/>
        <v>0</v>
      </c>
      <c r="AG100" s="287"/>
      <c r="AH100" s="287">
        <f t="shared" si="51"/>
        <v>0</v>
      </c>
      <c r="AI100" s="290">
        <f>'Unit Savings Calculations'!O96</f>
        <v>218.0177023221575</v>
      </c>
      <c r="AJ100" s="287" t="s">
        <v>872</v>
      </c>
      <c r="AK100" s="292">
        <f t="shared" si="52"/>
        <v>165.69345376483972</v>
      </c>
      <c r="AL100" s="289">
        <f t="shared" si="53"/>
        <v>0</v>
      </c>
      <c r="AM100" s="287"/>
      <c r="AN100" s="287"/>
      <c r="AO100" s="290">
        <f>'Unit Savings Calculations'!P96</f>
        <v>218.0177023221575</v>
      </c>
      <c r="AP100" s="287" t="s">
        <v>764</v>
      </c>
      <c r="AQ100" s="292">
        <f t="shared" si="54"/>
        <v>165.69345376483972</v>
      </c>
      <c r="AR100" s="289">
        <f t="shared" si="55"/>
        <v>0</v>
      </c>
      <c r="AS100" s="287"/>
      <c r="AT100" s="287"/>
      <c r="AU100" s="290">
        <f>'Unit Savings Calculations'!Q96</f>
        <v>218.0177023221575</v>
      </c>
      <c r="AV100" s="287" t="str">
        <f t="shared" si="56"/>
        <v>n/a</v>
      </c>
      <c r="AW100" s="292">
        <f t="shared" si="57"/>
        <v>165.69345376483972</v>
      </c>
      <c r="AX100" s="289">
        <f t="shared" si="58"/>
        <v>0</v>
      </c>
      <c r="AY100" s="292">
        <f t="shared" si="59"/>
        <v>165.69345376483972</v>
      </c>
      <c r="AZ100" s="292">
        <f t="shared" si="60"/>
        <v>165.69345376483972</v>
      </c>
      <c r="BA100" s="292">
        <f t="shared" si="61"/>
        <v>165.69345376483972</v>
      </c>
      <c r="BB100" s="292">
        <f t="shared" si="62"/>
        <v>165.69345376483972</v>
      </c>
      <c r="BC100" s="294">
        <f t="shared" si="63"/>
        <v>662.77381505935887</v>
      </c>
      <c r="BD100" s="287" t="s">
        <v>764</v>
      </c>
      <c r="BE100" s="295" t="str">
        <f t="shared" si="64"/>
        <v>Exhibit 1.5B_R Peoples Gas EEPS_Adjustable_Savings_Goal_Template.xlsx,Pipe Insulation Detail Tab</v>
      </c>
      <c r="BF100" s="297"/>
    </row>
    <row r="101" spans="1:58" ht="13.5" customHeight="1">
      <c r="A101" s="287" t="str">
        <f>'Unit Savings Calculations'!C97</f>
        <v>Res - MF Standard Rebates</v>
      </c>
      <c r="B101" s="287" t="str">
        <f>'Unit Savings Calculations'!D97</f>
        <v>Steam Boiler ≥82% AFUE, &gt;300MBh TE</v>
      </c>
      <c r="C101" s="288">
        <f t="shared" si="66"/>
        <v>1</v>
      </c>
      <c r="D101" s="287" t="str">
        <f>'Unit Savings Calculations'!T97</f>
        <v>4.4.10</v>
      </c>
      <c r="E101" s="287">
        <f>INDEX('Unit Savings Calculations'!$H$4:$H$421,MATCH('Measure-Level Adjustments Tab'!$A101&amp;"_"&amp;'Measure-Level Adjustments Tab'!$B101,'Unit Savings Calculations'!$A$4:$A$421,0))</f>
        <v>20</v>
      </c>
      <c r="F101" s="287">
        <f>INDEX('Unit Savings Calculations'!$I$4:$I$421,MATCH('Measure-Level Adjustments Tab'!A101&amp;"_"&amp;'Measure-Level Adjustments Tab'!B101,'Unit Savings Calculations'!$A$4:$A$421,0))</f>
        <v>20</v>
      </c>
      <c r="G101" s="287" t="str">
        <f>'Unit Savings Calculations'!E97</f>
        <v>MBH</v>
      </c>
      <c r="H101" s="289">
        <f>'Unit Savings Calculations'!$F97*'Unit Savings Calculations'!J97</f>
        <v>8100</v>
      </c>
      <c r="I101" s="289">
        <f>'Unit Savings Calculations'!$F97*'Unit Savings Calculations'!K97</f>
        <v>8100</v>
      </c>
      <c r="J101" s="289">
        <f>'Unit Savings Calculations'!$F97*'Unit Savings Calculations'!L97</f>
        <v>8100</v>
      </c>
      <c r="K101" s="289">
        <f>'Unit Savings Calculations'!$F97*'Unit Savings Calculations'!M97</f>
        <v>8100</v>
      </c>
      <c r="L101" s="287" t="str">
        <f>'Unit Savings Calculations'!U97</f>
        <v>CI-HVC-BOIL-V05-150601</v>
      </c>
      <c r="M101" s="363" t="s">
        <v>830</v>
      </c>
      <c r="N101" s="290">
        <v>0.63987341772151718</v>
      </c>
      <c r="O101" s="290">
        <v>0.63987341772151718</v>
      </c>
      <c r="P101" s="290">
        <v>0.63987341772151718</v>
      </c>
      <c r="Q101" s="290">
        <v>0.63987341772151718</v>
      </c>
      <c r="R101" s="291">
        <f>'Unit Savings Calculations'!$G97</f>
        <v>0.76</v>
      </c>
      <c r="S101" s="291">
        <f>'Unit Savings Calculations'!$G97</f>
        <v>0.76</v>
      </c>
      <c r="T101" s="291">
        <f>'Unit Savings Calculations'!$G97</f>
        <v>0.76</v>
      </c>
      <c r="U101" s="291">
        <f>'Unit Savings Calculations'!$G97</f>
        <v>0.76</v>
      </c>
      <c r="V101" s="292">
        <f t="shared" si="67"/>
        <v>3939.06075949366</v>
      </c>
      <c r="W101" s="292">
        <f t="shared" si="68"/>
        <v>3939.06075949366</v>
      </c>
      <c r="X101" s="292">
        <f t="shared" si="69"/>
        <v>3939.06075949366</v>
      </c>
      <c r="Y101" s="292">
        <f t="shared" si="70"/>
        <v>3939.06075949366</v>
      </c>
      <c r="Z101" s="292">
        <f t="shared" si="71"/>
        <v>15756.24303797464</v>
      </c>
      <c r="AA101" s="287"/>
      <c r="AB101" s="287"/>
      <c r="AC101" s="293">
        <f>'Unit Savings Calculations'!N97</f>
        <v>0.67670886075949166</v>
      </c>
      <c r="AD101" s="287"/>
      <c r="AE101" s="292">
        <f t="shared" si="49"/>
        <v>4165.819746835431</v>
      </c>
      <c r="AF101" s="289">
        <f t="shared" si="50"/>
        <v>226.75898734177099</v>
      </c>
      <c r="AG101" s="287"/>
      <c r="AH101" s="287">
        <f t="shared" si="51"/>
        <v>0</v>
      </c>
      <c r="AI101" s="290">
        <f>'Unit Savings Calculations'!O97</f>
        <v>0.67670886075949166</v>
      </c>
      <c r="AJ101" s="287" t="s">
        <v>872</v>
      </c>
      <c r="AK101" s="292">
        <f t="shared" si="52"/>
        <v>4165.819746835431</v>
      </c>
      <c r="AL101" s="289">
        <f t="shared" si="53"/>
        <v>226.75898734177099</v>
      </c>
      <c r="AM101" s="287"/>
      <c r="AN101" s="287"/>
      <c r="AO101" s="290">
        <f>'Unit Savings Calculations'!P97</f>
        <v>0.67670886075949166</v>
      </c>
      <c r="AP101" s="287" t="s">
        <v>1450</v>
      </c>
      <c r="AQ101" s="292">
        <f t="shared" si="54"/>
        <v>4165.819746835431</v>
      </c>
      <c r="AR101" s="289">
        <f t="shared" si="55"/>
        <v>226.75898734177099</v>
      </c>
      <c r="AS101" s="287"/>
      <c r="AT101" s="287"/>
      <c r="AU101" s="290">
        <f>'Unit Savings Calculations'!Q97</f>
        <v>0.67670886075949166</v>
      </c>
      <c r="AV101" s="287" t="str">
        <f t="shared" si="56"/>
        <v>Updated heating EFLH</v>
      </c>
      <c r="AW101" s="292">
        <f t="shared" si="57"/>
        <v>4165.819746835431</v>
      </c>
      <c r="AX101" s="289">
        <f t="shared" si="58"/>
        <v>226.75898734177099</v>
      </c>
      <c r="AY101" s="292">
        <f t="shared" si="59"/>
        <v>4165.819746835431</v>
      </c>
      <c r="AZ101" s="292">
        <f t="shared" si="60"/>
        <v>4165.819746835431</v>
      </c>
      <c r="BA101" s="292">
        <f t="shared" si="61"/>
        <v>4165.819746835431</v>
      </c>
      <c r="BB101" s="292">
        <f t="shared" si="62"/>
        <v>4165.819746835431</v>
      </c>
      <c r="BC101" s="294">
        <f t="shared" si="63"/>
        <v>16663.278987341724</v>
      </c>
      <c r="BD101" s="287" t="s">
        <v>764</v>
      </c>
      <c r="BE101" s="295" t="str">
        <f t="shared" si="64"/>
        <v>Exhibit 1.5B_R Peoples Gas EEPS_Adjustable_Savings_Goal_Template.xlsx, Unit Savings Calculations Tab</v>
      </c>
      <c r="BF101" s="297"/>
    </row>
    <row r="102" spans="1:58" ht="13.5" customHeight="1">
      <c r="A102" s="287" t="str">
        <f>'Unit Savings Calculations'!C98</f>
        <v>Res - MF Standard Rebates</v>
      </c>
      <c r="B102" s="287" t="str">
        <f>'Unit Savings Calculations'!D98</f>
        <v>Steam Boiler Averaging Controls</v>
      </c>
      <c r="C102" s="288">
        <f t="shared" si="66"/>
        <v>1</v>
      </c>
      <c r="D102" s="287" t="str">
        <f>'Unit Savings Calculations'!T98</f>
        <v>4.4.36</v>
      </c>
      <c r="E102" s="287">
        <f>INDEX('Unit Savings Calculations'!$H$4:$H$421,MATCH('Measure-Level Adjustments Tab'!$A102&amp;"_"&amp;'Measure-Level Adjustments Tab'!$B102,'Unit Savings Calculations'!$A$4:$A$421,0))</f>
        <v>20</v>
      </c>
      <c r="F102" s="287">
        <f>INDEX('Unit Savings Calculations'!$I$4:$I$421,MATCH('Measure-Level Adjustments Tab'!A102&amp;"_"&amp;'Measure-Level Adjustments Tab'!B102,'Unit Savings Calculations'!$A$4:$A$421,0))</f>
        <v>20</v>
      </c>
      <c r="G102" s="287" t="str">
        <f>'Unit Savings Calculations'!E98</f>
        <v>each</v>
      </c>
      <c r="H102" s="289">
        <f>'Unit Savings Calculations'!$F98*'Unit Savings Calculations'!J98</f>
        <v>57</v>
      </c>
      <c r="I102" s="289">
        <f>'Unit Savings Calculations'!$F98*'Unit Savings Calculations'!K98</f>
        <v>57</v>
      </c>
      <c r="J102" s="289">
        <f>'Unit Savings Calculations'!$F98*'Unit Savings Calculations'!L98</f>
        <v>57</v>
      </c>
      <c r="K102" s="289">
        <f>'Unit Savings Calculations'!$F98*'Unit Savings Calculations'!M98</f>
        <v>57</v>
      </c>
      <c r="L102" s="287" t="str">
        <f>'Unit Savings Calculations'!U98</f>
        <v>CI-HVC-SBAC-V01-160601</v>
      </c>
      <c r="M102" s="363" t="s">
        <v>830</v>
      </c>
      <c r="N102" s="290">
        <v>76.95</v>
      </c>
      <c r="O102" s="290">
        <v>76.95</v>
      </c>
      <c r="P102" s="290">
        <v>76.95</v>
      </c>
      <c r="Q102" s="290">
        <v>76.95</v>
      </c>
      <c r="R102" s="291">
        <f>'Unit Savings Calculations'!$G98</f>
        <v>0.76</v>
      </c>
      <c r="S102" s="291">
        <f>'Unit Savings Calculations'!$G98</f>
        <v>0.76</v>
      </c>
      <c r="T102" s="291">
        <f>'Unit Savings Calculations'!$G98</f>
        <v>0.76</v>
      </c>
      <c r="U102" s="291">
        <f>'Unit Savings Calculations'!$G98</f>
        <v>0.76</v>
      </c>
      <c r="V102" s="292">
        <f t="shared" si="67"/>
        <v>3333.4740000000006</v>
      </c>
      <c r="W102" s="292">
        <f t="shared" si="68"/>
        <v>3333.4740000000006</v>
      </c>
      <c r="X102" s="292">
        <f t="shared" si="69"/>
        <v>3333.4740000000006</v>
      </c>
      <c r="Y102" s="292">
        <f t="shared" si="70"/>
        <v>3333.4740000000006</v>
      </c>
      <c r="Z102" s="292">
        <f t="shared" si="71"/>
        <v>13333.896000000002</v>
      </c>
      <c r="AA102" s="287"/>
      <c r="AB102" s="287"/>
      <c r="AC102" s="293">
        <f>'Unit Savings Calculations'!N98</f>
        <v>156.97800000000001</v>
      </c>
      <c r="AD102" s="287"/>
      <c r="AE102" s="292">
        <f t="shared" si="49"/>
        <v>6800.2869600000013</v>
      </c>
      <c r="AF102" s="289">
        <f t="shared" si="50"/>
        <v>3466.8129600000007</v>
      </c>
      <c r="AG102" s="287"/>
      <c r="AH102" s="287">
        <f t="shared" si="51"/>
        <v>0</v>
      </c>
      <c r="AI102" s="290">
        <f>'Unit Savings Calculations'!O98</f>
        <v>156.97800000000001</v>
      </c>
      <c r="AJ102" s="287" t="s">
        <v>928</v>
      </c>
      <c r="AK102" s="292">
        <f t="shared" si="52"/>
        <v>6800.2869600000013</v>
      </c>
      <c r="AL102" s="289">
        <f t="shared" si="53"/>
        <v>3466.8129600000007</v>
      </c>
      <c r="AM102" s="287"/>
      <c r="AN102" s="287"/>
      <c r="AO102" s="290">
        <f>'Unit Savings Calculations'!P98</f>
        <v>156.97800000000001</v>
      </c>
      <c r="AP102" s="287" t="s">
        <v>764</v>
      </c>
      <c r="AQ102" s="292">
        <f t="shared" si="54"/>
        <v>6800.2869600000013</v>
      </c>
      <c r="AR102" s="289">
        <f t="shared" si="55"/>
        <v>3466.8129600000007</v>
      </c>
      <c r="AS102" s="287"/>
      <c r="AT102" s="287"/>
      <c r="AU102" s="290">
        <f>'Unit Savings Calculations'!Q98</f>
        <v>156.97800000000001</v>
      </c>
      <c r="AV102" s="287" t="str">
        <f t="shared" si="56"/>
        <v>n/a</v>
      </c>
      <c r="AW102" s="292">
        <f t="shared" si="57"/>
        <v>6800.2869600000013</v>
      </c>
      <c r="AX102" s="289">
        <f t="shared" si="58"/>
        <v>3466.8129600000007</v>
      </c>
      <c r="AY102" s="292">
        <f t="shared" si="59"/>
        <v>6800.2869600000013</v>
      </c>
      <c r="AZ102" s="292">
        <f t="shared" si="60"/>
        <v>6800.2869600000013</v>
      </c>
      <c r="BA102" s="292">
        <f t="shared" si="61"/>
        <v>6800.2869600000013</v>
      </c>
      <c r="BB102" s="292">
        <f t="shared" si="62"/>
        <v>6800.2869600000013</v>
      </c>
      <c r="BC102" s="294">
        <f t="shared" si="63"/>
        <v>27201.147840000005</v>
      </c>
      <c r="BD102" s="287" t="s">
        <v>764</v>
      </c>
      <c r="BE102" s="295" t="str">
        <f t="shared" si="64"/>
        <v>Exhibit 1.5B_R Peoples Gas EEPS_Adjustable_Savings_Goal_Template.xlsx, Unit Savings Calculations Tab</v>
      </c>
      <c r="BF102" s="297"/>
    </row>
    <row r="103" spans="1:58" ht="13.5" customHeight="1">
      <c r="A103" s="287" t="str">
        <f>'Unit Savings Calculations'!C99</f>
        <v>Res - MF Standard Rebates</v>
      </c>
      <c r="B103" s="287" t="str">
        <f>'Unit Savings Calculations'!D99</f>
        <v>Steam Traps - Dry Cleaner/Industrial</v>
      </c>
      <c r="C103" s="288">
        <f t="shared" si="66"/>
        <v>1</v>
      </c>
      <c r="D103" s="287" t="str">
        <f>'Unit Savings Calculations'!T99</f>
        <v>4.4.16</v>
      </c>
      <c r="E103" s="287">
        <f>INDEX('Unit Savings Calculations'!$H$4:$H$421,MATCH('Measure-Level Adjustments Tab'!$A103&amp;"_"&amp;'Measure-Level Adjustments Tab'!$B103,'Unit Savings Calculations'!$A$4:$A$421,0))</f>
        <v>6</v>
      </c>
      <c r="F103" s="287">
        <f>INDEX('Unit Savings Calculations'!$I$4:$I$421,MATCH('Measure-Level Adjustments Tab'!A103&amp;"_"&amp;'Measure-Level Adjustments Tab'!B103,'Unit Savings Calculations'!$A$4:$A$421,0))</f>
        <v>6</v>
      </c>
      <c r="G103" s="287" t="str">
        <f>'Unit Savings Calculations'!E99</f>
        <v>each</v>
      </c>
      <c r="H103" s="289">
        <f>'Unit Savings Calculations'!$F99*'Unit Savings Calculations'!J99</f>
        <v>3</v>
      </c>
      <c r="I103" s="289">
        <f>'Unit Savings Calculations'!$F99*'Unit Savings Calculations'!K99</f>
        <v>3</v>
      </c>
      <c r="J103" s="289">
        <f>'Unit Savings Calculations'!$F99*'Unit Savings Calculations'!L99</f>
        <v>3</v>
      </c>
      <c r="K103" s="289">
        <f>'Unit Savings Calculations'!$F99*'Unit Savings Calculations'!M99</f>
        <v>3</v>
      </c>
      <c r="L103" s="287" t="str">
        <f>'Unit Savings Calculations'!U99</f>
        <v>CI-HVC-STRE-V05-180101</v>
      </c>
      <c r="M103" s="363" t="s">
        <v>830</v>
      </c>
      <c r="N103" s="290">
        <v>137.91939591078068</v>
      </c>
      <c r="O103" s="290">
        <v>137.91939591078068</v>
      </c>
      <c r="P103" s="290">
        <v>137.91939591078068</v>
      </c>
      <c r="Q103" s="290">
        <v>137.91939591078068</v>
      </c>
      <c r="R103" s="291">
        <f>'Unit Savings Calculations'!$G99</f>
        <v>0.76</v>
      </c>
      <c r="S103" s="291">
        <f>'Unit Savings Calculations'!$G99</f>
        <v>0.76</v>
      </c>
      <c r="T103" s="291">
        <f>'Unit Savings Calculations'!$G99</f>
        <v>0.76</v>
      </c>
      <c r="U103" s="291">
        <f>'Unit Savings Calculations'!$G99</f>
        <v>0.76</v>
      </c>
      <c r="V103" s="292">
        <f t="shared" si="67"/>
        <v>314.45622267657996</v>
      </c>
      <c r="W103" s="292">
        <f t="shared" si="68"/>
        <v>314.45622267657996</v>
      </c>
      <c r="X103" s="292">
        <f t="shared" si="69"/>
        <v>314.45622267657996</v>
      </c>
      <c r="Y103" s="292">
        <f t="shared" si="70"/>
        <v>314.45622267657996</v>
      </c>
      <c r="Z103" s="292">
        <f t="shared" si="71"/>
        <v>1257.8248907063198</v>
      </c>
      <c r="AA103" s="287"/>
      <c r="AB103" s="287"/>
      <c r="AC103" s="293">
        <f>'Unit Savings Calculations'!N99</f>
        <v>137.91939591078068</v>
      </c>
      <c r="AD103" s="287"/>
      <c r="AE103" s="292">
        <f t="shared" si="49"/>
        <v>314.45622267657996</v>
      </c>
      <c r="AF103" s="289">
        <f t="shared" si="50"/>
        <v>0</v>
      </c>
      <c r="AG103" s="287"/>
      <c r="AH103" s="287">
        <f t="shared" si="51"/>
        <v>0</v>
      </c>
      <c r="AI103" s="290">
        <f>'Unit Savings Calculations'!O99</f>
        <v>137.91939591078068</v>
      </c>
      <c r="AJ103" s="287" t="s">
        <v>872</v>
      </c>
      <c r="AK103" s="292">
        <f t="shared" si="52"/>
        <v>314.45622267657996</v>
      </c>
      <c r="AL103" s="289">
        <f t="shared" si="53"/>
        <v>0</v>
      </c>
      <c r="AM103" s="287"/>
      <c r="AN103" s="287"/>
      <c r="AO103" s="290">
        <f>'Unit Savings Calculations'!P99</f>
        <v>137.91939591078068</v>
      </c>
      <c r="AP103" s="287" t="s">
        <v>764</v>
      </c>
      <c r="AQ103" s="292">
        <f t="shared" si="54"/>
        <v>314.45622267657996</v>
      </c>
      <c r="AR103" s="289">
        <f t="shared" si="55"/>
        <v>0</v>
      </c>
      <c r="AS103" s="287"/>
      <c r="AT103" s="287"/>
      <c r="AU103" s="290">
        <f>'Unit Savings Calculations'!Q99</f>
        <v>137.91939591078068</v>
      </c>
      <c r="AV103" s="287" t="str">
        <f t="shared" si="56"/>
        <v>n/a</v>
      </c>
      <c r="AW103" s="292">
        <f t="shared" si="57"/>
        <v>314.45622267657996</v>
      </c>
      <c r="AX103" s="289">
        <f t="shared" si="58"/>
        <v>0</v>
      </c>
      <c r="AY103" s="292">
        <f t="shared" si="59"/>
        <v>314.45622267657996</v>
      </c>
      <c r="AZ103" s="292">
        <f t="shared" si="60"/>
        <v>314.45622267657996</v>
      </c>
      <c r="BA103" s="292">
        <f t="shared" si="61"/>
        <v>314.45622267657996</v>
      </c>
      <c r="BB103" s="292">
        <f t="shared" si="62"/>
        <v>314.45622267657996</v>
      </c>
      <c r="BC103" s="294">
        <f t="shared" si="63"/>
        <v>1257.8248907063198</v>
      </c>
      <c r="BD103" s="287" t="s">
        <v>764</v>
      </c>
      <c r="BE103" s="295" t="str">
        <f t="shared" si="64"/>
        <v>Exhibit 1.5B_R Peoples Gas EEPS_Adjustable_Savings_Goal_Template.xlsx, Unit Savings Calculations Tab</v>
      </c>
      <c r="BF103" s="297"/>
    </row>
    <row r="104" spans="1:58" ht="13.5" customHeight="1">
      <c r="A104" s="287" t="str">
        <f>'Unit Savings Calculations'!C100</f>
        <v>Res - MF Standard Rebates</v>
      </c>
      <c r="B104" s="287" t="str">
        <f>'Unit Savings Calculations'!D100</f>
        <v>Steam Traps - HVAC Repair/Rep - Audit</v>
      </c>
      <c r="C104" s="288">
        <f t="shared" si="66"/>
        <v>1</v>
      </c>
      <c r="D104" s="287" t="str">
        <f>'Unit Savings Calculations'!T100</f>
        <v>4.4.16</v>
      </c>
      <c r="E104" s="287">
        <f>INDEX('Unit Savings Calculations'!$H$4:$H$421,MATCH('Measure-Level Adjustments Tab'!$A104&amp;"_"&amp;'Measure-Level Adjustments Tab'!$B104,'Unit Savings Calculations'!$A$4:$A$421,0))</f>
        <v>6</v>
      </c>
      <c r="F104" s="287">
        <f>INDEX('Unit Savings Calculations'!$I$4:$I$421,MATCH('Measure-Level Adjustments Tab'!A104&amp;"_"&amp;'Measure-Level Adjustments Tab'!B104,'Unit Savings Calculations'!$A$4:$A$421,0))</f>
        <v>6</v>
      </c>
      <c r="G104" s="287" t="str">
        <f>'Unit Savings Calculations'!E100</f>
        <v>each</v>
      </c>
      <c r="H104" s="289">
        <f>'Unit Savings Calculations'!$F100*'Unit Savings Calculations'!J100</f>
        <v>3</v>
      </c>
      <c r="I104" s="289">
        <f>'Unit Savings Calculations'!$F100*'Unit Savings Calculations'!K100</f>
        <v>3</v>
      </c>
      <c r="J104" s="289">
        <f>'Unit Savings Calculations'!$F100*'Unit Savings Calculations'!L100</f>
        <v>3</v>
      </c>
      <c r="K104" s="289">
        <f>'Unit Savings Calculations'!$F100*'Unit Savings Calculations'!M100</f>
        <v>3</v>
      </c>
      <c r="L104" s="287" t="str">
        <f>'Unit Savings Calculations'!U100</f>
        <v>CI-HVC-STRE-V05-180101</v>
      </c>
      <c r="M104" s="363" t="s">
        <v>830</v>
      </c>
      <c r="N104" s="290">
        <v>110.15789625000002</v>
      </c>
      <c r="O104" s="290">
        <v>110.15789625000002</v>
      </c>
      <c r="P104" s="290">
        <v>110.15789625000002</v>
      </c>
      <c r="Q104" s="290">
        <v>110.15789625000002</v>
      </c>
      <c r="R104" s="291">
        <f>'Unit Savings Calculations'!$G100</f>
        <v>0.76</v>
      </c>
      <c r="S104" s="291">
        <f>'Unit Savings Calculations'!$G100</f>
        <v>0.76</v>
      </c>
      <c r="T104" s="291">
        <f>'Unit Savings Calculations'!$G100</f>
        <v>0.76</v>
      </c>
      <c r="U104" s="291">
        <f>'Unit Savings Calculations'!$G100</f>
        <v>0.76</v>
      </c>
      <c r="V104" s="292">
        <f t="shared" si="67"/>
        <v>251.16000345000006</v>
      </c>
      <c r="W104" s="292">
        <f t="shared" si="68"/>
        <v>251.16000345000006</v>
      </c>
      <c r="X104" s="292">
        <f t="shared" si="69"/>
        <v>251.16000345000006</v>
      </c>
      <c r="Y104" s="292">
        <f t="shared" si="70"/>
        <v>251.16000345000006</v>
      </c>
      <c r="Z104" s="292">
        <f t="shared" si="71"/>
        <v>1004.6400138000002</v>
      </c>
      <c r="AA104" s="287"/>
      <c r="AB104" s="287"/>
      <c r="AC104" s="293">
        <f>'Unit Savings Calculations'!N100</f>
        <v>110.15789625000002</v>
      </c>
      <c r="AD104" s="287"/>
      <c r="AE104" s="292">
        <f t="shared" si="49"/>
        <v>251.16000345000006</v>
      </c>
      <c r="AF104" s="289">
        <f t="shared" si="50"/>
        <v>0</v>
      </c>
      <c r="AG104" s="287"/>
      <c r="AH104" s="287">
        <f t="shared" si="51"/>
        <v>0</v>
      </c>
      <c r="AI104" s="290">
        <f>'Unit Savings Calculations'!O100</f>
        <v>110.15789625000002</v>
      </c>
      <c r="AJ104" s="287" t="s">
        <v>872</v>
      </c>
      <c r="AK104" s="292">
        <f t="shared" si="52"/>
        <v>251.16000345000006</v>
      </c>
      <c r="AL104" s="289">
        <f t="shared" si="53"/>
        <v>0</v>
      </c>
      <c r="AM104" s="287"/>
      <c r="AN104" s="287"/>
      <c r="AO104" s="290">
        <f>'Unit Savings Calculations'!P100</f>
        <v>110.15789625000002</v>
      </c>
      <c r="AP104" s="287" t="s">
        <v>764</v>
      </c>
      <c r="AQ104" s="292">
        <f t="shared" si="54"/>
        <v>251.16000345000006</v>
      </c>
      <c r="AR104" s="289">
        <f t="shared" si="55"/>
        <v>0</v>
      </c>
      <c r="AS104" s="287"/>
      <c r="AT104" s="287"/>
      <c r="AU104" s="290">
        <f>'Unit Savings Calculations'!Q100</f>
        <v>110.15789625000002</v>
      </c>
      <c r="AV104" s="287" t="str">
        <f t="shared" si="56"/>
        <v>n/a</v>
      </c>
      <c r="AW104" s="292">
        <f t="shared" si="57"/>
        <v>251.16000345000006</v>
      </c>
      <c r="AX104" s="289">
        <f t="shared" si="58"/>
        <v>0</v>
      </c>
      <c r="AY104" s="292">
        <f t="shared" si="59"/>
        <v>251.16000345000006</v>
      </c>
      <c r="AZ104" s="292">
        <f t="shared" si="60"/>
        <v>251.16000345000006</v>
      </c>
      <c r="BA104" s="292">
        <f t="shared" si="61"/>
        <v>251.16000345000006</v>
      </c>
      <c r="BB104" s="292">
        <f t="shared" si="62"/>
        <v>251.16000345000006</v>
      </c>
      <c r="BC104" s="294">
        <f t="shared" si="63"/>
        <v>1004.6400138000002</v>
      </c>
      <c r="BD104" s="287" t="s">
        <v>764</v>
      </c>
      <c r="BE104" s="295" t="str">
        <f t="shared" si="64"/>
        <v>Exhibit 1.5B_R Peoples Gas EEPS_Adjustable_Savings_Goal_Template.xlsx, Unit Savings Calculations Tab</v>
      </c>
      <c r="BF104" s="297"/>
    </row>
    <row r="105" spans="1:58" ht="13.5" customHeight="1">
      <c r="A105" s="287" t="str">
        <f>'Unit Savings Calculations'!C101</f>
        <v>Res - MF Standard Rebates</v>
      </c>
      <c r="B105" s="287" t="str">
        <f>'Unit Savings Calculations'!D101</f>
        <v>Steam Traps - HVAC Repair/Rep - No Audit</v>
      </c>
      <c r="C105" s="288">
        <f t="shared" si="66"/>
        <v>1</v>
      </c>
      <c r="D105" s="287" t="str">
        <f>'Unit Savings Calculations'!T101</f>
        <v>4.4.16</v>
      </c>
      <c r="E105" s="287">
        <f>INDEX('Unit Savings Calculations'!$H$4:$H$421,MATCH('Measure-Level Adjustments Tab'!$A105&amp;"_"&amp;'Measure-Level Adjustments Tab'!$B105,'Unit Savings Calculations'!$A$4:$A$421,0))</f>
        <v>6</v>
      </c>
      <c r="F105" s="287">
        <f>INDEX('Unit Savings Calculations'!$I$4:$I$421,MATCH('Measure-Level Adjustments Tab'!A105&amp;"_"&amp;'Measure-Level Adjustments Tab'!B105,'Unit Savings Calculations'!$A$4:$A$421,0))</f>
        <v>6</v>
      </c>
      <c r="G105" s="287" t="str">
        <f>'Unit Savings Calculations'!E101</f>
        <v>each</v>
      </c>
      <c r="H105" s="289">
        <f>'Unit Savings Calculations'!$F101*'Unit Savings Calculations'!J101</f>
        <v>4</v>
      </c>
      <c r="I105" s="289">
        <f>'Unit Savings Calculations'!$F101*'Unit Savings Calculations'!K101</f>
        <v>4</v>
      </c>
      <c r="J105" s="289">
        <f>'Unit Savings Calculations'!$F101*'Unit Savings Calculations'!L101</f>
        <v>4</v>
      </c>
      <c r="K105" s="289">
        <f>'Unit Savings Calculations'!$F101*'Unit Savings Calculations'!M101</f>
        <v>4</v>
      </c>
      <c r="L105" s="287" t="str">
        <f>'Unit Savings Calculations'!U101</f>
        <v>CI-HVC-STRE-V05-180101</v>
      </c>
      <c r="M105" s="363" t="s">
        <v>830</v>
      </c>
      <c r="N105" s="290">
        <v>110.15789625000002</v>
      </c>
      <c r="O105" s="290">
        <v>110.15789625000002</v>
      </c>
      <c r="P105" s="290">
        <v>110.15789625000002</v>
      </c>
      <c r="Q105" s="290">
        <v>110.15789625000002</v>
      </c>
      <c r="R105" s="291">
        <f>'Unit Savings Calculations'!$G101</f>
        <v>0.76</v>
      </c>
      <c r="S105" s="291">
        <f>'Unit Savings Calculations'!$G101</f>
        <v>0.76</v>
      </c>
      <c r="T105" s="291">
        <f>'Unit Savings Calculations'!$G101</f>
        <v>0.76</v>
      </c>
      <c r="U105" s="291">
        <f>'Unit Savings Calculations'!$G101</f>
        <v>0.76</v>
      </c>
      <c r="V105" s="292">
        <f t="shared" si="67"/>
        <v>334.88000460000006</v>
      </c>
      <c r="W105" s="292">
        <f t="shared" si="68"/>
        <v>334.88000460000006</v>
      </c>
      <c r="X105" s="292">
        <f t="shared" si="69"/>
        <v>334.88000460000006</v>
      </c>
      <c r="Y105" s="292">
        <f t="shared" si="70"/>
        <v>334.88000460000006</v>
      </c>
      <c r="Z105" s="292">
        <f t="shared" si="71"/>
        <v>1339.5200184000003</v>
      </c>
      <c r="AA105" s="287"/>
      <c r="AB105" s="287"/>
      <c r="AC105" s="293">
        <f>'Unit Savings Calculations'!N101</f>
        <v>110.15789625000002</v>
      </c>
      <c r="AD105" s="287"/>
      <c r="AE105" s="292">
        <f t="shared" si="49"/>
        <v>334.88000460000006</v>
      </c>
      <c r="AF105" s="289">
        <f t="shared" si="50"/>
        <v>0</v>
      </c>
      <c r="AG105" s="287"/>
      <c r="AH105" s="287">
        <f t="shared" si="51"/>
        <v>0</v>
      </c>
      <c r="AI105" s="290">
        <f>'Unit Savings Calculations'!O101</f>
        <v>110.15789625000002</v>
      </c>
      <c r="AJ105" s="287" t="s">
        <v>872</v>
      </c>
      <c r="AK105" s="292">
        <f t="shared" si="52"/>
        <v>334.88000460000006</v>
      </c>
      <c r="AL105" s="289">
        <f t="shared" si="53"/>
        <v>0</v>
      </c>
      <c r="AM105" s="287"/>
      <c r="AN105" s="287"/>
      <c r="AO105" s="290">
        <f>'Unit Savings Calculations'!P101</f>
        <v>110.15789625000002</v>
      </c>
      <c r="AP105" s="287" t="s">
        <v>764</v>
      </c>
      <c r="AQ105" s="292">
        <f t="shared" si="54"/>
        <v>334.88000460000006</v>
      </c>
      <c r="AR105" s="289">
        <f t="shared" si="55"/>
        <v>0</v>
      </c>
      <c r="AS105" s="287"/>
      <c r="AT105" s="287"/>
      <c r="AU105" s="290">
        <f>'Unit Savings Calculations'!Q101</f>
        <v>110.15789625000002</v>
      </c>
      <c r="AV105" s="287" t="str">
        <f t="shared" si="56"/>
        <v>n/a</v>
      </c>
      <c r="AW105" s="292">
        <f t="shared" si="57"/>
        <v>334.88000460000006</v>
      </c>
      <c r="AX105" s="289">
        <f t="shared" si="58"/>
        <v>0</v>
      </c>
      <c r="AY105" s="292">
        <f t="shared" si="59"/>
        <v>334.88000460000006</v>
      </c>
      <c r="AZ105" s="292">
        <f t="shared" si="60"/>
        <v>334.88000460000006</v>
      </c>
      <c r="BA105" s="292">
        <f t="shared" si="61"/>
        <v>334.88000460000006</v>
      </c>
      <c r="BB105" s="292">
        <f t="shared" si="62"/>
        <v>334.88000460000006</v>
      </c>
      <c r="BC105" s="294">
        <f t="shared" si="63"/>
        <v>1339.5200184000003</v>
      </c>
      <c r="BD105" s="287" t="s">
        <v>764</v>
      </c>
      <c r="BE105" s="295" t="str">
        <f t="shared" si="64"/>
        <v>Exhibit 1.5B_R Peoples Gas EEPS_Adjustable_Savings_Goal_Template.xlsx, Unit Savings Calculations Tab</v>
      </c>
      <c r="BF105" s="297"/>
    </row>
    <row r="106" spans="1:58" ht="13.5" customHeight="1">
      <c r="A106" s="287" t="str">
        <f>'Unit Savings Calculations'!C102</f>
        <v>Res - MF Standard Rebates</v>
      </c>
      <c r="B106" s="287" t="str">
        <f>'Unit Savings Calculations'!D102</f>
        <v>Steam Traps - Test</v>
      </c>
      <c r="C106" s="288">
        <f t="shared" si="66"/>
        <v>0</v>
      </c>
      <c r="D106" s="287" t="str">
        <f>'Unit Savings Calculations'!T102</f>
        <v>Custom</v>
      </c>
      <c r="E106" s="287">
        <f>INDEX('Unit Savings Calculations'!$H$4:$H$421,MATCH('Measure-Level Adjustments Tab'!$A106&amp;"_"&amp;'Measure-Level Adjustments Tab'!$B106,'Unit Savings Calculations'!$A$4:$A$421,0))</f>
        <v>3</v>
      </c>
      <c r="F106" s="287">
        <f>INDEX('Unit Savings Calculations'!$I$4:$I$421,MATCH('Measure-Level Adjustments Tab'!A106&amp;"_"&amp;'Measure-Level Adjustments Tab'!B106,'Unit Savings Calculations'!$A$4:$A$421,0))</f>
        <v>3</v>
      </c>
      <c r="G106" s="287" t="str">
        <f>'Unit Savings Calculations'!E102</f>
        <v>each</v>
      </c>
      <c r="H106" s="289">
        <f>'Unit Savings Calculations'!$F102*'Unit Savings Calculations'!J102</f>
        <v>1</v>
      </c>
      <c r="I106" s="289">
        <f>'Unit Savings Calculations'!$F102*'Unit Savings Calculations'!K102</f>
        <v>1</v>
      </c>
      <c r="J106" s="289">
        <f>'Unit Savings Calculations'!$F102*'Unit Savings Calculations'!L102</f>
        <v>1</v>
      </c>
      <c r="K106" s="289">
        <f>'Unit Savings Calculations'!$F102*'Unit Savings Calculations'!M102</f>
        <v>1</v>
      </c>
      <c r="L106" s="287" t="str">
        <f>'Unit Savings Calculations'!U102</f>
        <v>Custom</v>
      </c>
      <c r="M106" s="287" t="str">
        <f>'Unit Savings Calculations'!S102</f>
        <v>Custom</v>
      </c>
      <c r="N106" s="290">
        <v>0</v>
      </c>
      <c r="O106" s="290">
        <v>0</v>
      </c>
      <c r="P106" s="290">
        <v>0</v>
      </c>
      <c r="Q106" s="290">
        <v>0</v>
      </c>
      <c r="R106" s="291">
        <f>'Unit Savings Calculations'!$G102</f>
        <v>0.76</v>
      </c>
      <c r="S106" s="291">
        <f>'Unit Savings Calculations'!$G102</f>
        <v>0.76</v>
      </c>
      <c r="T106" s="291">
        <f>'Unit Savings Calculations'!$G102</f>
        <v>0.76</v>
      </c>
      <c r="U106" s="291">
        <f>'Unit Savings Calculations'!$G102</f>
        <v>0.76</v>
      </c>
      <c r="V106" s="292">
        <f t="shared" si="67"/>
        <v>0</v>
      </c>
      <c r="W106" s="292">
        <f t="shared" si="68"/>
        <v>0</v>
      </c>
      <c r="X106" s="292">
        <f t="shared" si="69"/>
        <v>0</v>
      </c>
      <c r="Y106" s="292">
        <f t="shared" si="70"/>
        <v>0</v>
      </c>
      <c r="Z106" s="292">
        <f t="shared" si="71"/>
        <v>0</v>
      </c>
      <c r="AA106" s="364"/>
      <c r="AB106" s="364"/>
      <c r="AC106" s="365">
        <f>'Unit Savings Calculations'!N102</f>
        <v>0</v>
      </c>
      <c r="AD106" s="364"/>
      <c r="AE106" s="366">
        <f t="shared" si="49"/>
        <v>0</v>
      </c>
      <c r="AF106" s="367">
        <f t="shared" si="50"/>
        <v>0</v>
      </c>
      <c r="AG106" s="364"/>
      <c r="AH106" s="364">
        <f t="shared" si="51"/>
        <v>0</v>
      </c>
      <c r="AI106" s="368">
        <f>'Unit Savings Calculations'!O102</f>
        <v>0</v>
      </c>
      <c r="AJ106" s="364" t="s">
        <v>872</v>
      </c>
      <c r="AK106" s="366">
        <f t="shared" si="52"/>
        <v>0</v>
      </c>
      <c r="AL106" s="367">
        <f t="shared" si="53"/>
        <v>0</v>
      </c>
      <c r="AM106" s="364"/>
      <c r="AN106" s="364"/>
      <c r="AO106" s="368">
        <f>'Unit Savings Calculations'!P102</f>
        <v>0</v>
      </c>
      <c r="AP106" s="364" t="s">
        <v>764</v>
      </c>
      <c r="AQ106" s="366">
        <f t="shared" si="54"/>
        <v>0</v>
      </c>
      <c r="AR106" s="367">
        <f t="shared" si="55"/>
        <v>0</v>
      </c>
      <c r="AS106" s="364"/>
      <c r="AT106" s="364"/>
      <c r="AU106" s="368">
        <f>'Unit Savings Calculations'!Q102</f>
        <v>0</v>
      </c>
      <c r="AV106" s="364" t="str">
        <f t="shared" si="56"/>
        <v>n/a</v>
      </c>
      <c r="AW106" s="366">
        <f t="shared" si="57"/>
        <v>0</v>
      </c>
      <c r="AX106" s="367">
        <f t="shared" si="58"/>
        <v>0</v>
      </c>
      <c r="AY106" s="292">
        <f t="shared" si="59"/>
        <v>0</v>
      </c>
      <c r="AZ106" s="292">
        <f t="shared" si="60"/>
        <v>0</v>
      </c>
      <c r="BA106" s="292">
        <f t="shared" si="61"/>
        <v>0</v>
      </c>
      <c r="BB106" s="292">
        <f t="shared" si="62"/>
        <v>0</v>
      </c>
      <c r="BC106" s="294">
        <f t="shared" si="63"/>
        <v>0</v>
      </c>
      <c r="BD106" s="287" t="s">
        <v>764</v>
      </c>
      <c r="BE106" s="295" t="str">
        <f t="shared" si="64"/>
        <v>Custom</v>
      </c>
      <c r="BF106" s="297"/>
    </row>
    <row r="107" spans="1:58" ht="13.5" customHeight="1">
      <c r="A107" s="287" t="str">
        <f>'Unit Savings Calculations'!C103</f>
        <v>Res - MF Standard Rebates</v>
      </c>
      <c r="B107" s="287" t="str">
        <f>'Unit Savings Calculations'!D103</f>
        <v>Thermostat - Programmable</v>
      </c>
      <c r="C107" s="288">
        <f t="shared" si="66"/>
        <v>1</v>
      </c>
      <c r="D107" s="287" t="str">
        <f>'Unit Savings Calculations'!T103</f>
        <v>4.4.18</v>
      </c>
      <c r="E107" s="287">
        <f>INDEX('Unit Savings Calculations'!$H$4:$H$421,MATCH('Measure-Level Adjustments Tab'!$A107&amp;"_"&amp;'Measure-Level Adjustments Tab'!$B107,'Unit Savings Calculations'!$A$4:$A$421,0))</f>
        <v>4</v>
      </c>
      <c r="F107" s="287">
        <f>INDEX('Unit Savings Calculations'!$I$4:$I$421,MATCH('Measure-Level Adjustments Tab'!A107&amp;"_"&amp;'Measure-Level Adjustments Tab'!B107,'Unit Savings Calculations'!$A$4:$A$421,0))</f>
        <v>4</v>
      </c>
      <c r="G107" s="287" t="str">
        <f>'Unit Savings Calculations'!E103</f>
        <v>each</v>
      </c>
      <c r="H107" s="289">
        <f>'Unit Savings Calculations'!$F103*'Unit Savings Calculations'!J103</f>
        <v>0</v>
      </c>
      <c r="I107" s="289">
        <f>'Unit Savings Calculations'!$F103*'Unit Savings Calculations'!K103</f>
        <v>0</v>
      </c>
      <c r="J107" s="289">
        <f>'Unit Savings Calculations'!$F103*'Unit Savings Calculations'!L103</f>
        <v>0</v>
      </c>
      <c r="K107" s="289">
        <f>'Unit Savings Calculations'!$F103*'Unit Savings Calculations'!M103</f>
        <v>0</v>
      </c>
      <c r="L107" s="287" t="str">
        <f>'Unit Savings Calculations'!U103</f>
        <v>CI-HVC-PROG-V02-150601</v>
      </c>
      <c r="M107" s="363" t="s">
        <v>829</v>
      </c>
      <c r="N107" s="290">
        <v>124.68584320000001</v>
      </c>
      <c r="O107" s="290">
        <v>124.68584320000001</v>
      </c>
      <c r="P107" s="290">
        <v>124.68584320000001</v>
      </c>
      <c r="Q107" s="290">
        <v>124.68584320000001</v>
      </c>
      <c r="R107" s="291">
        <f>'Unit Savings Calculations'!$G103</f>
        <v>0.76</v>
      </c>
      <c r="S107" s="291">
        <f>'Unit Savings Calculations'!$G103</f>
        <v>0.76</v>
      </c>
      <c r="T107" s="291">
        <f>'Unit Savings Calculations'!$G103</f>
        <v>0.76</v>
      </c>
      <c r="U107" s="291">
        <f>'Unit Savings Calculations'!$G103</f>
        <v>0.76</v>
      </c>
      <c r="V107" s="292">
        <f t="shared" si="67"/>
        <v>0</v>
      </c>
      <c r="W107" s="292">
        <f t="shared" si="68"/>
        <v>0</v>
      </c>
      <c r="X107" s="292">
        <f t="shared" si="69"/>
        <v>0</v>
      </c>
      <c r="Y107" s="292">
        <f t="shared" si="70"/>
        <v>0</v>
      </c>
      <c r="Z107" s="292">
        <f t="shared" si="71"/>
        <v>0</v>
      </c>
      <c r="AA107" s="287"/>
      <c r="AB107" s="287"/>
      <c r="AC107" s="293">
        <f>'Unit Savings Calculations'!N103</f>
        <v>124.68584320000001</v>
      </c>
      <c r="AD107" s="287"/>
      <c r="AE107" s="292">
        <f t="shared" si="49"/>
        <v>0</v>
      </c>
      <c r="AF107" s="289">
        <f t="shared" si="50"/>
        <v>0</v>
      </c>
      <c r="AG107" s="287"/>
      <c r="AH107" s="287">
        <f t="shared" si="51"/>
        <v>0</v>
      </c>
      <c r="AI107" s="290">
        <f>'Unit Savings Calculations'!O103</f>
        <v>124.68584320000001</v>
      </c>
      <c r="AJ107" s="287" t="s">
        <v>872</v>
      </c>
      <c r="AK107" s="292">
        <f t="shared" si="52"/>
        <v>0</v>
      </c>
      <c r="AL107" s="289">
        <f t="shared" si="53"/>
        <v>0</v>
      </c>
      <c r="AM107" s="287"/>
      <c r="AN107" s="287"/>
      <c r="AO107" s="290">
        <f>'Unit Savings Calculations'!P103</f>
        <v>124.68584320000001</v>
      </c>
      <c r="AP107" s="287" t="s">
        <v>764</v>
      </c>
      <c r="AQ107" s="292">
        <f t="shared" si="54"/>
        <v>0</v>
      </c>
      <c r="AR107" s="289">
        <f t="shared" si="55"/>
        <v>0</v>
      </c>
      <c r="AS107" s="287"/>
      <c r="AT107" s="287"/>
      <c r="AU107" s="290">
        <f>'Unit Savings Calculations'!Q103</f>
        <v>124.68584320000001</v>
      </c>
      <c r="AV107" s="287" t="str">
        <f t="shared" si="56"/>
        <v>n/a</v>
      </c>
      <c r="AW107" s="292">
        <f t="shared" si="57"/>
        <v>0</v>
      </c>
      <c r="AX107" s="289">
        <f t="shared" si="58"/>
        <v>0</v>
      </c>
      <c r="AY107" s="292">
        <f t="shared" si="59"/>
        <v>0</v>
      </c>
      <c r="AZ107" s="292">
        <f t="shared" si="60"/>
        <v>0</v>
      </c>
      <c r="BA107" s="292">
        <f t="shared" si="61"/>
        <v>0</v>
      </c>
      <c r="BB107" s="292">
        <f t="shared" si="62"/>
        <v>0</v>
      </c>
      <c r="BC107" s="294">
        <f t="shared" si="63"/>
        <v>0</v>
      </c>
      <c r="BD107" s="287" t="s">
        <v>764</v>
      </c>
      <c r="BE107" s="295" t="str">
        <f t="shared" si="64"/>
        <v>Exhibit 1.5B_R Peoples Gas EEPS_Adjustable_Savings_Goal_Template.xlsx, Thermostat Detail Tab</v>
      </c>
      <c r="BF107" s="297"/>
    </row>
    <row r="108" spans="1:58" ht="13.5" customHeight="1">
      <c r="A108" s="287" t="str">
        <f>'Unit Savings Calculations'!C104</f>
        <v>Res - MF PTA Rebates</v>
      </c>
      <c r="B108" s="287" t="str">
        <f>'Unit Savings Calculations'!D104</f>
        <v>Air Sealing</v>
      </c>
      <c r="C108" s="288">
        <f t="shared" si="66"/>
        <v>1</v>
      </c>
      <c r="D108" s="287" t="str">
        <f>'Unit Savings Calculations'!T104</f>
        <v>5.6.1</v>
      </c>
      <c r="E108" s="287">
        <f>INDEX('Unit Savings Calculations'!$H$4:$H$421,MATCH('Measure-Level Adjustments Tab'!$A108&amp;"_"&amp;'Measure-Level Adjustments Tab'!$B108,'Unit Savings Calculations'!$A$4:$A$421,0))</f>
        <v>15</v>
      </c>
      <c r="F108" s="287">
        <f>INDEX('Unit Savings Calculations'!$I$4:$I$421,MATCH('Measure-Level Adjustments Tab'!A108&amp;"_"&amp;'Measure-Level Adjustments Tab'!B108,'Unit Savings Calculations'!$A$4:$A$421,0))</f>
        <v>20</v>
      </c>
      <c r="G108" s="287" t="str">
        <f>'Unit Savings Calculations'!E104</f>
        <v>CFM_50</v>
      </c>
      <c r="H108" s="289">
        <f>'Unit Savings Calculations'!$F104*'Unit Savings Calculations'!J104</f>
        <v>30875.059999999998</v>
      </c>
      <c r="I108" s="289">
        <f>'Unit Savings Calculations'!$F104*'Unit Savings Calculations'!K104</f>
        <v>30875.059999999998</v>
      </c>
      <c r="J108" s="289">
        <f>'Unit Savings Calculations'!$F104*'Unit Savings Calculations'!L104</f>
        <v>30875.059999999998</v>
      </c>
      <c r="K108" s="289">
        <f>'Unit Savings Calculations'!$F104*'Unit Savings Calculations'!M104</f>
        <v>30875.059999999998</v>
      </c>
      <c r="L108" s="287" t="str">
        <f>'Unit Savings Calculations'!U104</f>
        <v>RS-SHL-AIRS-V06-180101</v>
      </c>
      <c r="M108" s="363" t="s">
        <v>830</v>
      </c>
      <c r="N108" s="290">
        <v>8.1010150034689227E-2</v>
      </c>
      <c r="O108" s="290">
        <v>8.1010150034689227E-2</v>
      </c>
      <c r="P108" s="290">
        <v>8.1010150034689227E-2</v>
      </c>
      <c r="Q108" s="290">
        <v>8.1010150034689227E-2</v>
      </c>
      <c r="R108" s="291">
        <f>'Unit Savings Calculations'!$G104</f>
        <v>0.88</v>
      </c>
      <c r="S108" s="291">
        <f>'Unit Savings Calculations'!$G104</f>
        <v>0.88</v>
      </c>
      <c r="T108" s="291">
        <f>'Unit Savings Calculations'!$G104</f>
        <v>0.88</v>
      </c>
      <c r="U108" s="291">
        <f>'Unit Savings Calculations'!$G104</f>
        <v>0.88</v>
      </c>
      <c r="V108" s="292">
        <f t="shared" si="67"/>
        <v>2201.0500537784278</v>
      </c>
      <c r="W108" s="292">
        <f t="shared" si="68"/>
        <v>2201.0500537784278</v>
      </c>
      <c r="X108" s="292">
        <f t="shared" si="69"/>
        <v>2201.0500537784278</v>
      </c>
      <c r="Y108" s="292">
        <f t="shared" si="70"/>
        <v>2201.0500537784278</v>
      </c>
      <c r="Z108" s="292">
        <f t="shared" si="71"/>
        <v>8804.2002151137112</v>
      </c>
      <c r="AA108" s="287"/>
      <c r="AB108" s="287"/>
      <c r="AC108" s="293">
        <f>'Unit Savings Calculations'!N104</f>
        <v>5.8327308024976238E-2</v>
      </c>
      <c r="AD108" s="287"/>
      <c r="AE108" s="292">
        <f t="shared" si="49"/>
        <v>1584.756038720468</v>
      </c>
      <c r="AF108" s="289">
        <f t="shared" si="50"/>
        <v>-616.29401505795977</v>
      </c>
      <c r="AG108" s="287"/>
      <c r="AH108" s="287">
        <f t="shared" si="51"/>
        <v>0</v>
      </c>
      <c r="AI108" s="290">
        <f>'Unit Savings Calculations'!O104</f>
        <v>5.8327308024976238E-2</v>
      </c>
      <c r="AJ108" s="287" t="s">
        <v>1035</v>
      </c>
      <c r="AK108" s="292">
        <f t="shared" si="52"/>
        <v>1584.756038720468</v>
      </c>
      <c r="AL108" s="289">
        <f t="shared" si="53"/>
        <v>-616.29401505795977</v>
      </c>
      <c r="AM108" s="287"/>
      <c r="AN108" s="287"/>
      <c r="AO108" s="290">
        <f>'Unit Savings Calculations'!P104</f>
        <v>5.8327308024976238E-2</v>
      </c>
      <c r="AP108" s="287" t="s">
        <v>1447</v>
      </c>
      <c r="AQ108" s="292">
        <f t="shared" si="54"/>
        <v>1584.756038720468</v>
      </c>
      <c r="AR108" s="289">
        <f t="shared" si="55"/>
        <v>-616.29401505795977</v>
      </c>
      <c r="AS108" s="287"/>
      <c r="AT108" s="287"/>
      <c r="AU108" s="290">
        <f>'Unit Savings Calculations'!Q104</f>
        <v>5.8327308024976238E-2</v>
      </c>
      <c r="AV108" s="287" t="str">
        <f t="shared" si="56"/>
        <v>Updated algorithm with new variables</v>
      </c>
      <c r="AW108" s="292">
        <f t="shared" si="57"/>
        <v>1584.756038720468</v>
      </c>
      <c r="AX108" s="289">
        <f t="shared" si="58"/>
        <v>-616.29401505795977</v>
      </c>
      <c r="AY108" s="292">
        <f t="shared" si="59"/>
        <v>1584.756038720468</v>
      </c>
      <c r="AZ108" s="292">
        <f t="shared" si="60"/>
        <v>1584.756038720468</v>
      </c>
      <c r="BA108" s="292">
        <f t="shared" si="61"/>
        <v>1584.756038720468</v>
      </c>
      <c r="BB108" s="292">
        <f t="shared" si="62"/>
        <v>1584.756038720468</v>
      </c>
      <c r="BC108" s="294">
        <f t="shared" si="63"/>
        <v>6339.0241548818722</v>
      </c>
      <c r="BD108" s="287" t="s">
        <v>764</v>
      </c>
      <c r="BE108" s="295" t="str">
        <f t="shared" si="64"/>
        <v>Exhibit 1.5B_R Peoples Gas EEPS_Adjustable_Savings_Goal_Template.xlsx, Unit Savings Calculations Tab</v>
      </c>
      <c r="BF108" s="297"/>
    </row>
    <row r="109" spans="1:58" ht="13.5" customHeight="1">
      <c r="A109" s="287" t="str">
        <f>'Unit Savings Calculations'!C105</f>
        <v>Res - MF PTA Rebates</v>
      </c>
      <c r="B109" s="287" t="str">
        <f>'Unit Savings Calculations'!D105</f>
        <v>Duct Sealing</v>
      </c>
      <c r="C109" s="288">
        <f t="shared" si="66"/>
        <v>1</v>
      </c>
      <c r="D109" s="287" t="str">
        <f>'Unit Savings Calculations'!T105</f>
        <v>5.3.4</v>
      </c>
      <c r="E109" s="287">
        <f>INDEX('Unit Savings Calculations'!$H$4:$H$421,MATCH('Measure-Level Adjustments Tab'!$A109&amp;"_"&amp;'Measure-Level Adjustments Tab'!$B109,'Unit Savings Calculations'!$A$4:$A$421,0))</f>
        <v>20</v>
      </c>
      <c r="F109" s="287">
        <f>INDEX('Unit Savings Calculations'!$I$4:$I$421,MATCH('Measure-Level Adjustments Tab'!A109&amp;"_"&amp;'Measure-Level Adjustments Tab'!B109,'Unit Savings Calculations'!$A$4:$A$421,0))</f>
        <v>20</v>
      </c>
      <c r="G109" s="287" t="str">
        <f>'Unit Savings Calculations'!E105</f>
        <v>CFM_25</v>
      </c>
      <c r="H109" s="289">
        <f>'Unit Savings Calculations'!$F105*'Unit Savings Calculations'!J105</f>
        <v>4320</v>
      </c>
      <c r="I109" s="289">
        <f>'Unit Savings Calculations'!$F105*'Unit Savings Calculations'!K105</f>
        <v>4320</v>
      </c>
      <c r="J109" s="289">
        <f>'Unit Savings Calculations'!$F105*'Unit Savings Calculations'!L105</f>
        <v>4320</v>
      </c>
      <c r="K109" s="289">
        <f>'Unit Savings Calculations'!$F105*'Unit Savings Calculations'!M105</f>
        <v>4320</v>
      </c>
      <c r="L109" s="287" t="str">
        <f>'Unit Savings Calculations'!U105</f>
        <v>RS-HVC-DINS-V06-160601</v>
      </c>
      <c r="M109" s="363" t="s">
        <v>830</v>
      </c>
      <c r="N109" s="290">
        <v>0.70950058072009281</v>
      </c>
      <c r="O109" s="290">
        <v>0.70950058072009281</v>
      </c>
      <c r="P109" s="290">
        <v>0.70950058072009281</v>
      </c>
      <c r="Q109" s="290">
        <v>0.70950058072009281</v>
      </c>
      <c r="R109" s="291">
        <f>'Unit Savings Calculations'!$G105</f>
        <v>0.88</v>
      </c>
      <c r="S109" s="291">
        <f>'Unit Savings Calculations'!$G105</f>
        <v>0.88</v>
      </c>
      <c r="T109" s="291">
        <f>'Unit Savings Calculations'!$G105</f>
        <v>0.88</v>
      </c>
      <c r="U109" s="291">
        <f>'Unit Savings Calculations'!$G105</f>
        <v>0.88</v>
      </c>
      <c r="V109" s="292">
        <f t="shared" si="67"/>
        <v>2697.2374076655051</v>
      </c>
      <c r="W109" s="292">
        <f t="shared" si="68"/>
        <v>2697.2374076655051</v>
      </c>
      <c r="X109" s="292">
        <f t="shared" si="69"/>
        <v>2697.2374076655051</v>
      </c>
      <c r="Y109" s="292">
        <f t="shared" si="70"/>
        <v>2697.2374076655051</v>
      </c>
      <c r="Z109" s="292">
        <f t="shared" si="71"/>
        <v>10788.94963066202</v>
      </c>
      <c r="AA109" s="287"/>
      <c r="AB109" s="287"/>
      <c r="AC109" s="293">
        <f>'Unit Savings Calculations'!N105</f>
        <v>0.70950058072009281</v>
      </c>
      <c r="AD109" s="287"/>
      <c r="AE109" s="292">
        <f t="shared" si="49"/>
        <v>2697.2374076655051</v>
      </c>
      <c r="AF109" s="289">
        <f t="shared" si="50"/>
        <v>0</v>
      </c>
      <c r="AG109" s="287"/>
      <c r="AH109" s="287">
        <f t="shared" si="51"/>
        <v>0</v>
      </c>
      <c r="AI109" s="290">
        <f>'Unit Savings Calculations'!O105</f>
        <v>0.70950058072009281</v>
      </c>
      <c r="AJ109" s="287" t="s">
        <v>872</v>
      </c>
      <c r="AK109" s="292">
        <f t="shared" si="52"/>
        <v>2697.2374076655051</v>
      </c>
      <c r="AL109" s="289">
        <f t="shared" si="53"/>
        <v>0</v>
      </c>
      <c r="AM109" s="287"/>
      <c r="AN109" s="287"/>
      <c r="AO109" s="290">
        <f>'Unit Savings Calculations'!P105</f>
        <v>0.70950058072009281</v>
      </c>
      <c r="AP109" s="287" t="s">
        <v>764</v>
      </c>
      <c r="AQ109" s="292">
        <f t="shared" si="54"/>
        <v>2697.2374076655051</v>
      </c>
      <c r="AR109" s="289">
        <f t="shared" si="55"/>
        <v>0</v>
      </c>
      <c r="AS109" s="287"/>
      <c r="AT109" s="287"/>
      <c r="AU109" s="290">
        <f>'Unit Savings Calculations'!Q105</f>
        <v>0.70950058072009281</v>
      </c>
      <c r="AV109" s="287" t="str">
        <f t="shared" si="56"/>
        <v>n/a</v>
      </c>
      <c r="AW109" s="292">
        <f t="shared" si="57"/>
        <v>2697.2374076655051</v>
      </c>
      <c r="AX109" s="289">
        <f t="shared" si="58"/>
        <v>0</v>
      </c>
      <c r="AY109" s="292">
        <f t="shared" si="59"/>
        <v>2697.2374076655051</v>
      </c>
      <c r="AZ109" s="292">
        <f t="shared" si="60"/>
        <v>2697.2374076655051</v>
      </c>
      <c r="BA109" s="292">
        <f t="shared" si="61"/>
        <v>2697.2374076655051</v>
      </c>
      <c r="BB109" s="292">
        <f t="shared" si="62"/>
        <v>2697.2374076655051</v>
      </c>
      <c r="BC109" s="294">
        <f t="shared" si="63"/>
        <v>10788.94963066202</v>
      </c>
      <c r="BD109" s="287" t="s">
        <v>764</v>
      </c>
      <c r="BE109" s="295" t="str">
        <f t="shared" si="64"/>
        <v>Exhibit 1.5B_R Peoples Gas EEPS_Adjustable_Savings_Goal_Template.xlsx, Unit Savings Calculations Tab</v>
      </c>
      <c r="BF109" s="297"/>
    </row>
    <row r="110" spans="1:58" ht="13.5" customHeight="1">
      <c r="A110" s="287" t="str">
        <f>'Unit Savings Calculations'!C106</f>
        <v>Res - MF PTA Rebates</v>
      </c>
      <c r="B110" s="287" t="str">
        <f>'Unit Savings Calculations'!D106</f>
        <v>Boiler ≥88% AFUE, &lt;300MBh</v>
      </c>
      <c r="C110" s="288">
        <f t="shared" si="66"/>
        <v>1</v>
      </c>
      <c r="D110" s="287" t="str">
        <f>'Unit Savings Calculations'!T106</f>
        <v>4.4.10</v>
      </c>
      <c r="E110" s="287">
        <f>INDEX('Unit Savings Calculations'!$H$4:$H$421,MATCH('Measure-Level Adjustments Tab'!$A110&amp;"_"&amp;'Measure-Level Adjustments Tab'!$B110,'Unit Savings Calculations'!$A$4:$A$421,0))</f>
        <v>20</v>
      </c>
      <c r="F110" s="287">
        <f>INDEX('Unit Savings Calculations'!$I$4:$I$421,MATCH('Measure-Level Adjustments Tab'!A110&amp;"_"&amp;'Measure-Level Adjustments Tab'!B110,'Unit Savings Calculations'!$A$4:$A$421,0))</f>
        <v>20</v>
      </c>
      <c r="G110" s="287" t="str">
        <f>'Unit Savings Calculations'!E106</f>
        <v>MBH</v>
      </c>
      <c r="H110" s="289">
        <f>'Unit Savings Calculations'!$F106*'Unit Savings Calculations'!J106</f>
        <v>4200</v>
      </c>
      <c r="I110" s="289">
        <f>'Unit Savings Calculations'!$F106*'Unit Savings Calculations'!K106</f>
        <v>4200</v>
      </c>
      <c r="J110" s="289">
        <f>'Unit Savings Calculations'!$F106*'Unit Savings Calculations'!L106</f>
        <v>4200</v>
      </c>
      <c r="K110" s="289">
        <f>'Unit Savings Calculations'!$F106*'Unit Savings Calculations'!M106</f>
        <v>4200</v>
      </c>
      <c r="L110" s="287" t="str">
        <f>'Unit Savings Calculations'!U106</f>
        <v>CI-HVC-BOIL-V05-150601</v>
      </c>
      <c r="M110" s="363" t="s">
        <v>830</v>
      </c>
      <c r="N110" s="290">
        <v>1.2329268292682938</v>
      </c>
      <c r="O110" s="290">
        <v>1.2329268292682938</v>
      </c>
      <c r="P110" s="290">
        <v>1.2329268292682938</v>
      </c>
      <c r="Q110" s="290">
        <v>1.2329268292682938</v>
      </c>
      <c r="R110" s="291">
        <f>'Unit Savings Calculations'!$G106</f>
        <v>0.88</v>
      </c>
      <c r="S110" s="291">
        <f>'Unit Savings Calculations'!$G106</f>
        <v>0.88</v>
      </c>
      <c r="T110" s="291">
        <f>'Unit Savings Calculations'!$G106</f>
        <v>0.88</v>
      </c>
      <c r="U110" s="291">
        <f>'Unit Savings Calculations'!$G106</f>
        <v>0.88</v>
      </c>
      <c r="V110" s="292">
        <f t="shared" si="67"/>
        <v>4556.8975609756135</v>
      </c>
      <c r="W110" s="292">
        <f t="shared" si="68"/>
        <v>4556.8975609756135</v>
      </c>
      <c r="X110" s="292">
        <f t="shared" si="69"/>
        <v>4556.8975609756135</v>
      </c>
      <c r="Y110" s="292">
        <f t="shared" si="70"/>
        <v>4556.8975609756135</v>
      </c>
      <c r="Z110" s="292">
        <f t="shared" si="71"/>
        <v>18227.590243902454</v>
      </c>
      <c r="AA110" s="287"/>
      <c r="AB110" s="287"/>
      <c r="AC110" s="293">
        <f>'Unit Savings Calculations'!N106</f>
        <v>1.3039024390243914</v>
      </c>
      <c r="AD110" s="287"/>
      <c r="AE110" s="292">
        <f t="shared" si="49"/>
        <v>4819.2234146341507</v>
      </c>
      <c r="AF110" s="289">
        <f t="shared" si="50"/>
        <v>262.3258536585372</v>
      </c>
      <c r="AG110" s="287"/>
      <c r="AH110" s="287">
        <f t="shared" si="51"/>
        <v>0</v>
      </c>
      <c r="AI110" s="290">
        <f>'Unit Savings Calculations'!O106</f>
        <v>1.3039024390243914</v>
      </c>
      <c r="AJ110" s="287" t="s">
        <v>872</v>
      </c>
      <c r="AK110" s="292">
        <f t="shared" si="52"/>
        <v>4819.2234146341507</v>
      </c>
      <c r="AL110" s="289">
        <f t="shared" si="53"/>
        <v>262.3258536585372</v>
      </c>
      <c r="AM110" s="287"/>
      <c r="AN110" s="287"/>
      <c r="AO110" s="290">
        <f>'Unit Savings Calculations'!P106</f>
        <v>1.3039024390243914</v>
      </c>
      <c r="AP110" s="287" t="s">
        <v>1450</v>
      </c>
      <c r="AQ110" s="292">
        <f t="shared" si="54"/>
        <v>4819.2234146341507</v>
      </c>
      <c r="AR110" s="289">
        <f t="shared" si="55"/>
        <v>262.3258536585372</v>
      </c>
      <c r="AS110" s="287"/>
      <c r="AT110" s="287"/>
      <c r="AU110" s="290">
        <f>'Unit Savings Calculations'!Q106</f>
        <v>1.3039024390243914</v>
      </c>
      <c r="AV110" s="287" t="str">
        <f t="shared" si="56"/>
        <v>Updated heating EFLH</v>
      </c>
      <c r="AW110" s="292">
        <f t="shared" si="57"/>
        <v>4819.2234146341507</v>
      </c>
      <c r="AX110" s="289">
        <f t="shared" si="58"/>
        <v>262.3258536585372</v>
      </c>
      <c r="AY110" s="292">
        <f t="shared" si="59"/>
        <v>4819.2234146341507</v>
      </c>
      <c r="AZ110" s="292">
        <f t="shared" si="60"/>
        <v>4819.2234146341507</v>
      </c>
      <c r="BA110" s="292">
        <f t="shared" si="61"/>
        <v>4819.2234146341507</v>
      </c>
      <c r="BB110" s="292">
        <f t="shared" si="62"/>
        <v>4819.2234146341507</v>
      </c>
      <c r="BC110" s="294">
        <f t="shared" si="63"/>
        <v>19276.893658536603</v>
      </c>
      <c r="BD110" s="287" t="s">
        <v>764</v>
      </c>
      <c r="BE110" s="295" t="str">
        <f t="shared" si="64"/>
        <v>Exhibit 1.5B_R Peoples Gas EEPS_Adjustable_Savings_Goal_Template.xlsx, Unit Savings Calculations Tab</v>
      </c>
      <c r="BF110" s="297"/>
    </row>
    <row r="111" spans="1:58" ht="13.5" customHeight="1">
      <c r="A111" s="287" t="str">
        <f>'Unit Savings Calculations'!C107</f>
        <v>Res - MF PTA Rebates</v>
      </c>
      <c r="B111" s="287" t="str">
        <f>'Unit Savings Calculations'!D107</f>
        <v>Boiler ≥88% AFUE, ≥300MBh TE</v>
      </c>
      <c r="C111" s="288">
        <f t="shared" si="66"/>
        <v>1</v>
      </c>
      <c r="D111" s="287" t="str">
        <f>'Unit Savings Calculations'!T107</f>
        <v>4.4.10</v>
      </c>
      <c r="E111" s="287">
        <f>INDEX('Unit Savings Calculations'!$H$4:$H$421,MATCH('Measure-Level Adjustments Tab'!$A111&amp;"_"&amp;'Measure-Level Adjustments Tab'!$B111,'Unit Savings Calculations'!$A$4:$A$421,0))</f>
        <v>20</v>
      </c>
      <c r="F111" s="287">
        <f>INDEX('Unit Savings Calculations'!$I$4:$I$421,MATCH('Measure-Level Adjustments Tab'!A111&amp;"_"&amp;'Measure-Level Adjustments Tab'!B111,'Unit Savings Calculations'!$A$4:$A$421,0))</f>
        <v>20</v>
      </c>
      <c r="G111" s="287" t="str">
        <f>'Unit Savings Calculations'!E107</f>
        <v>MBH</v>
      </c>
      <c r="H111" s="289">
        <f>'Unit Savings Calculations'!$F107*'Unit Savings Calculations'!J107</f>
        <v>15050</v>
      </c>
      <c r="I111" s="289">
        <f>'Unit Savings Calculations'!$F107*'Unit Savings Calculations'!K107</f>
        <v>15050</v>
      </c>
      <c r="J111" s="289">
        <f>'Unit Savings Calculations'!$F107*'Unit Savings Calculations'!L107</f>
        <v>15050</v>
      </c>
      <c r="K111" s="289">
        <f>'Unit Savings Calculations'!$F107*'Unit Savings Calculations'!M107</f>
        <v>15050</v>
      </c>
      <c r="L111" s="287" t="str">
        <f>'Unit Savings Calculations'!U107</f>
        <v>CI-HVC-BOIL-V05-150601</v>
      </c>
      <c r="M111" s="363" t="s">
        <v>830</v>
      </c>
      <c r="N111" s="290">
        <v>1.6849999999999989</v>
      </c>
      <c r="O111" s="290">
        <v>1.6849999999999989</v>
      </c>
      <c r="P111" s="290">
        <v>1.6849999999999989</v>
      </c>
      <c r="Q111" s="290">
        <v>1.6849999999999989</v>
      </c>
      <c r="R111" s="291">
        <f>'Unit Savings Calculations'!$G107</f>
        <v>0.88</v>
      </c>
      <c r="S111" s="291">
        <f>'Unit Savings Calculations'!$G107</f>
        <v>0.88</v>
      </c>
      <c r="T111" s="291">
        <f>'Unit Savings Calculations'!$G107</f>
        <v>0.88</v>
      </c>
      <c r="U111" s="291">
        <f>'Unit Savings Calculations'!$G107</f>
        <v>0.88</v>
      </c>
      <c r="V111" s="292">
        <f t="shared" si="67"/>
        <v>22316.139999999989</v>
      </c>
      <c r="W111" s="292">
        <f t="shared" si="68"/>
        <v>22316.139999999989</v>
      </c>
      <c r="X111" s="292">
        <f t="shared" si="69"/>
        <v>22316.139999999989</v>
      </c>
      <c r="Y111" s="292">
        <f t="shared" si="70"/>
        <v>22316.139999999989</v>
      </c>
      <c r="Z111" s="292">
        <f t="shared" si="71"/>
        <v>89264.559999999954</v>
      </c>
      <c r="AA111" s="287"/>
      <c r="AB111" s="287"/>
      <c r="AC111" s="293">
        <f>'Unit Savings Calculations'!N107</f>
        <v>1.7819999999999991</v>
      </c>
      <c r="AD111" s="287"/>
      <c r="AE111" s="292">
        <f t="shared" si="49"/>
        <v>23600.80799999999</v>
      </c>
      <c r="AF111" s="289">
        <f t="shared" si="50"/>
        <v>1284.6680000000015</v>
      </c>
      <c r="AG111" s="287"/>
      <c r="AH111" s="287">
        <f t="shared" si="51"/>
        <v>0</v>
      </c>
      <c r="AI111" s="290">
        <f>'Unit Savings Calculations'!O107</f>
        <v>1.7819999999999991</v>
      </c>
      <c r="AJ111" s="287" t="s">
        <v>872</v>
      </c>
      <c r="AK111" s="292">
        <f t="shared" si="52"/>
        <v>23600.80799999999</v>
      </c>
      <c r="AL111" s="289">
        <f t="shared" si="53"/>
        <v>1284.6680000000015</v>
      </c>
      <c r="AM111" s="287"/>
      <c r="AN111" s="287"/>
      <c r="AO111" s="290">
        <f>'Unit Savings Calculations'!P107</f>
        <v>1.7819999999999991</v>
      </c>
      <c r="AP111" s="287" t="s">
        <v>1450</v>
      </c>
      <c r="AQ111" s="292">
        <f t="shared" si="54"/>
        <v>23600.80799999999</v>
      </c>
      <c r="AR111" s="289">
        <f t="shared" si="55"/>
        <v>1284.6680000000015</v>
      </c>
      <c r="AS111" s="287"/>
      <c r="AT111" s="287"/>
      <c r="AU111" s="290">
        <f>'Unit Savings Calculations'!Q107</f>
        <v>1.7819999999999991</v>
      </c>
      <c r="AV111" s="287" t="str">
        <f t="shared" si="56"/>
        <v>Updated heating EFLH</v>
      </c>
      <c r="AW111" s="292">
        <f t="shared" si="57"/>
        <v>23600.80799999999</v>
      </c>
      <c r="AX111" s="289">
        <f t="shared" si="58"/>
        <v>1284.6680000000015</v>
      </c>
      <c r="AY111" s="292">
        <f t="shared" si="59"/>
        <v>23600.80799999999</v>
      </c>
      <c r="AZ111" s="292">
        <f t="shared" si="60"/>
        <v>23600.80799999999</v>
      </c>
      <c r="BA111" s="292">
        <f t="shared" si="61"/>
        <v>23600.80799999999</v>
      </c>
      <c r="BB111" s="292">
        <f t="shared" si="62"/>
        <v>23600.80799999999</v>
      </c>
      <c r="BC111" s="294">
        <f t="shared" si="63"/>
        <v>94403.23199999996</v>
      </c>
      <c r="BD111" s="287" t="s">
        <v>764</v>
      </c>
      <c r="BE111" s="295" t="str">
        <f t="shared" si="64"/>
        <v>Exhibit 1.5B_R Peoples Gas EEPS_Adjustable_Savings_Goal_Template.xlsx, Unit Savings Calculations Tab</v>
      </c>
      <c r="BF111" s="297"/>
    </row>
    <row r="112" spans="1:58" ht="13.5" customHeight="1">
      <c r="A112" s="287" t="str">
        <f>'Unit Savings Calculations'!C108</f>
        <v>Res - MF PTA Rebates</v>
      </c>
      <c r="B112" s="287" t="str">
        <f>'Unit Savings Calculations'!D108</f>
        <v>Boiler Reset Controls</v>
      </c>
      <c r="C112" s="288">
        <f t="shared" si="66"/>
        <v>1</v>
      </c>
      <c r="D112" s="287" t="str">
        <f>'Unit Savings Calculations'!T108</f>
        <v>4.4.4</v>
      </c>
      <c r="E112" s="287">
        <f>INDEX('Unit Savings Calculations'!$H$4:$H$421,MATCH('Measure-Level Adjustments Tab'!$A112&amp;"_"&amp;'Measure-Level Adjustments Tab'!$B112,'Unit Savings Calculations'!$A$4:$A$421,0))</f>
        <v>20</v>
      </c>
      <c r="F112" s="287">
        <f>INDEX('Unit Savings Calculations'!$I$4:$I$421,MATCH('Measure-Level Adjustments Tab'!A112&amp;"_"&amp;'Measure-Level Adjustments Tab'!B112,'Unit Savings Calculations'!$A$4:$A$421,0))</f>
        <v>20</v>
      </c>
      <c r="G112" s="287" t="str">
        <f>'Unit Savings Calculations'!E108</f>
        <v>each</v>
      </c>
      <c r="H112" s="289">
        <f>'Unit Savings Calculations'!$F108*'Unit Savings Calculations'!J108</f>
        <v>3600</v>
      </c>
      <c r="I112" s="289">
        <f>'Unit Savings Calculations'!$F108*'Unit Savings Calculations'!K108</f>
        <v>3600</v>
      </c>
      <c r="J112" s="289">
        <f>'Unit Savings Calculations'!$F108*'Unit Savings Calculations'!L108</f>
        <v>3600</v>
      </c>
      <c r="K112" s="289">
        <f>'Unit Savings Calculations'!$F108*'Unit Savings Calculations'!M108</f>
        <v>3600</v>
      </c>
      <c r="L112" s="287" t="str">
        <f>'Unit Savings Calculations'!U108</f>
        <v>CI-HVC-BLRC-V03-150601</v>
      </c>
      <c r="M112" s="363" t="s">
        <v>830</v>
      </c>
      <c r="N112" s="290">
        <v>1.3480000000000001</v>
      </c>
      <c r="O112" s="290">
        <v>1.3480000000000001</v>
      </c>
      <c r="P112" s="290">
        <v>1.3480000000000001</v>
      </c>
      <c r="Q112" s="290">
        <v>1.3480000000000001</v>
      </c>
      <c r="R112" s="291">
        <f>'Unit Savings Calculations'!$G108</f>
        <v>0.88</v>
      </c>
      <c r="S112" s="291">
        <f>'Unit Savings Calculations'!$G108</f>
        <v>0.88</v>
      </c>
      <c r="T112" s="291">
        <f>'Unit Savings Calculations'!$G108</f>
        <v>0.88</v>
      </c>
      <c r="U112" s="291">
        <f>'Unit Savings Calculations'!$G108</f>
        <v>0.88</v>
      </c>
      <c r="V112" s="292">
        <f t="shared" si="67"/>
        <v>4270.4639999999999</v>
      </c>
      <c r="W112" s="292">
        <f t="shared" si="68"/>
        <v>4270.4639999999999</v>
      </c>
      <c r="X112" s="292">
        <f t="shared" si="69"/>
        <v>4270.4639999999999</v>
      </c>
      <c r="Y112" s="292">
        <f t="shared" si="70"/>
        <v>4270.4639999999999</v>
      </c>
      <c r="Z112" s="292">
        <f t="shared" si="71"/>
        <v>17081.856</v>
      </c>
      <c r="AA112" s="287"/>
      <c r="AB112" s="287"/>
      <c r="AC112" s="293">
        <f>'Unit Savings Calculations'!N108</f>
        <v>1.4256</v>
      </c>
      <c r="AD112" s="287"/>
      <c r="AE112" s="292">
        <f t="shared" si="49"/>
        <v>4516.3008</v>
      </c>
      <c r="AF112" s="289">
        <f t="shared" si="50"/>
        <v>245.83680000000004</v>
      </c>
      <c r="AG112" s="287"/>
      <c r="AH112" s="287">
        <f t="shared" si="51"/>
        <v>0</v>
      </c>
      <c r="AI112" s="290">
        <f>'Unit Savings Calculations'!O108</f>
        <v>1.4256</v>
      </c>
      <c r="AJ112" s="287" t="s">
        <v>872</v>
      </c>
      <c r="AK112" s="292">
        <f t="shared" si="52"/>
        <v>4516.3008</v>
      </c>
      <c r="AL112" s="289">
        <f t="shared" si="53"/>
        <v>245.83680000000004</v>
      </c>
      <c r="AM112" s="287"/>
      <c r="AN112" s="287"/>
      <c r="AO112" s="290">
        <f>'Unit Savings Calculations'!P108</f>
        <v>1.4256</v>
      </c>
      <c r="AP112" s="287" t="s">
        <v>1450</v>
      </c>
      <c r="AQ112" s="292">
        <f t="shared" si="54"/>
        <v>4516.3008</v>
      </c>
      <c r="AR112" s="289">
        <f t="shared" si="55"/>
        <v>245.83680000000004</v>
      </c>
      <c r="AS112" s="287"/>
      <c r="AT112" s="287"/>
      <c r="AU112" s="290">
        <f>'Unit Savings Calculations'!Q108</f>
        <v>1.4256</v>
      </c>
      <c r="AV112" s="287" t="str">
        <f t="shared" si="56"/>
        <v>Updated heating EFLH</v>
      </c>
      <c r="AW112" s="292">
        <f t="shared" si="57"/>
        <v>4516.3008</v>
      </c>
      <c r="AX112" s="289">
        <f t="shared" si="58"/>
        <v>245.83680000000004</v>
      </c>
      <c r="AY112" s="292">
        <f t="shared" si="59"/>
        <v>4516.3008</v>
      </c>
      <c r="AZ112" s="292">
        <f t="shared" si="60"/>
        <v>4516.3008</v>
      </c>
      <c r="BA112" s="292">
        <f t="shared" si="61"/>
        <v>4516.3008</v>
      </c>
      <c r="BB112" s="292">
        <f t="shared" si="62"/>
        <v>4516.3008</v>
      </c>
      <c r="BC112" s="294">
        <f t="shared" si="63"/>
        <v>18065.2032</v>
      </c>
      <c r="BD112" s="287" t="s">
        <v>764</v>
      </c>
      <c r="BE112" s="295" t="str">
        <f t="shared" si="64"/>
        <v>Exhibit 1.5B_R Peoples Gas EEPS_Adjustable_Savings_Goal_Template.xlsx, Unit Savings Calculations Tab</v>
      </c>
      <c r="BF112" s="297"/>
    </row>
    <row r="113" spans="1:58" ht="13.5" customHeight="1">
      <c r="A113" s="287" t="str">
        <f>'Unit Savings Calculations'!C109</f>
        <v>Res - MF PTA Rebates</v>
      </c>
      <c r="B113" s="287" t="str">
        <f>'Unit Savings Calculations'!D109</f>
        <v>Boiler Tune Up - Process</v>
      </c>
      <c r="C113" s="288">
        <f t="shared" si="66"/>
        <v>1</v>
      </c>
      <c r="D113" s="287" t="str">
        <f>'Unit Savings Calculations'!T109</f>
        <v>4.4.3</v>
      </c>
      <c r="E113" s="287">
        <f>INDEX('Unit Savings Calculations'!$H$4:$H$421,MATCH('Measure-Level Adjustments Tab'!$A113&amp;"_"&amp;'Measure-Level Adjustments Tab'!$B113,'Unit Savings Calculations'!$A$4:$A$421,0))</f>
        <v>3</v>
      </c>
      <c r="F113" s="287">
        <f>INDEX('Unit Savings Calculations'!$I$4:$I$421,MATCH('Measure-Level Adjustments Tab'!A113&amp;"_"&amp;'Measure-Level Adjustments Tab'!B113,'Unit Savings Calculations'!$A$4:$A$421,0))</f>
        <v>3</v>
      </c>
      <c r="G113" s="287" t="str">
        <f>'Unit Savings Calculations'!E109</f>
        <v>MBH</v>
      </c>
      <c r="H113" s="289">
        <f>'Unit Savings Calculations'!$F109*'Unit Savings Calculations'!J109</f>
        <v>7200</v>
      </c>
      <c r="I113" s="289">
        <f>'Unit Savings Calculations'!$F109*'Unit Savings Calculations'!K109</f>
        <v>7200</v>
      </c>
      <c r="J113" s="289">
        <f>'Unit Savings Calculations'!$F109*'Unit Savings Calculations'!L109</f>
        <v>7200</v>
      </c>
      <c r="K113" s="289">
        <f>'Unit Savings Calculations'!$F109*'Unit Savings Calculations'!M109</f>
        <v>7200</v>
      </c>
      <c r="L113" s="287" t="str">
        <f>'Unit Savings Calculations'!U109</f>
        <v>CI-HVC-PBTU-V05-160601</v>
      </c>
      <c r="M113" s="363" t="s">
        <v>830</v>
      </c>
      <c r="N113" s="290">
        <v>0.83823507428978783</v>
      </c>
      <c r="O113" s="290">
        <v>0.83823507428978783</v>
      </c>
      <c r="P113" s="290">
        <v>0.83823507428978783</v>
      </c>
      <c r="Q113" s="290">
        <v>0.83823507428978783</v>
      </c>
      <c r="R113" s="291">
        <f>'Unit Savings Calculations'!$G109</f>
        <v>0.88</v>
      </c>
      <c r="S113" s="291">
        <f>'Unit Savings Calculations'!$G109</f>
        <v>0.88</v>
      </c>
      <c r="T113" s="291">
        <f>'Unit Savings Calculations'!$G109</f>
        <v>0.88</v>
      </c>
      <c r="U113" s="291">
        <f>'Unit Savings Calculations'!$G109</f>
        <v>0.88</v>
      </c>
      <c r="V113" s="292">
        <f t="shared" si="67"/>
        <v>5311.0574307000961</v>
      </c>
      <c r="W113" s="292">
        <f t="shared" si="68"/>
        <v>5311.0574307000961</v>
      </c>
      <c r="X113" s="292">
        <f t="shared" si="69"/>
        <v>5311.0574307000961</v>
      </c>
      <c r="Y113" s="292">
        <f t="shared" si="70"/>
        <v>5311.0574307000961</v>
      </c>
      <c r="Z113" s="292">
        <f t="shared" si="71"/>
        <v>21244.229722800384</v>
      </c>
      <c r="AA113" s="287"/>
      <c r="AB113" s="287"/>
      <c r="AC113" s="293">
        <f>'Unit Savings Calculations'!N109</f>
        <v>0.83823507428978783</v>
      </c>
      <c r="AD113" s="287"/>
      <c r="AE113" s="292">
        <f t="shared" si="49"/>
        <v>5311.0574307000961</v>
      </c>
      <c r="AF113" s="289">
        <f t="shared" si="50"/>
        <v>0</v>
      </c>
      <c r="AG113" s="287"/>
      <c r="AH113" s="287">
        <f t="shared" si="51"/>
        <v>0</v>
      </c>
      <c r="AI113" s="290">
        <f>'Unit Savings Calculations'!O109</f>
        <v>0.83823507428978783</v>
      </c>
      <c r="AJ113" s="287" t="s">
        <v>872</v>
      </c>
      <c r="AK113" s="292">
        <f t="shared" si="52"/>
        <v>5311.0574307000961</v>
      </c>
      <c r="AL113" s="289">
        <f t="shared" si="53"/>
        <v>0</v>
      </c>
      <c r="AM113" s="287"/>
      <c r="AN113" s="287"/>
      <c r="AO113" s="290">
        <f>'Unit Savings Calculations'!P109</f>
        <v>0.83823507428978783</v>
      </c>
      <c r="AP113" s="287" t="s">
        <v>764</v>
      </c>
      <c r="AQ113" s="292">
        <f t="shared" si="54"/>
        <v>5311.0574307000961</v>
      </c>
      <c r="AR113" s="289">
        <f t="shared" si="55"/>
        <v>0</v>
      </c>
      <c r="AS113" s="287"/>
      <c r="AT113" s="287"/>
      <c r="AU113" s="290">
        <f>'Unit Savings Calculations'!Q109</f>
        <v>0.83823507428978783</v>
      </c>
      <c r="AV113" s="287" t="str">
        <f t="shared" si="56"/>
        <v>n/a</v>
      </c>
      <c r="AW113" s="292">
        <f t="shared" si="57"/>
        <v>5311.0574307000961</v>
      </c>
      <c r="AX113" s="289">
        <f t="shared" si="58"/>
        <v>0</v>
      </c>
      <c r="AY113" s="292">
        <f t="shared" si="59"/>
        <v>5311.0574307000961</v>
      </c>
      <c r="AZ113" s="292">
        <f t="shared" si="60"/>
        <v>5311.0574307000961</v>
      </c>
      <c r="BA113" s="292">
        <f t="shared" si="61"/>
        <v>5311.0574307000961</v>
      </c>
      <c r="BB113" s="292">
        <f t="shared" si="62"/>
        <v>5311.0574307000961</v>
      </c>
      <c r="BC113" s="294">
        <f t="shared" si="63"/>
        <v>21244.229722800384</v>
      </c>
      <c r="BD113" s="287" t="s">
        <v>764</v>
      </c>
      <c r="BE113" s="295" t="str">
        <f t="shared" si="64"/>
        <v>Exhibit 1.5B_R Peoples Gas EEPS_Adjustable_Savings_Goal_Template.xlsx, Unit Savings Calculations Tab</v>
      </c>
      <c r="BF113" s="297"/>
    </row>
    <row r="114" spans="1:58" ht="13.5" customHeight="1">
      <c r="A114" s="287" t="str">
        <f>'Unit Savings Calculations'!C110</f>
        <v>Res - MF PTA Rebates</v>
      </c>
      <c r="B114" s="287" t="str">
        <f>'Unit Savings Calculations'!D110</f>
        <v>Boiler Tune Up - Space Heating</v>
      </c>
      <c r="C114" s="288">
        <f t="shared" si="66"/>
        <v>1</v>
      </c>
      <c r="D114" s="287" t="str">
        <f>'Unit Savings Calculations'!T110</f>
        <v>4.4.2</v>
      </c>
      <c r="E114" s="287">
        <f>INDEX('Unit Savings Calculations'!$H$4:$H$421,MATCH('Measure-Level Adjustments Tab'!$A114&amp;"_"&amp;'Measure-Level Adjustments Tab'!$B114,'Unit Savings Calculations'!$A$4:$A$421,0))</f>
        <v>3</v>
      </c>
      <c r="F114" s="287">
        <f>INDEX('Unit Savings Calculations'!$I$4:$I$421,MATCH('Measure-Level Adjustments Tab'!A114&amp;"_"&amp;'Measure-Level Adjustments Tab'!B114,'Unit Savings Calculations'!$A$4:$A$421,0))</f>
        <v>3</v>
      </c>
      <c r="G114" s="287" t="str">
        <f>'Unit Savings Calculations'!E110</f>
        <v>MBH</v>
      </c>
      <c r="H114" s="289">
        <f>'Unit Savings Calculations'!$F110*'Unit Savings Calculations'!J110</f>
        <v>8600</v>
      </c>
      <c r="I114" s="289">
        <f>'Unit Savings Calculations'!$F110*'Unit Savings Calculations'!K110</f>
        <v>8600</v>
      </c>
      <c r="J114" s="289">
        <f>'Unit Savings Calculations'!$F110*'Unit Savings Calculations'!L110</f>
        <v>8600</v>
      </c>
      <c r="K114" s="289">
        <f>'Unit Savings Calculations'!$F110*'Unit Savings Calculations'!M110</f>
        <v>8600</v>
      </c>
      <c r="L114" s="287" t="str">
        <f>'Unit Savings Calculations'!U110</f>
        <v>CI-HVC-BLRT-V06-160601</v>
      </c>
      <c r="M114" s="363" t="s">
        <v>830</v>
      </c>
      <c r="N114" s="290">
        <v>0.393528767789805</v>
      </c>
      <c r="O114" s="290">
        <v>0.393528767789805</v>
      </c>
      <c r="P114" s="290">
        <v>0.393528767789805</v>
      </c>
      <c r="Q114" s="290">
        <v>0.393528767789805</v>
      </c>
      <c r="R114" s="291">
        <f>'Unit Savings Calculations'!$G110</f>
        <v>0.88</v>
      </c>
      <c r="S114" s="291">
        <f>'Unit Savings Calculations'!$G110</f>
        <v>0.88</v>
      </c>
      <c r="T114" s="291">
        <f>'Unit Savings Calculations'!$G110</f>
        <v>0.88</v>
      </c>
      <c r="U114" s="291">
        <f>'Unit Savings Calculations'!$G110</f>
        <v>0.88</v>
      </c>
      <c r="V114" s="292">
        <f t="shared" si="67"/>
        <v>2978.2257146332445</v>
      </c>
      <c r="W114" s="292">
        <f t="shared" si="68"/>
        <v>2978.2257146332445</v>
      </c>
      <c r="X114" s="292">
        <f t="shared" si="69"/>
        <v>2978.2257146332445</v>
      </c>
      <c r="Y114" s="292">
        <f t="shared" si="70"/>
        <v>2978.2257146332445</v>
      </c>
      <c r="Z114" s="292">
        <f t="shared" si="71"/>
        <v>11912.902858532978</v>
      </c>
      <c r="AA114" s="287"/>
      <c r="AB114" s="287"/>
      <c r="AC114" s="293">
        <f>'Unit Savings Calculations'!N110</f>
        <v>0.41618294611360979</v>
      </c>
      <c r="AD114" s="287"/>
      <c r="AE114" s="292">
        <f t="shared" si="49"/>
        <v>3149.6725361877989</v>
      </c>
      <c r="AF114" s="289">
        <f t="shared" si="50"/>
        <v>171.44682155455439</v>
      </c>
      <c r="AG114" s="287"/>
      <c r="AH114" s="287">
        <f t="shared" si="51"/>
        <v>0</v>
      </c>
      <c r="AI114" s="290">
        <f>'Unit Savings Calculations'!O110</f>
        <v>0.41618294611360979</v>
      </c>
      <c r="AJ114" s="287" t="s">
        <v>872</v>
      </c>
      <c r="AK114" s="292">
        <f t="shared" si="52"/>
        <v>3149.6725361877989</v>
      </c>
      <c r="AL114" s="289">
        <f t="shared" si="53"/>
        <v>171.44682155455439</v>
      </c>
      <c r="AM114" s="287"/>
      <c r="AN114" s="287"/>
      <c r="AO114" s="290">
        <f>'Unit Savings Calculations'!P110</f>
        <v>0.41618294611360979</v>
      </c>
      <c r="AP114" s="287" t="s">
        <v>1450</v>
      </c>
      <c r="AQ114" s="292">
        <f t="shared" si="54"/>
        <v>3149.6725361877989</v>
      </c>
      <c r="AR114" s="289">
        <f t="shared" si="55"/>
        <v>171.44682155455439</v>
      </c>
      <c r="AS114" s="287"/>
      <c r="AT114" s="287"/>
      <c r="AU114" s="290">
        <f>'Unit Savings Calculations'!Q110</f>
        <v>0.41618294611360979</v>
      </c>
      <c r="AV114" s="287" t="str">
        <f t="shared" si="56"/>
        <v>Updated heating EFLH</v>
      </c>
      <c r="AW114" s="292">
        <f t="shared" si="57"/>
        <v>3149.6725361877989</v>
      </c>
      <c r="AX114" s="289">
        <f t="shared" si="58"/>
        <v>171.44682155455439</v>
      </c>
      <c r="AY114" s="292">
        <f t="shared" si="59"/>
        <v>3149.6725361877989</v>
      </c>
      <c r="AZ114" s="292">
        <f t="shared" si="60"/>
        <v>3149.6725361877989</v>
      </c>
      <c r="BA114" s="292">
        <f t="shared" si="61"/>
        <v>3149.6725361877989</v>
      </c>
      <c r="BB114" s="292">
        <f t="shared" si="62"/>
        <v>3149.6725361877989</v>
      </c>
      <c r="BC114" s="294">
        <f t="shared" si="63"/>
        <v>12598.690144751195</v>
      </c>
      <c r="BD114" s="287" t="s">
        <v>764</v>
      </c>
      <c r="BE114" s="295" t="str">
        <f t="shared" si="64"/>
        <v>Exhibit 1.5B_R Peoples Gas EEPS_Adjustable_Savings_Goal_Template.xlsx, Unit Savings Calculations Tab</v>
      </c>
      <c r="BF114" s="297"/>
    </row>
    <row r="115" spans="1:58" ht="13.5" customHeight="1">
      <c r="A115" s="287" t="str">
        <f>'Unit Savings Calculations'!C111</f>
        <v>Res - MF PTA Rebates</v>
      </c>
      <c r="B115" s="287" t="str">
        <f>'Unit Savings Calculations'!D111</f>
        <v>Condensing Unit Heater</v>
      </c>
      <c r="C115" s="288">
        <f t="shared" si="66"/>
        <v>1</v>
      </c>
      <c r="D115" s="287" t="str">
        <f>'Unit Savings Calculations'!T111</f>
        <v>4.4.5</v>
      </c>
      <c r="E115" s="287">
        <f>INDEX('Unit Savings Calculations'!$H$4:$H$421,MATCH('Measure-Level Adjustments Tab'!$A115&amp;"_"&amp;'Measure-Level Adjustments Tab'!$B115,'Unit Savings Calculations'!$A$4:$A$421,0))</f>
        <v>12</v>
      </c>
      <c r="F115" s="287">
        <f>INDEX('Unit Savings Calculations'!$I$4:$I$421,MATCH('Measure-Level Adjustments Tab'!A115&amp;"_"&amp;'Measure-Level Adjustments Tab'!B115,'Unit Savings Calculations'!$A$4:$A$421,0))</f>
        <v>12</v>
      </c>
      <c r="G115" s="287" t="str">
        <f>'Unit Savings Calculations'!E111</f>
        <v>MBH</v>
      </c>
      <c r="H115" s="289">
        <f>'Unit Savings Calculations'!$F111*'Unit Savings Calculations'!J111</f>
        <v>0</v>
      </c>
      <c r="I115" s="289">
        <f>'Unit Savings Calculations'!$F111*'Unit Savings Calculations'!K111</f>
        <v>0</v>
      </c>
      <c r="J115" s="289">
        <f>'Unit Savings Calculations'!$F111*'Unit Savings Calculations'!L111</f>
        <v>0</v>
      </c>
      <c r="K115" s="289">
        <f>'Unit Savings Calculations'!$F111*'Unit Savings Calculations'!M111</f>
        <v>0</v>
      </c>
      <c r="L115" s="287" t="str">
        <f>'Unit Savings Calculations'!U111</f>
        <v>CI-HVC-CUHT-V01-120601</v>
      </c>
      <c r="M115" s="363" t="s">
        <v>830</v>
      </c>
      <c r="N115" s="290">
        <v>1.7733333333333334</v>
      </c>
      <c r="O115" s="290">
        <v>1.7733333333333334</v>
      </c>
      <c r="P115" s="290">
        <v>1.7733333333333334</v>
      </c>
      <c r="Q115" s="290">
        <v>1.7733333333333334</v>
      </c>
      <c r="R115" s="291">
        <f>'Unit Savings Calculations'!$G111</f>
        <v>0.88</v>
      </c>
      <c r="S115" s="291">
        <f>'Unit Savings Calculations'!$G111</f>
        <v>0.88</v>
      </c>
      <c r="T115" s="291">
        <f>'Unit Savings Calculations'!$G111</f>
        <v>0.88</v>
      </c>
      <c r="U115" s="291">
        <f>'Unit Savings Calculations'!$G111</f>
        <v>0.88</v>
      </c>
      <c r="V115" s="292">
        <f t="shared" si="67"/>
        <v>0</v>
      </c>
      <c r="W115" s="292">
        <f t="shared" si="68"/>
        <v>0</v>
      </c>
      <c r="X115" s="292">
        <f t="shared" si="69"/>
        <v>0</v>
      </c>
      <c r="Y115" s="292">
        <f t="shared" si="70"/>
        <v>0</v>
      </c>
      <c r="Z115" s="292">
        <f t="shared" si="71"/>
        <v>0</v>
      </c>
      <c r="AA115" s="287"/>
      <c r="AB115" s="287"/>
      <c r="AC115" s="293">
        <f>'Unit Savings Calculations'!N111</f>
        <v>1.7733333333333334</v>
      </c>
      <c r="AD115" s="287"/>
      <c r="AE115" s="292">
        <f t="shared" si="49"/>
        <v>0</v>
      </c>
      <c r="AF115" s="289">
        <f t="shared" si="50"/>
        <v>0</v>
      </c>
      <c r="AG115" s="287"/>
      <c r="AH115" s="287">
        <f t="shared" si="51"/>
        <v>0</v>
      </c>
      <c r="AI115" s="290">
        <f>'Unit Savings Calculations'!O111</f>
        <v>1.7733333333333334</v>
      </c>
      <c r="AJ115" s="287" t="s">
        <v>872</v>
      </c>
      <c r="AK115" s="292">
        <f t="shared" si="52"/>
        <v>0</v>
      </c>
      <c r="AL115" s="289">
        <f t="shared" si="53"/>
        <v>0</v>
      </c>
      <c r="AM115" s="287"/>
      <c r="AN115" s="287"/>
      <c r="AO115" s="290">
        <f>'Unit Savings Calculations'!P111</f>
        <v>1.7733333333333334</v>
      </c>
      <c r="AP115" s="287" t="s">
        <v>764</v>
      </c>
      <c r="AQ115" s="292">
        <f t="shared" si="54"/>
        <v>0</v>
      </c>
      <c r="AR115" s="289">
        <f t="shared" si="55"/>
        <v>0</v>
      </c>
      <c r="AS115" s="287"/>
      <c r="AT115" s="287"/>
      <c r="AU115" s="290">
        <f>'Unit Savings Calculations'!Q111</f>
        <v>1.7733333333333334</v>
      </c>
      <c r="AV115" s="287" t="str">
        <f t="shared" si="56"/>
        <v>n/a</v>
      </c>
      <c r="AW115" s="292">
        <f t="shared" si="57"/>
        <v>0</v>
      </c>
      <c r="AX115" s="289">
        <f t="shared" si="58"/>
        <v>0</v>
      </c>
      <c r="AY115" s="292">
        <f t="shared" si="59"/>
        <v>0</v>
      </c>
      <c r="AZ115" s="292">
        <f t="shared" si="60"/>
        <v>0</v>
      </c>
      <c r="BA115" s="292">
        <f t="shared" si="61"/>
        <v>0</v>
      </c>
      <c r="BB115" s="292">
        <f t="shared" si="62"/>
        <v>0</v>
      </c>
      <c r="BC115" s="294">
        <f t="shared" si="63"/>
        <v>0</v>
      </c>
      <c r="BD115" s="287" t="s">
        <v>764</v>
      </c>
      <c r="BE115" s="295" t="str">
        <f t="shared" si="64"/>
        <v>Exhibit 1.5B_R Peoples Gas EEPS_Adjustable_Savings_Goal_Template.xlsx, Unit Savings Calculations Tab</v>
      </c>
      <c r="BF115" s="297"/>
    </row>
    <row r="116" spans="1:58" ht="13.5" customHeight="1">
      <c r="A116" s="287" t="str">
        <f>'Unit Savings Calculations'!C112</f>
        <v>Res - MF PTA Rebates</v>
      </c>
      <c r="B116" s="287" t="str">
        <f>'Unit Savings Calculations'!D112</f>
        <v>Direct Fired Heaters</v>
      </c>
      <c r="C116" s="288">
        <f t="shared" si="66"/>
        <v>0</v>
      </c>
      <c r="D116" s="287" t="str">
        <f>'Unit Savings Calculations'!T112</f>
        <v>Custom</v>
      </c>
      <c r="E116" s="287">
        <f>INDEX('Unit Savings Calculations'!$H$4:$H$421,MATCH('Measure-Level Adjustments Tab'!$A116&amp;"_"&amp;'Measure-Level Adjustments Tab'!$B116,'Unit Savings Calculations'!$A$4:$A$421,0))</f>
        <v>20</v>
      </c>
      <c r="F116" s="287">
        <f>INDEX('Unit Savings Calculations'!$I$4:$I$421,MATCH('Measure-Level Adjustments Tab'!A116&amp;"_"&amp;'Measure-Level Adjustments Tab'!B116,'Unit Savings Calculations'!$A$4:$A$421,0))</f>
        <v>20</v>
      </c>
      <c r="G116" s="287" t="str">
        <f>'Unit Savings Calculations'!E112</f>
        <v>MBH</v>
      </c>
      <c r="H116" s="289">
        <f>'Unit Savings Calculations'!$F112*'Unit Savings Calculations'!J112</f>
        <v>0</v>
      </c>
      <c r="I116" s="289">
        <f>'Unit Savings Calculations'!$F112*'Unit Savings Calculations'!K112</f>
        <v>0</v>
      </c>
      <c r="J116" s="289">
        <f>'Unit Savings Calculations'!$F112*'Unit Savings Calculations'!L112</f>
        <v>0</v>
      </c>
      <c r="K116" s="289">
        <f>'Unit Savings Calculations'!$F112*'Unit Savings Calculations'!M112</f>
        <v>0</v>
      </c>
      <c r="L116" s="287" t="str">
        <f>'Unit Savings Calculations'!U112</f>
        <v>Custom</v>
      </c>
      <c r="M116" s="287" t="str">
        <f>'Unit Savings Calculations'!S112</f>
        <v>Custom</v>
      </c>
      <c r="N116" s="290">
        <v>2.3932499999999983</v>
      </c>
      <c r="O116" s="290">
        <v>2.3932499999999983</v>
      </c>
      <c r="P116" s="290">
        <v>2.3932499999999983</v>
      </c>
      <c r="Q116" s="290">
        <v>2.3932499999999983</v>
      </c>
      <c r="R116" s="291">
        <f>'Unit Savings Calculations'!$G112</f>
        <v>0.88</v>
      </c>
      <c r="S116" s="291">
        <f>'Unit Savings Calculations'!$G112</f>
        <v>0.88</v>
      </c>
      <c r="T116" s="291">
        <f>'Unit Savings Calculations'!$G112</f>
        <v>0.88</v>
      </c>
      <c r="U116" s="291">
        <f>'Unit Savings Calculations'!$G112</f>
        <v>0.88</v>
      </c>
      <c r="V116" s="292">
        <f t="shared" si="67"/>
        <v>0</v>
      </c>
      <c r="W116" s="292">
        <f t="shared" si="68"/>
        <v>0</v>
      </c>
      <c r="X116" s="292">
        <f t="shared" si="69"/>
        <v>0</v>
      </c>
      <c r="Y116" s="292">
        <f t="shared" si="70"/>
        <v>0</v>
      </c>
      <c r="Z116" s="292">
        <f t="shared" si="71"/>
        <v>0</v>
      </c>
      <c r="AA116" s="364"/>
      <c r="AB116" s="364"/>
      <c r="AC116" s="365">
        <f>'Unit Savings Calculations'!N112</f>
        <v>2.4914999999999985</v>
      </c>
      <c r="AD116" s="364"/>
      <c r="AE116" s="366">
        <f t="shared" si="49"/>
        <v>0</v>
      </c>
      <c r="AF116" s="367">
        <f t="shared" si="50"/>
        <v>0</v>
      </c>
      <c r="AG116" s="364"/>
      <c r="AH116" s="364">
        <f t="shared" si="51"/>
        <v>0</v>
      </c>
      <c r="AI116" s="368">
        <f>'Unit Savings Calculations'!O112</f>
        <v>2.4914999999999985</v>
      </c>
      <c r="AJ116" s="364" t="s">
        <v>872</v>
      </c>
      <c r="AK116" s="366">
        <f t="shared" si="52"/>
        <v>0</v>
      </c>
      <c r="AL116" s="367">
        <f t="shared" si="53"/>
        <v>0</v>
      </c>
      <c r="AM116" s="364"/>
      <c r="AN116" s="364"/>
      <c r="AO116" s="368">
        <f>'Unit Savings Calculations'!P112</f>
        <v>2.4914999999999985</v>
      </c>
      <c r="AP116" s="364" t="s">
        <v>1450</v>
      </c>
      <c r="AQ116" s="366">
        <f t="shared" si="54"/>
        <v>0</v>
      </c>
      <c r="AR116" s="367">
        <f t="shared" si="55"/>
        <v>0</v>
      </c>
      <c r="AS116" s="364"/>
      <c r="AT116" s="364"/>
      <c r="AU116" s="368">
        <f>'Unit Savings Calculations'!Q112</f>
        <v>2.4914999999999985</v>
      </c>
      <c r="AV116" s="364" t="str">
        <f t="shared" si="56"/>
        <v>Updated heating EFLH</v>
      </c>
      <c r="AW116" s="366">
        <f t="shared" si="57"/>
        <v>0</v>
      </c>
      <c r="AX116" s="367">
        <f t="shared" si="58"/>
        <v>0</v>
      </c>
      <c r="AY116" s="292">
        <f t="shared" si="59"/>
        <v>0</v>
      </c>
      <c r="AZ116" s="292">
        <f t="shared" si="60"/>
        <v>0</v>
      </c>
      <c r="BA116" s="292">
        <f t="shared" si="61"/>
        <v>0</v>
      </c>
      <c r="BB116" s="292">
        <f t="shared" si="62"/>
        <v>0</v>
      </c>
      <c r="BC116" s="294">
        <f t="shared" si="63"/>
        <v>0</v>
      </c>
      <c r="BD116" s="287" t="s">
        <v>764</v>
      </c>
      <c r="BE116" s="295" t="str">
        <f t="shared" si="64"/>
        <v>Custom</v>
      </c>
      <c r="BF116" s="297"/>
    </row>
    <row r="117" spans="1:58" ht="13.5" customHeight="1">
      <c r="A117" s="287" t="str">
        <f>'Unit Savings Calculations'!C113</f>
        <v>Res - MF PTA Rebates</v>
      </c>
      <c r="B117" s="287" t="str">
        <f>'Unit Savings Calculations'!D113</f>
        <v>Furnace &gt;95% AFUE</v>
      </c>
      <c r="C117" s="288">
        <f t="shared" si="66"/>
        <v>1</v>
      </c>
      <c r="D117" s="287" t="str">
        <f>'Unit Savings Calculations'!T113</f>
        <v>4.4.11</v>
      </c>
      <c r="E117" s="287">
        <f>INDEX('Unit Savings Calculations'!$H$4:$H$421,MATCH('Measure-Level Adjustments Tab'!$A117&amp;"_"&amp;'Measure-Level Adjustments Tab'!$B117,'Unit Savings Calculations'!$A$4:$A$421,0))</f>
        <v>16</v>
      </c>
      <c r="F117" s="287">
        <f>INDEX('Unit Savings Calculations'!$I$4:$I$421,MATCH('Measure-Level Adjustments Tab'!A117&amp;"_"&amp;'Measure-Level Adjustments Tab'!B117,'Unit Savings Calculations'!$A$4:$A$421,0))</f>
        <v>16</v>
      </c>
      <c r="G117" s="287" t="str">
        <f>'Unit Savings Calculations'!E113</f>
        <v>each</v>
      </c>
      <c r="H117" s="289">
        <f>'Unit Savings Calculations'!$F113*'Unit Savings Calculations'!J113</f>
        <v>4</v>
      </c>
      <c r="I117" s="289">
        <f>'Unit Savings Calculations'!$F113*'Unit Savings Calculations'!K113</f>
        <v>4</v>
      </c>
      <c r="J117" s="289">
        <f>'Unit Savings Calculations'!$F113*'Unit Savings Calculations'!L113</f>
        <v>4</v>
      </c>
      <c r="K117" s="289">
        <f>'Unit Savings Calculations'!$F113*'Unit Savings Calculations'!M113</f>
        <v>4</v>
      </c>
      <c r="L117" s="287" t="str">
        <f>'Unit Savings Calculations'!U113</f>
        <v>CI-HVC-FRNC-V07-180101</v>
      </c>
      <c r="M117" s="363" t="s">
        <v>830</v>
      </c>
      <c r="N117" s="290">
        <v>240.11249999999984</v>
      </c>
      <c r="O117" s="290">
        <v>240.11249999999984</v>
      </c>
      <c r="P117" s="290">
        <v>240.11249999999984</v>
      </c>
      <c r="Q117" s="290">
        <v>240.11249999999984</v>
      </c>
      <c r="R117" s="291">
        <f>'Unit Savings Calculations'!$G113</f>
        <v>0.88</v>
      </c>
      <c r="S117" s="291">
        <f>'Unit Savings Calculations'!$G113</f>
        <v>0.88</v>
      </c>
      <c r="T117" s="291">
        <f>'Unit Savings Calculations'!$G113</f>
        <v>0.88</v>
      </c>
      <c r="U117" s="291">
        <f>'Unit Savings Calculations'!$G113</f>
        <v>0.88</v>
      </c>
      <c r="V117" s="292">
        <f t="shared" si="67"/>
        <v>845.19599999999946</v>
      </c>
      <c r="W117" s="292">
        <f t="shared" si="68"/>
        <v>845.19599999999946</v>
      </c>
      <c r="X117" s="292">
        <f t="shared" si="69"/>
        <v>845.19599999999946</v>
      </c>
      <c r="Y117" s="292">
        <f t="shared" si="70"/>
        <v>845.19599999999946</v>
      </c>
      <c r="Z117" s="292">
        <f t="shared" si="71"/>
        <v>3380.7839999999978</v>
      </c>
      <c r="AA117" s="287"/>
      <c r="AB117" s="287"/>
      <c r="AC117" s="293">
        <f>'Unit Savings Calculations'!N113</f>
        <v>253.93499999999986</v>
      </c>
      <c r="AD117" s="287"/>
      <c r="AE117" s="292">
        <f t="shared" si="49"/>
        <v>893.85119999999949</v>
      </c>
      <c r="AF117" s="289">
        <f t="shared" si="50"/>
        <v>48.655200000000036</v>
      </c>
      <c r="AG117" s="287"/>
      <c r="AH117" s="287">
        <f t="shared" si="51"/>
        <v>0</v>
      </c>
      <c r="AI117" s="290">
        <f>'Unit Savings Calculations'!O113</f>
        <v>253.93499999999986</v>
      </c>
      <c r="AJ117" s="287" t="s">
        <v>872</v>
      </c>
      <c r="AK117" s="292">
        <f t="shared" si="52"/>
        <v>893.85119999999949</v>
      </c>
      <c r="AL117" s="289">
        <f t="shared" si="53"/>
        <v>48.655200000000036</v>
      </c>
      <c r="AM117" s="287"/>
      <c r="AN117" s="287"/>
      <c r="AO117" s="290">
        <f>'Unit Savings Calculations'!P113</f>
        <v>253.93499999999986</v>
      </c>
      <c r="AP117" s="287" t="s">
        <v>1450</v>
      </c>
      <c r="AQ117" s="292">
        <f t="shared" si="54"/>
        <v>893.85119999999949</v>
      </c>
      <c r="AR117" s="289">
        <f t="shared" si="55"/>
        <v>48.655200000000036</v>
      </c>
      <c r="AS117" s="287"/>
      <c r="AT117" s="287"/>
      <c r="AU117" s="290">
        <f>'Unit Savings Calculations'!Q113</f>
        <v>253.93499999999986</v>
      </c>
      <c r="AV117" s="287" t="str">
        <f t="shared" si="56"/>
        <v>Updated heating EFLH</v>
      </c>
      <c r="AW117" s="292">
        <f t="shared" si="57"/>
        <v>893.85119999999949</v>
      </c>
      <c r="AX117" s="289">
        <f t="shared" si="58"/>
        <v>48.655200000000036</v>
      </c>
      <c r="AY117" s="292">
        <f t="shared" si="59"/>
        <v>893.85119999999949</v>
      </c>
      <c r="AZ117" s="292">
        <f t="shared" si="60"/>
        <v>893.85119999999949</v>
      </c>
      <c r="BA117" s="292">
        <f t="shared" si="61"/>
        <v>893.85119999999949</v>
      </c>
      <c r="BB117" s="292">
        <f t="shared" si="62"/>
        <v>893.85119999999949</v>
      </c>
      <c r="BC117" s="294">
        <f t="shared" si="63"/>
        <v>3575.404799999998</v>
      </c>
      <c r="BD117" s="287" t="s">
        <v>764</v>
      </c>
      <c r="BE117" s="295" t="str">
        <f t="shared" si="64"/>
        <v>Exhibit 1.5B_R Peoples Gas EEPS_Adjustable_Savings_Goal_Template.xlsx, Unit Savings Calculations Tab</v>
      </c>
      <c r="BF117" s="297"/>
    </row>
    <row r="118" spans="1:58" ht="13.5" customHeight="1">
      <c r="A118" s="287" t="str">
        <f>'Unit Savings Calculations'!C114</f>
        <v>Res - MF PTA Rebates</v>
      </c>
      <c r="B118" s="287" t="str">
        <f>'Unit Savings Calculations'!D114</f>
        <v>Furnace &gt;95% AFUE (MF Unit)</v>
      </c>
      <c r="C118" s="288">
        <f t="shared" si="66"/>
        <v>1</v>
      </c>
      <c r="D118" s="287" t="str">
        <f>'Unit Savings Calculations'!T114</f>
        <v>5.3.7</v>
      </c>
      <c r="E118" s="287">
        <f>INDEX('Unit Savings Calculations'!$H$4:$H$421,MATCH('Measure-Level Adjustments Tab'!$A118&amp;"_"&amp;'Measure-Level Adjustments Tab'!$B118,'Unit Savings Calculations'!$A$4:$A$421,0))</f>
        <v>20</v>
      </c>
      <c r="F118" s="287">
        <f>INDEX('Unit Savings Calculations'!$I$4:$I$421,MATCH('Measure-Level Adjustments Tab'!A118&amp;"_"&amp;'Measure-Level Adjustments Tab'!B118,'Unit Savings Calculations'!$A$4:$A$421,0))</f>
        <v>20</v>
      </c>
      <c r="G118" s="287" t="str">
        <f>'Unit Savings Calculations'!E114</f>
        <v>each</v>
      </c>
      <c r="H118" s="289">
        <f>'Unit Savings Calculations'!$F114*'Unit Savings Calculations'!J114</f>
        <v>11</v>
      </c>
      <c r="I118" s="289">
        <f>'Unit Savings Calculations'!$F114*'Unit Savings Calculations'!K114</f>
        <v>11</v>
      </c>
      <c r="J118" s="289">
        <f>'Unit Savings Calculations'!$F114*'Unit Savings Calculations'!L114</f>
        <v>11</v>
      </c>
      <c r="K118" s="289">
        <f>'Unit Savings Calculations'!$F114*'Unit Savings Calculations'!M114</f>
        <v>11</v>
      </c>
      <c r="L118" s="287" t="str">
        <f>'Unit Savings Calculations'!U114</f>
        <v>RS-HVC-GHEF-V07-180101</v>
      </c>
      <c r="M118" s="363" t="s">
        <v>830</v>
      </c>
      <c r="N118" s="290">
        <v>114.30921052631565</v>
      </c>
      <c r="O118" s="290">
        <v>114.30921052631565</v>
      </c>
      <c r="P118" s="290">
        <v>114.30921052631565</v>
      </c>
      <c r="Q118" s="290">
        <v>114.30921052631565</v>
      </c>
      <c r="R118" s="291">
        <f>'Unit Savings Calculations'!$G114</f>
        <v>0.88</v>
      </c>
      <c r="S118" s="291">
        <f>'Unit Savings Calculations'!$G114</f>
        <v>0.88</v>
      </c>
      <c r="T118" s="291">
        <f>'Unit Savings Calculations'!$G114</f>
        <v>0.88</v>
      </c>
      <c r="U118" s="291">
        <f>'Unit Savings Calculations'!$G114</f>
        <v>0.88</v>
      </c>
      <c r="V118" s="292">
        <f t="shared" si="67"/>
        <v>1106.5131578947355</v>
      </c>
      <c r="W118" s="292">
        <f t="shared" si="68"/>
        <v>1106.5131578947355</v>
      </c>
      <c r="X118" s="292">
        <f t="shared" si="69"/>
        <v>1106.5131578947355</v>
      </c>
      <c r="Y118" s="292">
        <f t="shared" si="70"/>
        <v>1106.5131578947355</v>
      </c>
      <c r="Z118" s="292">
        <f t="shared" si="71"/>
        <v>4426.0526315789421</v>
      </c>
      <c r="AA118" s="287"/>
      <c r="AB118" s="287"/>
      <c r="AC118" s="293">
        <f>'Unit Savings Calculations'!N114</f>
        <v>156.41025641025624</v>
      </c>
      <c r="AD118" s="287"/>
      <c r="AE118" s="292">
        <f t="shared" si="49"/>
        <v>1514.0512820512804</v>
      </c>
      <c r="AF118" s="289">
        <f t="shared" si="50"/>
        <v>407.53812415654488</v>
      </c>
      <c r="AG118" s="287"/>
      <c r="AH118" s="287">
        <f t="shared" si="51"/>
        <v>0</v>
      </c>
      <c r="AI118" s="290">
        <f>'Unit Savings Calculations'!O114</f>
        <v>156.41025641025624</v>
      </c>
      <c r="AJ118" s="287" t="s">
        <v>994</v>
      </c>
      <c r="AK118" s="292">
        <f t="shared" si="52"/>
        <v>1514.0512820512804</v>
      </c>
      <c r="AL118" s="289">
        <f t="shared" si="53"/>
        <v>407.53812415654488</v>
      </c>
      <c r="AM118" s="287"/>
      <c r="AN118" s="287"/>
      <c r="AO118" s="290">
        <f>'Unit Savings Calculations'!P114</f>
        <v>156.41025641025624</v>
      </c>
      <c r="AP118" s="287" t="s">
        <v>764</v>
      </c>
      <c r="AQ118" s="292">
        <f t="shared" si="54"/>
        <v>1514.0512820512804</v>
      </c>
      <c r="AR118" s="289">
        <f t="shared" si="55"/>
        <v>407.53812415654488</v>
      </c>
      <c r="AS118" s="287"/>
      <c r="AT118" s="287"/>
      <c r="AU118" s="290">
        <f>'Unit Savings Calculations'!Q114</f>
        <v>156.41025641025624</v>
      </c>
      <c r="AV118" s="287" t="str">
        <f t="shared" si="56"/>
        <v>n/a</v>
      </c>
      <c r="AW118" s="292">
        <f t="shared" si="57"/>
        <v>1514.0512820512804</v>
      </c>
      <c r="AX118" s="289">
        <f t="shared" si="58"/>
        <v>407.53812415654488</v>
      </c>
      <c r="AY118" s="292">
        <f t="shared" si="59"/>
        <v>1514.0512820512804</v>
      </c>
      <c r="AZ118" s="292">
        <f t="shared" si="60"/>
        <v>1514.0512820512804</v>
      </c>
      <c r="BA118" s="292">
        <f t="shared" si="61"/>
        <v>1514.0512820512804</v>
      </c>
      <c r="BB118" s="292">
        <f t="shared" si="62"/>
        <v>1514.0512820512804</v>
      </c>
      <c r="BC118" s="294">
        <f t="shared" si="63"/>
        <v>6056.2051282051216</v>
      </c>
      <c r="BD118" s="287" t="s">
        <v>764</v>
      </c>
      <c r="BE118" s="295" t="str">
        <f t="shared" si="64"/>
        <v>Exhibit 1.5B_R Peoples Gas EEPS_Adjustable_Savings_Goal_Template.xlsx, Unit Savings Calculations Tab</v>
      </c>
      <c r="BF118" s="297"/>
    </row>
    <row r="119" spans="1:58" ht="13.5" customHeight="1">
      <c r="A119" s="287" t="str">
        <f>'Unit Savings Calculations'!C115</f>
        <v>Res - MF PTA Rebates</v>
      </c>
      <c r="B119" s="287" t="str">
        <f>'Unit Savings Calculations'!D115</f>
        <v>High Speed Washer</v>
      </c>
      <c r="C119" s="288">
        <f t="shared" si="66"/>
        <v>1</v>
      </c>
      <c r="D119" s="287" t="str">
        <f>'Unit Savings Calculations'!T115</f>
        <v>4.8.5</v>
      </c>
      <c r="E119" s="287">
        <f>INDEX('Unit Savings Calculations'!$H$4:$H$421,MATCH('Measure-Level Adjustments Tab'!$A119&amp;"_"&amp;'Measure-Level Adjustments Tab'!$B119,'Unit Savings Calculations'!$A$4:$A$421,0))</f>
        <v>7</v>
      </c>
      <c r="F119" s="287">
        <f>INDEX('Unit Savings Calculations'!$I$4:$I$421,MATCH('Measure-Level Adjustments Tab'!A119&amp;"_"&amp;'Measure-Level Adjustments Tab'!B119,'Unit Savings Calculations'!$A$4:$A$421,0))</f>
        <v>7</v>
      </c>
      <c r="G119" s="287" t="str">
        <f>'Unit Savings Calculations'!E115</f>
        <v>lb-capacity</v>
      </c>
      <c r="H119" s="289">
        <f>'Unit Savings Calculations'!$F115*'Unit Savings Calculations'!J115</f>
        <v>5750</v>
      </c>
      <c r="I119" s="289">
        <f>'Unit Savings Calculations'!$F115*'Unit Savings Calculations'!K115</f>
        <v>5750</v>
      </c>
      <c r="J119" s="289">
        <f>'Unit Savings Calculations'!$F115*'Unit Savings Calculations'!L115</f>
        <v>5750</v>
      </c>
      <c r="K119" s="289">
        <f>'Unit Savings Calculations'!$F115*'Unit Savings Calculations'!M115</f>
        <v>5750</v>
      </c>
      <c r="L119" s="287" t="str">
        <f>'Unit Savings Calculations'!U115</f>
        <v>CI-MSC-HSCW-V01-180101</v>
      </c>
      <c r="M119" s="363" t="s">
        <v>830</v>
      </c>
      <c r="N119" s="290">
        <v>3.6756720000000001</v>
      </c>
      <c r="O119" s="290">
        <v>3.6756720000000001</v>
      </c>
      <c r="P119" s="290">
        <v>3.6756720000000001</v>
      </c>
      <c r="Q119" s="290">
        <v>3.6756720000000001</v>
      </c>
      <c r="R119" s="291">
        <f>'Unit Savings Calculations'!$G115</f>
        <v>0.88</v>
      </c>
      <c r="S119" s="291">
        <f>'Unit Savings Calculations'!$G115</f>
        <v>0.88</v>
      </c>
      <c r="T119" s="291">
        <f>'Unit Savings Calculations'!$G115</f>
        <v>0.88</v>
      </c>
      <c r="U119" s="291">
        <f>'Unit Savings Calculations'!$G115</f>
        <v>0.88</v>
      </c>
      <c r="V119" s="292">
        <f t="shared" si="67"/>
        <v>18598.900320000001</v>
      </c>
      <c r="W119" s="292">
        <f t="shared" si="68"/>
        <v>18598.900320000001</v>
      </c>
      <c r="X119" s="292">
        <f t="shared" si="69"/>
        <v>18598.900320000001</v>
      </c>
      <c r="Y119" s="292">
        <f t="shared" si="70"/>
        <v>18598.900320000001</v>
      </c>
      <c r="Z119" s="292">
        <f t="shared" si="71"/>
        <v>74395.601280000003</v>
      </c>
      <c r="AA119" s="287"/>
      <c r="AB119" s="287"/>
      <c r="AC119" s="293">
        <f>'Unit Savings Calculations'!N115</f>
        <v>3.6756720000000001</v>
      </c>
      <c r="AD119" s="287"/>
      <c r="AE119" s="292">
        <f t="shared" si="49"/>
        <v>18598.900320000001</v>
      </c>
      <c r="AF119" s="289">
        <f t="shared" si="50"/>
        <v>0</v>
      </c>
      <c r="AG119" s="287"/>
      <c r="AH119" s="287">
        <f t="shared" si="51"/>
        <v>0</v>
      </c>
      <c r="AI119" s="290">
        <f>'Unit Savings Calculations'!O115</f>
        <v>3.6756720000000001</v>
      </c>
      <c r="AJ119" s="287" t="s">
        <v>872</v>
      </c>
      <c r="AK119" s="292">
        <f t="shared" si="52"/>
        <v>18598.900320000001</v>
      </c>
      <c r="AL119" s="289">
        <f t="shared" si="53"/>
        <v>0</v>
      </c>
      <c r="AM119" s="287"/>
      <c r="AN119" s="287"/>
      <c r="AO119" s="290">
        <f>'Unit Savings Calculations'!P115</f>
        <v>3.6756720000000001</v>
      </c>
      <c r="AP119" s="287" t="s">
        <v>764</v>
      </c>
      <c r="AQ119" s="292">
        <f t="shared" si="54"/>
        <v>18598.900320000001</v>
      </c>
      <c r="AR119" s="289">
        <f t="shared" si="55"/>
        <v>0</v>
      </c>
      <c r="AS119" s="287"/>
      <c r="AT119" s="287"/>
      <c r="AU119" s="290">
        <f>'Unit Savings Calculations'!Q115</f>
        <v>3.6756720000000001</v>
      </c>
      <c r="AV119" s="287" t="str">
        <f t="shared" si="56"/>
        <v>n/a</v>
      </c>
      <c r="AW119" s="292">
        <f t="shared" si="57"/>
        <v>18598.900320000001</v>
      </c>
      <c r="AX119" s="289">
        <f t="shared" si="58"/>
        <v>0</v>
      </c>
      <c r="AY119" s="292">
        <f t="shared" si="59"/>
        <v>18598.900320000001</v>
      </c>
      <c r="AZ119" s="292">
        <f t="shared" si="60"/>
        <v>18598.900320000001</v>
      </c>
      <c r="BA119" s="292">
        <f t="shared" si="61"/>
        <v>18598.900320000001</v>
      </c>
      <c r="BB119" s="292">
        <f t="shared" si="62"/>
        <v>18598.900320000001</v>
      </c>
      <c r="BC119" s="294">
        <f t="shared" si="63"/>
        <v>74395.601280000003</v>
      </c>
      <c r="BD119" s="287" t="s">
        <v>764</v>
      </c>
      <c r="BE119" s="295" t="str">
        <f t="shared" si="64"/>
        <v>Exhibit 1.5B_R Peoples Gas EEPS_Adjustable_Savings_Goal_Template.xlsx, Unit Savings Calculations Tab</v>
      </c>
      <c r="BF119" s="297"/>
    </row>
    <row r="120" spans="1:58" ht="13.5" customHeight="1">
      <c r="A120" s="287" t="str">
        <f>'Unit Savings Calculations'!C116</f>
        <v>Res - MF PTA Rebates</v>
      </c>
      <c r="B120" s="287" t="str">
        <f>'Unit Savings Calculations'!D116</f>
        <v>Infrared Heater</v>
      </c>
      <c r="C120" s="288">
        <f t="shared" si="66"/>
        <v>1</v>
      </c>
      <c r="D120" s="287" t="str">
        <f>'Unit Savings Calculations'!T116</f>
        <v>4.4.12</v>
      </c>
      <c r="E120" s="287">
        <f>INDEX('Unit Savings Calculations'!$H$4:$H$421,MATCH('Measure-Level Adjustments Tab'!$A120&amp;"_"&amp;'Measure-Level Adjustments Tab'!$B120,'Unit Savings Calculations'!$A$4:$A$421,0))</f>
        <v>12</v>
      </c>
      <c r="F120" s="287">
        <f>INDEX('Unit Savings Calculations'!$I$4:$I$421,MATCH('Measure-Level Adjustments Tab'!A120&amp;"_"&amp;'Measure-Level Adjustments Tab'!B120,'Unit Savings Calculations'!$A$4:$A$421,0))</f>
        <v>12</v>
      </c>
      <c r="G120" s="287" t="str">
        <f>'Unit Savings Calculations'!E116</f>
        <v>MBH</v>
      </c>
      <c r="H120" s="289">
        <f>'Unit Savings Calculations'!$F116*'Unit Savings Calculations'!J116</f>
        <v>0</v>
      </c>
      <c r="I120" s="289">
        <f>'Unit Savings Calculations'!$F116*'Unit Savings Calculations'!K116</f>
        <v>0</v>
      </c>
      <c r="J120" s="289">
        <f>'Unit Savings Calculations'!$F116*'Unit Savings Calculations'!L116</f>
        <v>0</v>
      </c>
      <c r="K120" s="289">
        <f>'Unit Savings Calculations'!$F116*'Unit Savings Calculations'!M116</f>
        <v>0</v>
      </c>
      <c r="L120" s="287" t="str">
        <f>'Unit Savings Calculations'!U116</f>
        <v>CI-HVC-IRHT-V01-120601</v>
      </c>
      <c r="M120" s="363" t="s">
        <v>830</v>
      </c>
      <c r="N120" s="290">
        <v>3.0066666666666668</v>
      </c>
      <c r="O120" s="290">
        <v>3.0066666666666668</v>
      </c>
      <c r="P120" s="290">
        <v>3.0066666666666668</v>
      </c>
      <c r="Q120" s="290">
        <v>3.0066666666666668</v>
      </c>
      <c r="R120" s="291">
        <f>'Unit Savings Calculations'!$G116</f>
        <v>0.88</v>
      </c>
      <c r="S120" s="291">
        <f>'Unit Savings Calculations'!$G116</f>
        <v>0.88</v>
      </c>
      <c r="T120" s="291">
        <f>'Unit Savings Calculations'!$G116</f>
        <v>0.88</v>
      </c>
      <c r="U120" s="291">
        <f>'Unit Savings Calculations'!$G116</f>
        <v>0.88</v>
      </c>
      <c r="V120" s="292">
        <f t="shared" si="67"/>
        <v>0</v>
      </c>
      <c r="W120" s="292">
        <f t="shared" si="68"/>
        <v>0</v>
      </c>
      <c r="X120" s="292">
        <f t="shared" si="69"/>
        <v>0</v>
      </c>
      <c r="Y120" s="292">
        <f t="shared" si="70"/>
        <v>0</v>
      </c>
      <c r="Z120" s="292">
        <f t="shared" si="71"/>
        <v>0</v>
      </c>
      <c r="AA120" s="287"/>
      <c r="AB120" s="287"/>
      <c r="AC120" s="293">
        <f>'Unit Savings Calculations'!N116</f>
        <v>3.0066666666666668</v>
      </c>
      <c r="AD120" s="287"/>
      <c r="AE120" s="292">
        <f t="shared" si="49"/>
        <v>0</v>
      </c>
      <c r="AF120" s="289">
        <f t="shared" si="50"/>
        <v>0</v>
      </c>
      <c r="AG120" s="287"/>
      <c r="AH120" s="287">
        <f t="shared" si="51"/>
        <v>0</v>
      </c>
      <c r="AI120" s="290">
        <f>'Unit Savings Calculations'!O116</f>
        <v>3.0066666666666668</v>
      </c>
      <c r="AJ120" s="287" t="s">
        <v>872</v>
      </c>
      <c r="AK120" s="292">
        <f t="shared" si="52"/>
        <v>0</v>
      </c>
      <c r="AL120" s="289">
        <f t="shared" si="53"/>
        <v>0</v>
      </c>
      <c r="AM120" s="287"/>
      <c r="AN120" s="287"/>
      <c r="AO120" s="290">
        <f>'Unit Savings Calculations'!P116</f>
        <v>3.0066666666666668</v>
      </c>
      <c r="AP120" s="287" t="s">
        <v>764</v>
      </c>
      <c r="AQ120" s="292">
        <f t="shared" si="54"/>
        <v>0</v>
      </c>
      <c r="AR120" s="289">
        <f t="shared" si="55"/>
        <v>0</v>
      </c>
      <c r="AS120" s="287"/>
      <c r="AT120" s="287"/>
      <c r="AU120" s="290">
        <f>'Unit Savings Calculations'!Q116</f>
        <v>3.0066666666666668</v>
      </c>
      <c r="AV120" s="287" t="str">
        <f t="shared" si="56"/>
        <v>n/a</v>
      </c>
      <c r="AW120" s="292">
        <f t="shared" si="57"/>
        <v>0</v>
      </c>
      <c r="AX120" s="289">
        <f t="shared" si="58"/>
        <v>0</v>
      </c>
      <c r="AY120" s="292">
        <f t="shared" si="59"/>
        <v>0</v>
      </c>
      <c r="AZ120" s="292">
        <f t="shared" si="60"/>
        <v>0</v>
      </c>
      <c r="BA120" s="292">
        <f t="shared" si="61"/>
        <v>0</v>
      </c>
      <c r="BB120" s="292">
        <f t="shared" si="62"/>
        <v>0</v>
      </c>
      <c r="BC120" s="294">
        <f t="shared" si="63"/>
        <v>0</v>
      </c>
      <c r="BD120" s="287" t="s">
        <v>764</v>
      </c>
      <c r="BE120" s="295" t="str">
        <f t="shared" si="64"/>
        <v>Exhibit 1.5B_R Peoples Gas EEPS_Adjustable_Savings_Goal_Template.xlsx, Unit Savings Calculations Tab</v>
      </c>
      <c r="BF120" s="297"/>
    </row>
    <row r="121" spans="1:58" ht="13.5" customHeight="1">
      <c r="A121" s="287" t="str">
        <f>'Unit Savings Calculations'!C117</f>
        <v>Res - MF PTA Rebates</v>
      </c>
      <c r="B121" s="287" t="str">
        <f>'Unit Savings Calculations'!D117</f>
        <v>Ozone Laundry</v>
      </c>
      <c r="C121" s="288">
        <f t="shared" si="66"/>
        <v>1</v>
      </c>
      <c r="D121" s="287" t="str">
        <f>'Unit Savings Calculations'!T117</f>
        <v>5.1.12</v>
      </c>
      <c r="E121" s="287">
        <f>INDEX('Unit Savings Calculations'!$H$4:$H$421,MATCH('Measure-Level Adjustments Tab'!$A121&amp;"_"&amp;'Measure-Level Adjustments Tab'!$B121,'Unit Savings Calculations'!$A$4:$A$421,0))</f>
        <v>10</v>
      </c>
      <c r="F121" s="287">
        <f>INDEX('Unit Savings Calculations'!$I$4:$I$421,MATCH('Measure-Level Adjustments Tab'!A121&amp;"_"&amp;'Measure-Level Adjustments Tab'!B121,'Unit Savings Calculations'!$A$4:$A$421,0))</f>
        <v>10</v>
      </c>
      <c r="G121" s="287" t="str">
        <f>'Unit Savings Calculations'!E117</f>
        <v>lb-capacity</v>
      </c>
      <c r="H121" s="289">
        <f>'Unit Savings Calculations'!$F117*'Unit Savings Calculations'!J117</f>
        <v>4500</v>
      </c>
      <c r="I121" s="289">
        <f>'Unit Savings Calculations'!$F117*'Unit Savings Calculations'!K117</f>
        <v>4500</v>
      </c>
      <c r="J121" s="289">
        <f>'Unit Savings Calculations'!$F117*'Unit Savings Calculations'!L117</f>
        <v>4500</v>
      </c>
      <c r="K121" s="289">
        <f>'Unit Savings Calculations'!$F117*'Unit Savings Calculations'!M117</f>
        <v>4500</v>
      </c>
      <c r="L121" s="287" t="str">
        <f>'Unit Savings Calculations'!U117</f>
        <v>CI-HW-OZLD-VO1-140601</v>
      </c>
      <c r="M121" s="363" t="s">
        <v>830</v>
      </c>
      <c r="N121" s="290">
        <v>30.722664192350027</v>
      </c>
      <c r="O121" s="290">
        <v>30.722664192350027</v>
      </c>
      <c r="P121" s="290">
        <v>30.722664192350027</v>
      </c>
      <c r="Q121" s="290">
        <v>30.722664192350027</v>
      </c>
      <c r="R121" s="291">
        <f>'Unit Savings Calculations'!$G117</f>
        <v>0.88</v>
      </c>
      <c r="S121" s="291">
        <f>'Unit Savings Calculations'!$G117</f>
        <v>0.88</v>
      </c>
      <c r="T121" s="291">
        <f>'Unit Savings Calculations'!$G117</f>
        <v>0.88</v>
      </c>
      <c r="U121" s="291">
        <f>'Unit Savings Calculations'!$G117</f>
        <v>0.88</v>
      </c>
      <c r="V121" s="292">
        <f t="shared" si="67"/>
        <v>121661.75020170611</v>
      </c>
      <c r="W121" s="292">
        <f t="shared" si="68"/>
        <v>121661.75020170611</v>
      </c>
      <c r="X121" s="292">
        <f t="shared" si="69"/>
        <v>121661.75020170611</v>
      </c>
      <c r="Y121" s="292">
        <f t="shared" si="70"/>
        <v>121661.75020170611</v>
      </c>
      <c r="Z121" s="292">
        <f t="shared" si="71"/>
        <v>486647.00080682442</v>
      </c>
      <c r="AA121" s="287"/>
      <c r="AB121" s="287"/>
      <c r="AC121" s="293">
        <f>'Unit Savings Calculations'!N117</f>
        <v>13.190532978680915</v>
      </c>
      <c r="AD121" s="287"/>
      <c r="AE121" s="292">
        <f t="shared" si="49"/>
        <v>52234.510595576423</v>
      </c>
      <c r="AF121" s="289">
        <f t="shared" si="50"/>
        <v>-69427.239606129675</v>
      </c>
      <c r="AG121" s="287"/>
      <c r="AH121" s="287">
        <f t="shared" si="51"/>
        <v>0</v>
      </c>
      <c r="AI121" s="290">
        <f>'Unit Savings Calculations'!O117</f>
        <v>13.190532978680915</v>
      </c>
      <c r="AJ121" s="287" t="s">
        <v>1055</v>
      </c>
      <c r="AK121" s="292">
        <f t="shared" si="52"/>
        <v>52234.510595576423</v>
      </c>
      <c r="AL121" s="289">
        <f t="shared" si="53"/>
        <v>-69427.239606129675</v>
      </c>
      <c r="AM121" s="287"/>
      <c r="AN121" s="287"/>
      <c r="AO121" s="290">
        <f>'Unit Savings Calculations'!P117</f>
        <v>13.190532978680915</v>
      </c>
      <c r="AP121" s="287" t="s">
        <v>764</v>
      </c>
      <c r="AQ121" s="292">
        <f t="shared" si="54"/>
        <v>52234.510595576423</v>
      </c>
      <c r="AR121" s="289">
        <f t="shared" si="55"/>
        <v>-69427.239606129675</v>
      </c>
      <c r="AS121" s="287"/>
      <c r="AT121" s="287"/>
      <c r="AU121" s="290">
        <f>'Unit Savings Calculations'!Q117</f>
        <v>13.190532978680915</v>
      </c>
      <c r="AV121" s="287" t="str">
        <f t="shared" si="56"/>
        <v>n/a</v>
      </c>
      <c r="AW121" s="292">
        <f t="shared" si="57"/>
        <v>52234.510595576423</v>
      </c>
      <c r="AX121" s="289">
        <f t="shared" si="58"/>
        <v>-69427.239606129675</v>
      </c>
      <c r="AY121" s="292">
        <f t="shared" si="59"/>
        <v>52234.510595576423</v>
      </c>
      <c r="AZ121" s="292">
        <f t="shared" si="60"/>
        <v>52234.510595576423</v>
      </c>
      <c r="BA121" s="292">
        <f t="shared" si="61"/>
        <v>52234.510595576423</v>
      </c>
      <c r="BB121" s="292">
        <f t="shared" si="62"/>
        <v>52234.510595576423</v>
      </c>
      <c r="BC121" s="294">
        <f t="shared" si="63"/>
        <v>208938.04238230569</v>
      </c>
      <c r="BD121" s="287" t="s">
        <v>764</v>
      </c>
      <c r="BE121" s="295" t="str">
        <f t="shared" si="64"/>
        <v>Exhibit 1.5B_R Peoples Gas EEPS_Adjustable_Savings_Goal_Template.xlsx, Unit Savings Calculations Tab</v>
      </c>
      <c r="BF121" s="297"/>
    </row>
    <row r="122" spans="1:58" ht="13.5" customHeight="1">
      <c r="A122" s="287" t="str">
        <f>'Unit Savings Calculations'!C118</f>
        <v>Res - MF PTA Rebates</v>
      </c>
      <c r="B122" s="287" t="str">
        <f>'Unit Savings Calculations'!D118</f>
        <v>Pipe Insulation - Hyd. Boiler Sm &lt;=1.25"</v>
      </c>
      <c r="C122" s="288">
        <f t="shared" si="66"/>
        <v>1</v>
      </c>
      <c r="D122" s="287" t="str">
        <f>'Unit Savings Calculations'!T118</f>
        <v>4.4.14</v>
      </c>
      <c r="E122" s="287">
        <f>INDEX('Unit Savings Calculations'!$H$4:$H$421,MATCH('Measure-Level Adjustments Tab'!$A122&amp;"_"&amp;'Measure-Level Adjustments Tab'!$B122,'Unit Savings Calculations'!$A$4:$A$421,0))</f>
        <v>15</v>
      </c>
      <c r="F122" s="287">
        <f>INDEX('Unit Savings Calculations'!$I$4:$I$421,MATCH('Measure-Level Adjustments Tab'!A122&amp;"_"&amp;'Measure-Level Adjustments Tab'!B122,'Unit Savings Calculations'!$A$4:$A$421,0))</f>
        <v>15</v>
      </c>
      <c r="G122" s="287" t="str">
        <f>'Unit Savings Calculations'!E118</f>
        <v>ft</v>
      </c>
      <c r="H122" s="289">
        <f>'Unit Savings Calculations'!$F118*'Unit Savings Calculations'!J118</f>
        <v>3975</v>
      </c>
      <c r="I122" s="289">
        <f>'Unit Savings Calculations'!$F118*'Unit Savings Calculations'!K118</f>
        <v>3975</v>
      </c>
      <c r="J122" s="289">
        <f>'Unit Savings Calculations'!$F118*'Unit Savings Calculations'!L118</f>
        <v>3975</v>
      </c>
      <c r="K122" s="289">
        <f>'Unit Savings Calculations'!$F118*'Unit Savings Calculations'!M118</f>
        <v>3975</v>
      </c>
      <c r="L122" s="287" t="str">
        <f>'Unit Savings Calculations'!U118</f>
        <v>CI-HVC-PINS-V04-160601</v>
      </c>
      <c r="M122" s="363" t="s">
        <v>831</v>
      </c>
      <c r="N122" s="290">
        <v>2.3011493874643869</v>
      </c>
      <c r="O122" s="290">
        <v>2.3011493874643869</v>
      </c>
      <c r="P122" s="290">
        <v>2.3011493874643869</v>
      </c>
      <c r="Q122" s="290">
        <v>2.3011493874643869</v>
      </c>
      <c r="R122" s="291">
        <f>'Unit Savings Calculations'!$G118</f>
        <v>0.88</v>
      </c>
      <c r="S122" s="291">
        <f>'Unit Savings Calculations'!$G118</f>
        <v>0.88</v>
      </c>
      <c r="T122" s="291">
        <f>'Unit Savings Calculations'!$G118</f>
        <v>0.88</v>
      </c>
      <c r="U122" s="291">
        <f>'Unit Savings Calculations'!$G118</f>
        <v>0.88</v>
      </c>
      <c r="V122" s="292">
        <f t="shared" si="67"/>
        <v>8049.420557350426</v>
      </c>
      <c r="W122" s="292">
        <f t="shared" si="68"/>
        <v>8049.420557350426</v>
      </c>
      <c r="X122" s="292">
        <f t="shared" si="69"/>
        <v>8049.420557350426</v>
      </c>
      <c r="Y122" s="292">
        <f t="shared" si="70"/>
        <v>8049.420557350426</v>
      </c>
      <c r="Z122" s="292">
        <f t="shared" si="71"/>
        <v>32197.682229401704</v>
      </c>
      <c r="AA122" s="287"/>
      <c r="AB122" s="287"/>
      <c r="AC122" s="293">
        <f>'Unit Savings Calculations'!N118</f>
        <v>2.3011493874643869</v>
      </c>
      <c r="AD122" s="287"/>
      <c r="AE122" s="292">
        <f t="shared" si="49"/>
        <v>8049.420557350426</v>
      </c>
      <c r="AF122" s="289">
        <f t="shared" si="50"/>
        <v>0</v>
      </c>
      <c r="AG122" s="287"/>
      <c r="AH122" s="287">
        <f t="shared" si="51"/>
        <v>0</v>
      </c>
      <c r="AI122" s="290">
        <f>'Unit Savings Calculations'!O118</f>
        <v>2.3011493874643869</v>
      </c>
      <c r="AJ122" s="287" t="s">
        <v>872</v>
      </c>
      <c r="AK122" s="292">
        <f t="shared" si="52"/>
        <v>8049.420557350426</v>
      </c>
      <c r="AL122" s="289">
        <f t="shared" si="53"/>
        <v>0</v>
      </c>
      <c r="AM122" s="287"/>
      <c r="AN122" s="287"/>
      <c r="AO122" s="290">
        <f>'Unit Savings Calculations'!P118</f>
        <v>2.3011493874643869</v>
      </c>
      <c r="AP122" s="287" t="s">
        <v>764</v>
      </c>
      <c r="AQ122" s="292">
        <f t="shared" si="54"/>
        <v>8049.420557350426</v>
      </c>
      <c r="AR122" s="289">
        <f t="shared" si="55"/>
        <v>0</v>
      </c>
      <c r="AS122" s="287"/>
      <c r="AT122" s="287"/>
      <c r="AU122" s="290">
        <f>'Unit Savings Calculations'!Q118</f>
        <v>2.3011493874643869</v>
      </c>
      <c r="AV122" s="287" t="str">
        <f t="shared" si="56"/>
        <v>n/a</v>
      </c>
      <c r="AW122" s="292">
        <f t="shared" si="57"/>
        <v>8049.420557350426</v>
      </c>
      <c r="AX122" s="289">
        <f t="shared" si="58"/>
        <v>0</v>
      </c>
      <c r="AY122" s="292">
        <f t="shared" si="59"/>
        <v>8049.420557350426</v>
      </c>
      <c r="AZ122" s="292">
        <f t="shared" si="60"/>
        <v>8049.420557350426</v>
      </c>
      <c r="BA122" s="292">
        <f t="shared" si="61"/>
        <v>8049.420557350426</v>
      </c>
      <c r="BB122" s="292">
        <f t="shared" si="62"/>
        <v>8049.420557350426</v>
      </c>
      <c r="BC122" s="294">
        <f t="shared" si="63"/>
        <v>32197.682229401704</v>
      </c>
      <c r="BD122" s="287" t="s">
        <v>764</v>
      </c>
      <c r="BE122" s="295" t="str">
        <f t="shared" si="64"/>
        <v>Exhibit 1.5B_R Peoples Gas EEPS_Adjustable_Savings_Goal_Template.xlsx,Pipe Insulation Detail Tab</v>
      </c>
      <c r="BF122" s="297"/>
    </row>
    <row r="123" spans="1:58" ht="13.5" customHeight="1">
      <c r="A123" s="287" t="str">
        <f>'Unit Savings Calculations'!C119</f>
        <v>Res - MF PTA Rebates</v>
      </c>
      <c r="B123" s="287" t="str">
        <f>'Unit Savings Calculations'!D119</f>
        <v>Pipe Insulation - Hyd. Boiler Med 1.25-2"</v>
      </c>
      <c r="C123" s="288">
        <f t="shared" si="66"/>
        <v>1</v>
      </c>
      <c r="D123" s="287" t="str">
        <f>'Unit Savings Calculations'!T119</f>
        <v>4.4.14</v>
      </c>
      <c r="E123" s="287">
        <f>INDEX('Unit Savings Calculations'!$H$4:$H$421,MATCH('Measure-Level Adjustments Tab'!$A123&amp;"_"&amp;'Measure-Level Adjustments Tab'!$B123,'Unit Savings Calculations'!$A$4:$A$421,0))</f>
        <v>15</v>
      </c>
      <c r="F123" s="287">
        <f>INDEX('Unit Savings Calculations'!$I$4:$I$421,MATCH('Measure-Level Adjustments Tab'!A123&amp;"_"&amp;'Measure-Level Adjustments Tab'!B123,'Unit Savings Calculations'!$A$4:$A$421,0))</f>
        <v>15</v>
      </c>
      <c r="G123" s="287" t="str">
        <f>'Unit Savings Calculations'!E119</f>
        <v>ft</v>
      </c>
      <c r="H123" s="289">
        <f>'Unit Savings Calculations'!$F119*'Unit Savings Calculations'!J119</f>
        <v>4500</v>
      </c>
      <c r="I123" s="289">
        <f>'Unit Savings Calculations'!$F119*'Unit Savings Calculations'!K119</f>
        <v>4500</v>
      </c>
      <c r="J123" s="289">
        <f>'Unit Savings Calculations'!$F119*'Unit Savings Calculations'!L119</f>
        <v>4500</v>
      </c>
      <c r="K123" s="289">
        <f>'Unit Savings Calculations'!$F119*'Unit Savings Calculations'!M119</f>
        <v>4500</v>
      </c>
      <c r="L123" s="287" t="str">
        <f>'Unit Savings Calculations'!U119</f>
        <v>CI-HVC-PINS-V04-160601</v>
      </c>
      <c r="M123" s="363" t="s">
        <v>831</v>
      </c>
      <c r="N123" s="290">
        <v>3.6034773504273505</v>
      </c>
      <c r="O123" s="290">
        <v>3.6034773504273505</v>
      </c>
      <c r="P123" s="290">
        <v>3.6034773504273505</v>
      </c>
      <c r="Q123" s="290">
        <v>3.6034773504273505</v>
      </c>
      <c r="R123" s="291">
        <f>'Unit Savings Calculations'!$G119</f>
        <v>0.88</v>
      </c>
      <c r="S123" s="291">
        <f>'Unit Savings Calculations'!$G119</f>
        <v>0.88</v>
      </c>
      <c r="T123" s="291">
        <f>'Unit Savings Calculations'!$G119</f>
        <v>0.88</v>
      </c>
      <c r="U123" s="291">
        <f>'Unit Savings Calculations'!$G119</f>
        <v>0.88</v>
      </c>
      <c r="V123" s="292">
        <f t="shared" si="67"/>
        <v>14269.770307692308</v>
      </c>
      <c r="W123" s="292">
        <f t="shared" si="68"/>
        <v>14269.770307692308</v>
      </c>
      <c r="X123" s="292">
        <f t="shared" si="69"/>
        <v>14269.770307692308</v>
      </c>
      <c r="Y123" s="292">
        <f t="shared" si="70"/>
        <v>14269.770307692308</v>
      </c>
      <c r="Z123" s="292">
        <f t="shared" si="71"/>
        <v>57079.081230769232</v>
      </c>
      <c r="AA123" s="287"/>
      <c r="AB123" s="287"/>
      <c r="AC123" s="293">
        <f>'Unit Savings Calculations'!N119</f>
        <v>3.6034773504273505</v>
      </c>
      <c r="AD123" s="287"/>
      <c r="AE123" s="292">
        <f t="shared" si="49"/>
        <v>14269.770307692308</v>
      </c>
      <c r="AF123" s="289">
        <f t="shared" si="50"/>
        <v>0</v>
      </c>
      <c r="AG123" s="287"/>
      <c r="AH123" s="287">
        <f t="shared" si="51"/>
        <v>0</v>
      </c>
      <c r="AI123" s="290">
        <f>'Unit Savings Calculations'!O119</f>
        <v>3.6034773504273505</v>
      </c>
      <c r="AJ123" s="287" t="s">
        <v>872</v>
      </c>
      <c r="AK123" s="292">
        <f t="shared" si="52"/>
        <v>14269.770307692308</v>
      </c>
      <c r="AL123" s="289">
        <f t="shared" si="53"/>
        <v>0</v>
      </c>
      <c r="AM123" s="287"/>
      <c r="AN123" s="287"/>
      <c r="AO123" s="290">
        <f>'Unit Savings Calculations'!P119</f>
        <v>3.6034773504273505</v>
      </c>
      <c r="AP123" s="287" t="s">
        <v>764</v>
      </c>
      <c r="AQ123" s="292">
        <f t="shared" si="54"/>
        <v>14269.770307692308</v>
      </c>
      <c r="AR123" s="289">
        <f t="shared" si="55"/>
        <v>0</v>
      </c>
      <c r="AS123" s="287"/>
      <c r="AT123" s="287"/>
      <c r="AU123" s="290">
        <f>'Unit Savings Calculations'!Q119</f>
        <v>3.6034773504273505</v>
      </c>
      <c r="AV123" s="287" t="str">
        <f t="shared" si="56"/>
        <v>n/a</v>
      </c>
      <c r="AW123" s="292">
        <f t="shared" si="57"/>
        <v>14269.770307692308</v>
      </c>
      <c r="AX123" s="289">
        <f t="shared" si="58"/>
        <v>0</v>
      </c>
      <c r="AY123" s="292">
        <f t="shared" si="59"/>
        <v>14269.770307692308</v>
      </c>
      <c r="AZ123" s="292">
        <f t="shared" si="60"/>
        <v>14269.770307692308</v>
      </c>
      <c r="BA123" s="292">
        <f t="shared" si="61"/>
        <v>14269.770307692308</v>
      </c>
      <c r="BB123" s="292">
        <f t="shared" si="62"/>
        <v>14269.770307692308</v>
      </c>
      <c r="BC123" s="294">
        <f t="shared" si="63"/>
        <v>57079.081230769232</v>
      </c>
      <c r="BD123" s="287" t="s">
        <v>764</v>
      </c>
      <c r="BE123" s="295" t="str">
        <f t="shared" si="64"/>
        <v>Exhibit 1.5B_R Peoples Gas EEPS_Adjustable_Savings_Goal_Template.xlsx,Pipe Insulation Detail Tab</v>
      </c>
      <c r="BF123" s="297"/>
    </row>
    <row r="124" spans="1:58" ht="13.5" customHeight="1">
      <c r="A124" s="287" t="str">
        <f>'Unit Savings Calculations'!C120</f>
        <v>Res - MF PTA Rebates</v>
      </c>
      <c r="B124" s="287" t="str">
        <f>'Unit Savings Calculations'!D120</f>
        <v>Pipe Insulation - Hyd. Boiler Large ≥2"</v>
      </c>
      <c r="C124" s="288">
        <f t="shared" si="66"/>
        <v>1</v>
      </c>
      <c r="D124" s="287" t="str">
        <f>'Unit Savings Calculations'!T120</f>
        <v>4.4.14</v>
      </c>
      <c r="E124" s="287">
        <f>INDEX('Unit Savings Calculations'!$H$4:$H$421,MATCH('Measure-Level Adjustments Tab'!$A124&amp;"_"&amp;'Measure-Level Adjustments Tab'!$B124,'Unit Savings Calculations'!$A$4:$A$421,0))</f>
        <v>15</v>
      </c>
      <c r="F124" s="287">
        <f>INDEX('Unit Savings Calculations'!$I$4:$I$421,MATCH('Measure-Level Adjustments Tab'!A124&amp;"_"&amp;'Measure-Level Adjustments Tab'!B124,'Unit Savings Calculations'!$A$4:$A$421,0))</f>
        <v>15</v>
      </c>
      <c r="G124" s="287" t="str">
        <f>'Unit Savings Calculations'!E120</f>
        <v>ft</v>
      </c>
      <c r="H124" s="289">
        <f>'Unit Savings Calculations'!$F120*'Unit Savings Calculations'!J120</f>
        <v>2400</v>
      </c>
      <c r="I124" s="289">
        <f>'Unit Savings Calculations'!$F120*'Unit Savings Calculations'!K120</f>
        <v>2400</v>
      </c>
      <c r="J124" s="289">
        <f>'Unit Savings Calculations'!$F120*'Unit Savings Calculations'!L120</f>
        <v>2400</v>
      </c>
      <c r="K124" s="289">
        <f>'Unit Savings Calculations'!$F120*'Unit Savings Calculations'!M120</f>
        <v>2400</v>
      </c>
      <c r="L124" s="287" t="str">
        <f>'Unit Savings Calculations'!U120</f>
        <v>CI-HVC-PINS-V04-160601</v>
      </c>
      <c r="M124" s="363" t="s">
        <v>831</v>
      </c>
      <c r="N124" s="290">
        <v>6.1867824786324785</v>
      </c>
      <c r="O124" s="290">
        <v>6.1867824786324785</v>
      </c>
      <c r="P124" s="290">
        <v>6.1867824786324785</v>
      </c>
      <c r="Q124" s="290">
        <v>6.1867824786324785</v>
      </c>
      <c r="R124" s="291">
        <f>'Unit Savings Calculations'!$G120</f>
        <v>0.88</v>
      </c>
      <c r="S124" s="291">
        <f>'Unit Savings Calculations'!$G120</f>
        <v>0.88</v>
      </c>
      <c r="T124" s="291">
        <f>'Unit Savings Calculations'!$G120</f>
        <v>0.88</v>
      </c>
      <c r="U124" s="291">
        <f>'Unit Savings Calculations'!$G120</f>
        <v>0.88</v>
      </c>
      <c r="V124" s="292">
        <f t="shared" si="67"/>
        <v>13066.484594871796</v>
      </c>
      <c r="W124" s="292">
        <f t="shared" si="68"/>
        <v>13066.484594871796</v>
      </c>
      <c r="X124" s="292">
        <f t="shared" si="69"/>
        <v>13066.484594871796</v>
      </c>
      <c r="Y124" s="292">
        <f t="shared" si="70"/>
        <v>13066.484594871796</v>
      </c>
      <c r="Z124" s="292">
        <f t="shared" si="71"/>
        <v>52265.938379487183</v>
      </c>
      <c r="AA124" s="287"/>
      <c r="AB124" s="287"/>
      <c r="AC124" s="293">
        <f>'Unit Savings Calculations'!N120</f>
        <v>6.1867824786324785</v>
      </c>
      <c r="AD124" s="287"/>
      <c r="AE124" s="292">
        <f t="shared" si="49"/>
        <v>13066.484594871796</v>
      </c>
      <c r="AF124" s="289">
        <f t="shared" si="50"/>
        <v>0</v>
      </c>
      <c r="AG124" s="287"/>
      <c r="AH124" s="287">
        <f t="shared" si="51"/>
        <v>0</v>
      </c>
      <c r="AI124" s="290">
        <f>'Unit Savings Calculations'!O120</f>
        <v>6.1867824786324785</v>
      </c>
      <c r="AJ124" s="287" t="s">
        <v>872</v>
      </c>
      <c r="AK124" s="292">
        <f t="shared" si="52"/>
        <v>13066.484594871796</v>
      </c>
      <c r="AL124" s="289">
        <f t="shared" si="53"/>
        <v>0</v>
      </c>
      <c r="AM124" s="287"/>
      <c r="AN124" s="287"/>
      <c r="AO124" s="290">
        <f>'Unit Savings Calculations'!P120</f>
        <v>6.1867824786324785</v>
      </c>
      <c r="AP124" s="287" t="s">
        <v>764</v>
      </c>
      <c r="AQ124" s="292">
        <f t="shared" si="54"/>
        <v>13066.484594871796</v>
      </c>
      <c r="AR124" s="289">
        <f t="shared" si="55"/>
        <v>0</v>
      </c>
      <c r="AS124" s="287"/>
      <c r="AT124" s="287"/>
      <c r="AU124" s="290">
        <f>'Unit Savings Calculations'!Q120</f>
        <v>6.1867824786324785</v>
      </c>
      <c r="AV124" s="287" t="str">
        <f t="shared" si="56"/>
        <v>n/a</v>
      </c>
      <c r="AW124" s="292">
        <f t="shared" si="57"/>
        <v>13066.484594871796</v>
      </c>
      <c r="AX124" s="289">
        <f t="shared" si="58"/>
        <v>0</v>
      </c>
      <c r="AY124" s="292">
        <f t="shared" si="59"/>
        <v>13066.484594871796</v>
      </c>
      <c r="AZ124" s="292">
        <f t="shared" si="60"/>
        <v>13066.484594871796</v>
      </c>
      <c r="BA124" s="292">
        <f t="shared" si="61"/>
        <v>13066.484594871796</v>
      </c>
      <c r="BB124" s="292">
        <f t="shared" si="62"/>
        <v>13066.484594871796</v>
      </c>
      <c r="BC124" s="294">
        <f t="shared" si="63"/>
        <v>52265.938379487183</v>
      </c>
      <c r="BD124" s="287" t="s">
        <v>764</v>
      </c>
      <c r="BE124" s="295" t="str">
        <f t="shared" si="64"/>
        <v>Exhibit 1.5B_R Peoples Gas EEPS_Adjustable_Savings_Goal_Template.xlsx,Pipe Insulation Detail Tab</v>
      </c>
      <c r="BF124" s="297"/>
    </row>
    <row r="125" spans="1:58" ht="13.5" customHeight="1">
      <c r="A125" s="287" t="str">
        <f>'Unit Savings Calculations'!C121</f>
        <v>Res - MF PTA Rebates</v>
      </c>
      <c r="B125" s="287" t="str">
        <f>'Unit Savings Calculations'!D121</f>
        <v>Pipe Insulation - HW Small 1" to 2"</v>
      </c>
      <c r="C125" s="288">
        <f t="shared" si="66"/>
        <v>1</v>
      </c>
      <c r="D125" s="287" t="str">
        <f>'Unit Savings Calculations'!T121</f>
        <v>4.4.14</v>
      </c>
      <c r="E125" s="287">
        <f>INDEX('Unit Savings Calculations'!$H$4:$H$421,MATCH('Measure-Level Adjustments Tab'!$A125&amp;"_"&amp;'Measure-Level Adjustments Tab'!$B125,'Unit Savings Calculations'!$A$4:$A$421,0))</f>
        <v>15</v>
      </c>
      <c r="F125" s="287">
        <f>INDEX('Unit Savings Calculations'!$I$4:$I$421,MATCH('Measure-Level Adjustments Tab'!A125&amp;"_"&amp;'Measure-Level Adjustments Tab'!B125,'Unit Savings Calculations'!$A$4:$A$421,0))</f>
        <v>15</v>
      </c>
      <c r="G125" s="287" t="str">
        <f>'Unit Savings Calculations'!E121</f>
        <v>ft</v>
      </c>
      <c r="H125" s="289">
        <f>'Unit Savings Calculations'!$F121*'Unit Savings Calculations'!J121</f>
        <v>675</v>
      </c>
      <c r="I125" s="289">
        <f>'Unit Savings Calculations'!$F121*'Unit Savings Calculations'!K121</f>
        <v>675</v>
      </c>
      <c r="J125" s="289">
        <f>'Unit Savings Calculations'!$F121*'Unit Savings Calculations'!L121</f>
        <v>675</v>
      </c>
      <c r="K125" s="289">
        <f>'Unit Savings Calculations'!$F121*'Unit Savings Calculations'!M121</f>
        <v>675</v>
      </c>
      <c r="L125" s="287" t="str">
        <f>'Unit Savings Calculations'!U121</f>
        <v>CI-HVC-PINS-V04-160601</v>
      </c>
      <c r="M125" s="363" t="s">
        <v>831</v>
      </c>
      <c r="N125" s="290">
        <v>3.1358228800964363</v>
      </c>
      <c r="O125" s="290">
        <v>3.1358228800964363</v>
      </c>
      <c r="P125" s="290">
        <v>3.1358228800964363</v>
      </c>
      <c r="Q125" s="290">
        <v>3.1358228800964363</v>
      </c>
      <c r="R125" s="291">
        <f>'Unit Savings Calculations'!$G121</f>
        <v>0.88</v>
      </c>
      <c r="S125" s="291">
        <f>'Unit Savings Calculations'!$G121</f>
        <v>0.88</v>
      </c>
      <c r="T125" s="291">
        <f>'Unit Savings Calculations'!$G121</f>
        <v>0.88</v>
      </c>
      <c r="U125" s="291">
        <f>'Unit Savings Calculations'!$G121</f>
        <v>0.88</v>
      </c>
      <c r="V125" s="292">
        <f t="shared" si="67"/>
        <v>1862.6787907772832</v>
      </c>
      <c r="W125" s="292">
        <f t="shared" si="68"/>
        <v>1862.6787907772832</v>
      </c>
      <c r="X125" s="292">
        <f t="shared" si="69"/>
        <v>1862.6787907772832</v>
      </c>
      <c r="Y125" s="292">
        <f t="shared" si="70"/>
        <v>1862.6787907772832</v>
      </c>
      <c r="Z125" s="292">
        <f t="shared" si="71"/>
        <v>7450.7151631091328</v>
      </c>
      <c r="AA125" s="287"/>
      <c r="AB125" s="287"/>
      <c r="AC125" s="293">
        <f>'Unit Savings Calculations'!N121</f>
        <v>3.1358228800964363</v>
      </c>
      <c r="AD125" s="287"/>
      <c r="AE125" s="292">
        <f t="shared" si="49"/>
        <v>1862.6787907772832</v>
      </c>
      <c r="AF125" s="289">
        <f t="shared" si="50"/>
        <v>0</v>
      </c>
      <c r="AG125" s="287"/>
      <c r="AH125" s="287">
        <f t="shared" si="51"/>
        <v>0</v>
      </c>
      <c r="AI125" s="290">
        <f>'Unit Savings Calculations'!O121</f>
        <v>3.1358228800964363</v>
      </c>
      <c r="AJ125" s="287" t="s">
        <v>872</v>
      </c>
      <c r="AK125" s="292">
        <f t="shared" si="52"/>
        <v>1862.6787907772832</v>
      </c>
      <c r="AL125" s="289">
        <f t="shared" si="53"/>
        <v>0</v>
      </c>
      <c r="AM125" s="287"/>
      <c r="AN125" s="287"/>
      <c r="AO125" s="290">
        <f>'Unit Savings Calculations'!P121</f>
        <v>3.1358228800964363</v>
      </c>
      <c r="AP125" s="287" t="s">
        <v>764</v>
      </c>
      <c r="AQ125" s="292">
        <f t="shared" si="54"/>
        <v>1862.6787907772832</v>
      </c>
      <c r="AR125" s="289">
        <f t="shared" si="55"/>
        <v>0</v>
      </c>
      <c r="AS125" s="287"/>
      <c r="AT125" s="287"/>
      <c r="AU125" s="290">
        <f>'Unit Savings Calculations'!Q121</f>
        <v>3.1358228800964363</v>
      </c>
      <c r="AV125" s="287" t="str">
        <f t="shared" si="56"/>
        <v>n/a</v>
      </c>
      <c r="AW125" s="292">
        <f t="shared" si="57"/>
        <v>1862.6787907772832</v>
      </c>
      <c r="AX125" s="289">
        <f t="shared" si="58"/>
        <v>0</v>
      </c>
      <c r="AY125" s="292">
        <f t="shared" si="59"/>
        <v>1862.6787907772832</v>
      </c>
      <c r="AZ125" s="292">
        <f t="shared" si="60"/>
        <v>1862.6787907772832</v>
      </c>
      <c r="BA125" s="292">
        <f t="shared" si="61"/>
        <v>1862.6787907772832</v>
      </c>
      <c r="BB125" s="292">
        <f t="shared" si="62"/>
        <v>1862.6787907772832</v>
      </c>
      <c r="BC125" s="294">
        <f t="shared" si="63"/>
        <v>7450.7151631091328</v>
      </c>
      <c r="BD125" s="287" t="s">
        <v>764</v>
      </c>
      <c r="BE125" s="295" t="str">
        <f t="shared" si="64"/>
        <v>Exhibit 1.5B_R Peoples Gas EEPS_Adjustable_Savings_Goal_Template.xlsx,Pipe Insulation Detail Tab</v>
      </c>
      <c r="BF125" s="297"/>
    </row>
    <row r="126" spans="1:58" ht="13.5" customHeight="1">
      <c r="A126" s="287" t="str">
        <f>'Unit Savings Calculations'!C122</f>
        <v>Res - MF PTA Rebates</v>
      </c>
      <c r="B126" s="287" t="str">
        <f>'Unit Savings Calculations'!D122</f>
        <v>Pipe Insulation - HW Medium 2.1" to 4"</v>
      </c>
      <c r="C126" s="288">
        <f t="shared" si="66"/>
        <v>1</v>
      </c>
      <c r="D126" s="287" t="str">
        <f>'Unit Savings Calculations'!T122</f>
        <v>4.4.14</v>
      </c>
      <c r="E126" s="287">
        <f>INDEX('Unit Savings Calculations'!$H$4:$H$421,MATCH('Measure-Level Adjustments Tab'!$A126&amp;"_"&amp;'Measure-Level Adjustments Tab'!$B126,'Unit Savings Calculations'!$A$4:$A$421,0))</f>
        <v>15</v>
      </c>
      <c r="F126" s="287">
        <f>INDEX('Unit Savings Calculations'!$I$4:$I$421,MATCH('Measure-Level Adjustments Tab'!A126&amp;"_"&amp;'Measure-Level Adjustments Tab'!B126,'Unit Savings Calculations'!$A$4:$A$421,0))</f>
        <v>15</v>
      </c>
      <c r="G126" s="287" t="str">
        <f>'Unit Savings Calculations'!E122</f>
        <v>ft</v>
      </c>
      <c r="H126" s="289">
        <f>'Unit Savings Calculations'!$F122*'Unit Savings Calculations'!J122</f>
        <v>750</v>
      </c>
      <c r="I126" s="289">
        <f>'Unit Savings Calculations'!$F122*'Unit Savings Calculations'!K122</f>
        <v>750</v>
      </c>
      <c r="J126" s="289">
        <f>'Unit Savings Calculations'!$F122*'Unit Savings Calculations'!L122</f>
        <v>750</v>
      </c>
      <c r="K126" s="289">
        <f>'Unit Savings Calculations'!$F122*'Unit Savings Calculations'!M122</f>
        <v>750</v>
      </c>
      <c r="L126" s="287" t="str">
        <f>'Unit Savings Calculations'!U122</f>
        <v>CI-HVC-PINS-V04-160601</v>
      </c>
      <c r="M126" s="363" t="s">
        <v>831</v>
      </c>
      <c r="N126" s="290">
        <v>6.1942373572810965</v>
      </c>
      <c r="O126" s="290">
        <v>6.1942373572810965</v>
      </c>
      <c r="P126" s="290">
        <v>6.1942373572810965</v>
      </c>
      <c r="Q126" s="290">
        <v>6.1942373572810965</v>
      </c>
      <c r="R126" s="291">
        <f>'Unit Savings Calculations'!$G122</f>
        <v>0.88</v>
      </c>
      <c r="S126" s="291">
        <f>'Unit Savings Calculations'!$G122</f>
        <v>0.88</v>
      </c>
      <c r="T126" s="291">
        <f>'Unit Savings Calculations'!$G122</f>
        <v>0.88</v>
      </c>
      <c r="U126" s="291">
        <f>'Unit Savings Calculations'!$G122</f>
        <v>0.88</v>
      </c>
      <c r="V126" s="292">
        <f t="shared" si="67"/>
        <v>4088.1966558055237</v>
      </c>
      <c r="W126" s="292">
        <f t="shared" si="68"/>
        <v>4088.1966558055237</v>
      </c>
      <c r="X126" s="292">
        <f t="shared" si="69"/>
        <v>4088.1966558055237</v>
      </c>
      <c r="Y126" s="292">
        <f t="shared" si="70"/>
        <v>4088.1966558055237</v>
      </c>
      <c r="Z126" s="292">
        <f t="shared" si="71"/>
        <v>16352.786623222095</v>
      </c>
      <c r="AA126" s="287"/>
      <c r="AB126" s="287"/>
      <c r="AC126" s="293">
        <f>'Unit Savings Calculations'!N122</f>
        <v>6.1942373572810965</v>
      </c>
      <c r="AD126" s="287"/>
      <c r="AE126" s="292">
        <f t="shared" si="49"/>
        <v>4088.1966558055237</v>
      </c>
      <c r="AF126" s="289">
        <f t="shared" si="50"/>
        <v>0</v>
      </c>
      <c r="AG126" s="287"/>
      <c r="AH126" s="287">
        <f t="shared" si="51"/>
        <v>0</v>
      </c>
      <c r="AI126" s="290">
        <f>'Unit Savings Calculations'!O122</f>
        <v>6.1942373572810965</v>
      </c>
      <c r="AJ126" s="287" t="s">
        <v>872</v>
      </c>
      <c r="AK126" s="292">
        <f t="shared" si="52"/>
        <v>4088.1966558055237</v>
      </c>
      <c r="AL126" s="289">
        <f t="shared" si="53"/>
        <v>0</v>
      </c>
      <c r="AM126" s="287"/>
      <c r="AN126" s="287"/>
      <c r="AO126" s="290">
        <f>'Unit Savings Calculations'!P122</f>
        <v>6.1942373572810965</v>
      </c>
      <c r="AP126" s="287" t="s">
        <v>764</v>
      </c>
      <c r="AQ126" s="292">
        <f t="shared" si="54"/>
        <v>4088.1966558055237</v>
      </c>
      <c r="AR126" s="289">
        <f t="shared" si="55"/>
        <v>0</v>
      </c>
      <c r="AS126" s="287"/>
      <c r="AT126" s="287"/>
      <c r="AU126" s="290">
        <f>'Unit Savings Calculations'!Q122</f>
        <v>6.1942373572810965</v>
      </c>
      <c r="AV126" s="287" t="str">
        <f t="shared" si="56"/>
        <v>n/a</v>
      </c>
      <c r="AW126" s="292">
        <f t="shared" si="57"/>
        <v>4088.1966558055237</v>
      </c>
      <c r="AX126" s="289">
        <f t="shared" si="58"/>
        <v>0</v>
      </c>
      <c r="AY126" s="292">
        <f t="shared" si="59"/>
        <v>4088.1966558055237</v>
      </c>
      <c r="AZ126" s="292">
        <f t="shared" si="60"/>
        <v>4088.1966558055237</v>
      </c>
      <c r="BA126" s="292">
        <f t="shared" si="61"/>
        <v>4088.1966558055237</v>
      </c>
      <c r="BB126" s="292">
        <f t="shared" si="62"/>
        <v>4088.1966558055237</v>
      </c>
      <c r="BC126" s="294">
        <f t="shared" si="63"/>
        <v>16352.786623222095</v>
      </c>
      <c r="BD126" s="287" t="s">
        <v>764</v>
      </c>
      <c r="BE126" s="295" t="str">
        <f t="shared" si="64"/>
        <v>Exhibit 1.5B_R Peoples Gas EEPS_Adjustable_Savings_Goal_Template.xlsx,Pipe Insulation Detail Tab</v>
      </c>
      <c r="BF126" s="297"/>
    </row>
    <row r="127" spans="1:58" ht="13.5" customHeight="1">
      <c r="A127" s="287" t="str">
        <f>'Unit Savings Calculations'!C123</f>
        <v>Res - MF PTA Rebates</v>
      </c>
      <c r="B127" s="287" t="str">
        <f>'Unit Savings Calculations'!D123</f>
        <v>Pipe Insulation - HW Large &gt;4"</v>
      </c>
      <c r="C127" s="288">
        <f t="shared" si="66"/>
        <v>1</v>
      </c>
      <c r="D127" s="287" t="str">
        <f>'Unit Savings Calculations'!T123</f>
        <v>4.4.14</v>
      </c>
      <c r="E127" s="287">
        <f>INDEX('Unit Savings Calculations'!$H$4:$H$421,MATCH('Measure-Level Adjustments Tab'!$A127&amp;"_"&amp;'Measure-Level Adjustments Tab'!$B127,'Unit Savings Calculations'!$A$4:$A$421,0))</f>
        <v>15</v>
      </c>
      <c r="F127" s="287">
        <f>INDEX('Unit Savings Calculations'!$I$4:$I$421,MATCH('Measure-Level Adjustments Tab'!A127&amp;"_"&amp;'Measure-Level Adjustments Tab'!B127,'Unit Savings Calculations'!$A$4:$A$421,0))</f>
        <v>15</v>
      </c>
      <c r="G127" s="287" t="str">
        <f>'Unit Savings Calculations'!E123</f>
        <v>ft</v>
      </c>
      <c r="H127" s="289">
        <f>'Unit Savings Calculations'!$F123*'Unit Savings Calculations'!J123</f>
        <v>300</v>
      </c>
      <c r="I127" s="289">
        <f>'Unit Savings Calculations'!$F123*'Unit Savings Calculations'!K123</f>
        <v>300</v>
      </c>
      <c r="J127" s="289">
        <f>'Unit Savings Calculations'!$F123*'Unit Savings Calculations'!L123</f>
        <v>300</v>
      </c>
      <c r="K127" s="289">
        <f>'Unit Savings Calculations'!$F123*'Unit Savings Calculations'!M123</f>
        <v>300</v>
      </c>
      <c r="L127" s="287" t="str">
        <f>'Unit Savings Calculations'!U123</f>
        <v>CI-HVC-PINS-V04-160601</v>
      </c>
      <c r="M127" s="363" t="s">
        <v>831</v>
      </c>
      <c r="N127" s="290">
        <v>10.672873287490331</v>
      </c>
      <c r="O127" s="290">
        <v>10.672873287490331</v>
      </c>
      <c r="P127" s="290">
        <v>10.672873287490331</v>
      </c>
      <c r="Q127" s="290">
        <v>10.672873287490331</v>
      </c>
      <c r="R127" s="291">
        <f>'Unit Savings Calculations'!$G123</f>
        <v>0.88</v>
      </c>
      <c r="S127" s="291">
        <f>'Unit Savings Calculations'!$G123</f>
        <v>0.88</v>
      </c>
      <c r="T127" s="291">
        <f>'Unit Savings Calculations'!$G123</f>
        <v>0.88</v>
      </c>
      <c r="U127" s="291">
        <f>'Unit Savings Calculations'!$G123</f>
        <v>0.88</v>
      </c>
      <c r="V127" s="292">
        <f t="shared" si="67"/>
        <v>2817.6385478974471</v>
      </c>
      <c r="W127" s="292">
        <f t="shared" si="68"/>
        <v>2817.6385478974471</v>
      </c>
      <c r="X127" s="292">
        <f t="shared" si="69"/>
        <v>2817.6385478974471</v>
      </c>
      <c r="Y127" s="292">
        <f t="shared" si="70"/>
        <v>2817.6385478974471</v>
      </c>
      <c r="Z127" s="292">
        <f t="shared" si="71"/>
        <v>11270.554191589788</v>
      </c>
      <c r="AA127" s="287"/>
      <c r="AB127" s="287"/>
      <c r="AC127" s="293">
        <f>'Unit Savings Calculations'!N123</f>
        <v>10.672873287490331</v>
      </c>
      <c r="AD127" s="287"/>
      <c r="AE127" s="292">
        <f t="shared" si="49"/>
        <v>2817.6385478974471</v>
      </c>
      <c r="AF127" s="289">
        <f t="shared" si="50"/>
        <v>0</v>
      </c>
      <c r="AG127" s="287"/>
      <c r="AH127" s="287">
        <f t="shared" si="51"/>
        <v>0</v>
      </c>
      <c r="AI127" s="290">
        <f>'Unit Savings Calculations'!O123</f>
        <v>10.672873287490331</v>
      </c>
      <c r="AJ127" s="287" t="s">
        <v>872</v>
      </c>
      <c r="AK127" s="292">
        <f t="shared" si="52"/>
        <v>2817.6385478974471</v>
      </c>
      <c r="AL127" s="289">
        <f t="shared" si="53"/>
        <v>0</v>
      </c>
      <c r="AM127" s="287"/>
      <c r="AN127" s="287"/>
      <c r="AO127" s="290">
        <f>'Unit Savings Calculations'!P123</f>
        <v>10.672873287490331</v>
      </c>
      <c r="AP127" s="287" t="s">
        <v>764</v>
      </c>
      <c r="AQ127" s="292">
        <f t="shared" si="54"/>
        <v>2817.6385478974471</v>
      </c>
      <c r="AR127" s="289">
        <f t="shared" si="55"/>
        <v>0</v>
      </c>
      <c r="AS127" s="287"/>
      <c r="AT127" s="287"/>
      <c r="AU127" s="290">
        <f>'Unit Savings Calculations'!Q123</f>
        <v>10.672873287490331</v>
      </c>
      <c r="AV127" s="287" t="str">
        <f t="shared" si="56"/>
        <v>n/a</v>
      </c>
      <c r="AW127" s="292">
        <f t="shared" si="57"/>
        <v>2817.6385478974471</v>
      </c>
      <c r="AX127" s="289">
        <f t="shared" si="58"/>
        <v>0</v>
      </c>
      <c r="AY127" s="292">
        <f t="shared" si="59"/>
        <v>2817.6385478974471</v>
      </c>
      <c r="AZ127" s="292">
        <f t="shared" si="60"/>
        <v>2817.6385478974471</v>
      </c>
      <c r="BA127" s="292">
        <f t="shared" si="61"/>
        <v>2817.6385478974471</v>
      </c>
      <c r="BB127" s="292">
        <f t="shared" si="62"/>
        <v>2817.6385478974471</v>
      </c>
      <c r="BC127" s="294">
        <f t="shared" si="63"/>
        <v>11270.554191589788</v>
      </c>
      <c r="BD127" s="287" t="s">
        <v>764</v>
      </c>
      <c r="BE127" s="295" t="str">
        <f t="shared" si="64"/>
        <v>Exhibit 1.5B_R Peoples Gas EEPS_Adjustable_Savings_Goal_Template.xlsx,Pipe Insulation Detail Tab</v>
      </c>
      <c r="BF127" s="297"/>
    </row>
    <row r="128" spans="1:58" ht="13.5" customHeight="1">
      <c r="A128" s="287" t="str">
        <f>'Unit Savings Calculations'!C124</f>
        <v>Res - MF PTA Rebates</v>
      </c>
      <c r="B128" s="287" t="str">
        <f>'Unit Savings Calculations'!D124</f>
        <v>Pipe Insulation - Steam - Small 1" to 2"</v>
      </c>
      <c r="C128" s="288">
        <f t="shared" si="66"/>
        <v>1</v>
      </c>
      <c r="D128" s="287" t="str">
        <f>'Unit Savings Calculations'!T124</f>
        <v>4.4.14</v>
      </c>
      <c r="E128" s="287">
        <f>INDEX('Unit Savings Calculations'!$H$4:$H$421,MATCH('Measure-Level Adjustments Tab'!$A128&amp;"_"&amp;'Measure-Level Adjustments Tab'!$B128,'Unit Savings Calculations'!$A$4:$A$421,0))</f>
        <v>15</v>
      </c>
      <c r="F128" s="287">
        <f>INDEX('Unit Savings Calculations'!$I$4:$I$421,MATCH('Measure-Level Adjustments Tab'!A128&amp;"_"&amp;'Measure-Level Adjustments Tab'!B128,'Unit Savings Calculations'!$A$4:$A$421,0))</f>
        <v>15</v>
      </c>
      <c r="G128" s="287" t="str">
        <f>'Unit Savings Calculations'!E124</f>
        <v>ft</v>
      </c>
      <c r="H128" s="289">
        <f>'Unit Savings Calculations'!$F124*'Unit Savings Calculations'!J124</f>
        <v>24750</v>
      </c>
      <c r="I128" s="289">
        <f>'Unit Savings Calculations'!$F124*'Unit Savings Calculations'!K124</f>
        <v>24750</v>
      </c>
      <c r="J128" s="289">
        <f>'Unit Savings Calculations'!$F124*'Unit Savings Calculations'!L124</f>
        <v>24750</v>
      </c>
      <c r="K128" s="289">
        <f>'Unit Savings Calculations'!$F124*'Unit Savings Calculations'!M124</f>
        <v>24750</v>
      </c>
      <c r="L128" s="287" t="str">
        <f>'Unit Savings Calculations'!U124</f>
        <v>CI-HVC-PINS-V04-160601</v>
      </c>
      <c r="M128" s="363" t="s">
        <v>831</v>
      </c>
      <c r="N128" s="290">
        <v>3.967097058288509</v>
      </c>
      <c r="O128" s="290">
        <v>3.967097058288509</v>
      </c>
      <c r="P128" s="290">
        <v>3.967097058288509</v>
      </c>
      <c r="Q128" s="290">
        <v>3.967097058288509</v>
      </c>
      <c r="R128" s="291">
        <f>'Unit Savings Calculations'!$G124</f>
        <v>0.88</v>
      </c>
      <c r="S128" s="291">
        <f>'Unit Savings Calculations'!$G124</f>
        <v>0.88</v>
      </c>
      <c r="T128" s="291">
        <f>'Unit Savings Calculations'!$G124</f>
        <v>0.88</v>
      </c>
      <c r="U128" s="291">
        <f>'Unit Savings Calculations'!$G124</f>
        <v>0.88</v>
      </c>
      <c r="V128" s="292">
        <f t="shared" si="67"/>
        <v>86403.373929523732</v>
      </c>
      <c r="W128" s="292">
        <f t="shared" si="68"/>
        <v>86403.373929523732</v>
      </c>
      <c r="X128" s="292">
        <f t="shared" si="69"/>
        <v>86403.373929523732</v>
      </c>
      <c r="Y128" s="292">
        <f t="shared" si="70"/>
        <v>86403.373929523732</v>
      </c>
      <c r="Z128" s="292">
        <f t="shared" si="71"/>
        <v>345613.49571809493</v>
      </c>
      <c r="AA128" s="287"/>
      <c r="AB128" s="287"/>
      <c r="AC128" s="293">
        <f>'Unit Savings Calculations'!N124</f>
        <v>3.967097058288509</v>
      </c>
      <c r="AD128" s="287"/>
      <c r="AE128" s="292">
        <f t="shared" si="49"/>
        <v>86403.373929523732</v>
      </c>
      <c r="AF128" s="289">
        <f t="shared" si="50"/>
        <v>0</v>
      </c>
      <c r="AG128" s="287"/>
      <c r="AH128" s="287">
        <f t="shared" si="51"/>
        <v>0</v>
      </c>
      <c r="AI128" s="290">
        <f>'Unit Savings Calculations'!O124</f>
        <v>3.967097058288509</v>
      </c>
      <c r="AJ128" s="287" t="s">
        <v>872</v>
      </c>
      <c r="AK128" s="292">
        <f t="shared" si="52"/>
        <v>86403.373929523732</v>
      </c>
      <c r="AL128" s="289">
        <f t="shared" si="53"/>
        <v>0</v>
      </c>
      <c r="AM128" s="287"/>
      <c r="AN128" s="287"/>
      <c r="AO128" s="290">
        <f>'Unit Savings Calculations'!P124</f>
        <v>3.967097058288509</v>
      </c>
      <c r="AP128" s="287" t="s">
        <v>764</v>
      </c>
      <c r="AQ128" s="292">
        <f t="shared" si="54"/>
        <v>86403.373929523732</v>
      </c>
      <c r="AR128" s="289">
        <f t="shared" si="55"/>
        <v>0</v>
      </c>
      <c r="AS128" s="287"/>
      <c r="AT128" s="287"/>
      <c r="AU128" s="290">
        <f>'Unit Savings Calculations'!Q124</f>
        <v>3.967097058288509</v>
      </c>
      <c r="AV128" s="287" t="str">
        <f t="shared" si="56"/>
        <v>n/a</v>
      </c>
      <c r="AW128" s="292">
        <f t="shared" si="57"/>
        <v>86403.373929523732</v>
      </c>
      <c r="AX128" s="289">
        <f t="shared" si="58"/>
        <v>0</v>
      </c>
      <c r="AY128" s="292">
        <f t="shared" si="59"/>
        <v>86403.373929523732</v>
      </c>
      <c r="AZ128" s="292">
        <f t="shared" si="60"/>
        <v>86403.373929523732</v>
      </c>
      <c r="BA128" s="292">
        <f t="shared" si="61"/>
        <v>86403.373929523732</v>
      </c>
      <c r="BB128" s="292">
        <f t="shared" si="62"/>
        <v>86403.373929523732</v>
      </c>
      <c r="BC128" s="294">
        <f t="shared" si="63"/>
        <v>345613.49571809493</v>
      </c>
      <c r="BD128" s="287" t="s">
        <v>764</v>
      </c>
      <c r="BE128" s="295" t="str">
        <f t="shared" si="64"/>
        <v>Exhibit 1.5B_R Peoples Gas EEPS_Adjustable_Savings_Goal_Template.xlsx,Pipe Insulation Detail Tab</v>
      </c>
      <c r="BF128" s="297"/>
    </row>
    <row r="129" spans="1:58" ht="13.5" customHeight="1">
      <c r="A129" s="287" t="str">
        <f>'Unit Savings Calculations'!C125</f>
        <v>Res - MF PTA Rebates</v>
      </c>
      <c r="B129" s="287" t="str">
        <f>'Unit Savings Calculations'!D125</f>
        <v>Pipe Insulation - Steam - Med 2.1" to 5"</v>
      </c>
      <c r="C129" s="288">
        <f t="shared" si="66"/>
        <v>1</v>
      </c>
      <c r="D129" s="287" t="str">
        <f>'Unit Savings Calculations'!T125</f>
        <v>4.4.14</v>
      </c>
      <c r="E129" s="287">
        <f>INDEX('Unit Savings Calculations'!$H$4:$H$421,MATCH('Measure-Level Adjustments Tab'!$A129&amp;"_"&amp;'Measure-Level Adjustments Tab'!$B129,'Unit Savings Calculations'!$A$4:$A$421,0))</f>
        <v>15</v>
      </c>
      <c r="F129" s="287">
        <f>INDEX('Unit Savings Calculations'!$I$4:$I$421,MATCH('Measure-Level Adjustments Tab'!A129&amp;"_"&amp;'Measure-Level Adjustments Tab'!B129,'Unit Savings Calculations'!$A$4:$A$421,0))</f>
        <v>15</v>
      </c>
      <c r="G129" s="287" t="str">
        <f>'Unit Savings Calculations'!E125</f>
        <v>ft</v>
      </c>
      <c r="H129" s="289">
        <f>'Unit Savings Calculations'!$F125*'Unit Savings Calculations'!J125</f>
        <v>35400</v>
      </c>
      <c r="I129" s="289">
        <f>'Unit Savings Calculations'!$F125*'Unit Savings Calculations'!K125</f>
        <v>35400</v>
      </c>
      <c r="J129" s="289">
        <f>'Unit Savings Calculations'!$F125*'Unit Savings Calculations'!L125</f>
        <v>35400</v>
      </c>
      <c r="K129" s="289">
        <f>'Unit Savings Calculations'!$F125*'Unit Savings Calculations'!M125</f>
        <v>35400</v>
      </c>
      <c r="L129" s="287" t="str">
        <f>'Unit Savings Calculations'!U125</f>
        <v>CI-HVC-PINS-V04-160601</v>
      </c>
      <c r="M129" s="363" t="s">
        <v>831</v>
      </c>
      <c r="N129" s="290">
        <v>13.577404706790121</v>
      </c>
      <c r="O129" s="290">
        <v>13.577404706790121</v>
      </c>
      <c r="P129" s="290">
        <v>13.577404706790121</v>
      </c>
      <c r="Q129" s="290">
        <v>13.577404706790121</v>
      </c>
      <c r="R129" s="291">
        <f>'Unit Savings Calculations'!$G125</f>
        <v>0.88</v>
      </c>
      <c r="S129" s="291">
        <f>'Unit Savings Calculations'!$G125</f>
        <v>0.88</v>
      </c>
      <c r="T129" s="291">
        <f>'Unit Savings Calculations'!$G125</f>
        <v>0.88</v>
      </c>
      <c r="U129" s="291">
        <f>'Unit Savings Calculations'!$G125</f>
        <v>0.88</v>
      </c>
      <c r="V129" s="292">
        <f t="shared" si="67"/>
        <v>422963.31142592587</v>
      </c>
      <c r="W129" s="292">
        <f t="shared" si="68"/>
        <v>422963.31142592587</v>
      </c>
      <c r="X129" s="292">
        <f t="shared" si="69"/>
        <v>422963.31142592587</v>
      </c>
      <c r="Y129" s="292">
        <f t="shared" si="70"/>
        <v>422963.31142592587</v>
      </c>
      <c r="Z129" s="292">
        <f t="shared" si="71"/>
        <v>1691853.2457037035</v>
      </c>
      <c r="AA129" s="287"/>
      <c r="AB129" s="287"/>
      <c r="AC129" s="293">
        <f>'Unit Savings Calculations'!N125</f>
        <v>13.577404706790121</v>
      </c>
      <c r="AD129" s="287"/>
      <c r="AE129" s="292">
        <f t="shared" si="49"/>
        <v>422963.31142592587</v>
      </c>
      <c r="AF129" s="289">
        <f t="shared" si="50"/>
        <v>0</v>
      </c>
      <c r="AG129" s="287"/>
      <c r="AH129" s="287">
        <f t="shared" si="51"/>
        <v>0</v>
      </c>
      <c r="AI129" s="290">
        <f>'Unit Savings Calculations'!O125</f>
        <v>13.577404706790121</v>
      </c>
      <c r="AJ129" s="287" t="s">
        <v>872</v>
      </c>
      <c r="AK129" s="292">
        <f t="shared" si="52"/>
        <v>422963.31142592587</v>
      </c>
      <c r="AL129" s="289">
        <f t="shared" si="53"/>
        <v>0</v>
      </c>
      <c r="AM129" s="287"/>
      <c r="AN129" s="287"/>
      <c r="AO129" s="290">
        <f>'Unit Savings Calculations'!P125</f>
        <v>13.577404706790121</v>
      </c>
      <c r="AP129" s="287" t="s">
        <v>764</v>
      </c>
      <c r="AQ129" s="292">
        <f t="shared" si="54"/>
        <v>422963.31142592587</v>
      </c>
      <c r="AR129" s="289">
        <f t="shared" si="55"/>
        <v>0</v>
      </c>
      <c r="AS129" s="287"/>
      <c r="AT129" s="287"/>
      <c r="AU129" s="290">
        <f>'Unit Savings Calculations'!Q125</f>
        <v>13.577404706790121</v>
      </c>
      <c r="AV129" s="287" t="str">
        <f t="shared" si="56"/>
        <v>n/a</v>
      </c>
      <c r="AW129" s="292">
        <f t="shared" si="57"/>
        <v>422963.31142592587</v>
      </c>
      <c r="AX129" s="289">
        <f t="shared" si="58"/>
        <v>0</v>
      </c>
      <c r="AY129" s="292">
        <f t="shared" si="59"/>
        <v>422963.31142592587</v>
      </c>
      <c r="AZ129" s="292">
        <f t="shared" si="60"/>
        <v>422963.31142592587</v>
      </c>
      <c r="BA129" s="292">
        <f t="shared" si="61"/>
        <v>422963.31142592587</v>
      </c>
      <c r="BB129" s="292">
        <f t="shared" si="62"/>
        <v>422963.31142592587</v>
      </c>
      <c r="BC129" s="294">
        <f t="shared" si="63"/>
        <v>1691853.2457037035</v>
      </c>
      <c r="BD129" s="287" t="s">
        <v>764</v>
      </c>
      <c r="BE129" s="295" t="str">
        <f t="shared" si="64"/>
        <v>Exhibit 1.5B_R Peoples Gas EEPS_Adjustable_Savings_Goal_Template.xlsx,Pipe Insulation Detail Tab</v>
      </c>
      <c r="BF129" s="297"/>
    </row>
    <row r="130" spans="1:58" ht="13.5" customHeight="1">
      <c r="A130" s="287" t="str">
        <f>'Unit Savings Calculations'!C126</f>
        <v>Res - MF PTA Rebates</v>
      </c>
      <c r="B130" s="287" t="str">
        <f>'Unit Savings Calculations'!D126</f>
        <v>Pipe Insulation - Steam - Large 5.1" to 8"</v>
      </c>
      <c r="C130" s="288">
        <f t="shared" si="66"/>
        <v>1</v>
      </c>
      <c r="D130" s="287" t="str">
        <f>'Unit Savings Calculations'!T126</f>
        <v>4.4.14</v>
      </c>
      <c r="E130" s="287">
        <f>INDEX('Unit Savings Calculations'!$H$4:$H$421,MATCH('Measure-Level Adjustments Tab'!$A130&amp;"_"&amp;'Measure-Level Adjustments Tab'!$B130,'Unit Savings Calculations'!$A$4:$A$421,0))</f>
        <v>15</v>
      </c>
      <c r="F130" s="287">
        <f>INDEX('Unit Savings Calculations'!$I$4:$I$421,MATCH('Measure-Level Adjustments Tab'!A130&amp;"_"&amp;'Measure-Level Adjustments Tab'!B130,'Unit Savings Calculations'!$A$4:$A$421,0))</f>
        <v>15</v>
      </c>
      <c r="G130" s="287" t="str">
        <f>'Unit Savings Calculations'!E126</f>
        <v>ft</v>
      </c>
      <c r="H130" s="289">
        <f>'Unit Savings Calculations'!$F126*'Unit Savings Calculations'!J126</f>
        <v>19425</v>
      </c>
      <c r="I130" s="289">
        <f>'Unit Savings Calculations'!$F126*'Unit Savings Calculations'!K126</f>
        <v>19425</v>
      </c>
      <c r="J130" s="289">
        <f>'Unit Savings Calculations'!$F126*'Unit Savings Calculations'!L126</f>
        <v>19425</v>
      </c>
      <c r="K130" s="289">
        <f>'Unit Savings Calculations'!$F126*'Unit Savings Calculations'!M126</f>
        <v>19425</v>
      </c>
      <c r="L130" s="287" t="str">
        <f>'Unit Savings Calculations'!U126</f>
        <v>CI-HVC-PINS-V04-160601</v>
      </c>
      <c r="M130" s="363" t="s">
        <v>831</v>
      </c>
      <c r="N130" s="290">
        <v>30.207245887345675</v>
      </c>
      <c r="O130" s="290">
        <v>30.207245887345675</v>
      </c>
      <c r="P130" s="290">
        <v>30.207245887345675</v>
      </c>
      <c r="Q130" s="290">
        <v>30.207245887345675</v>
      </c>
      <c r="R130" s="291">
        <f>'Unit Savings Calculations'!$G126</f>
        <v>0.88</v>
      </c>
      <c r="S130" s="291">
        <f>'Unit Savings Calculations'!$G126</f>
        <v>0.88</v>
      </c>
      <c r="T130" s="291">
        <f>'Unit Savings Calculations'!$G126</f>
        <v>0.88</v>
      </c>
      <c r="U130" s="291">
        <f>'Unit Savings Calculations'!$G126</f>
        <v>0.88</v>
      </c>
      <c r="V130" s="292">
        <f t="shared" si="67"/>
        <v>516362.66119828698</v>
      </c>
      <c r="W130" s="292">
        <f t="shared" si="68"/>
        <v>516362.66119828698</v>
      </c>
      <c r="X130" s="292">
        <f t="shared" si="69"/>
        <v>516362.66119828698</v>
      </c>
      <c r="Y130" s="292">
        <f t="shared" si="70"/>
        <v>516362.66119828698</v>
      </c>
      <c r="Z130" s="292">
        <f t="shared" si="71"/>
        <v>2065450.6447931479</v>
      </c>
      <c r="AA130" s="287"/>
      <c r="AB130" s="287"/>
      <c r="AC130" s="293">
        <f>'Unit Savings Calculations'!N126</f>
        <v>30.207245887345675</v>
      </c>
      <c r="AD130" s="287"/>
      <c r="AE130" s="292">
        <f t="shared" si="49"/>
        <v>516362.66119828698</v>
      </c>
      <c r="AF130" s="289">
        <f t="shared" si="50"/>
        <v>0</v>
      </c>
      <c r="AG130" s="287"/>
      <c r="AH130" s="287">
        <f t="shared" si="51"/>
        <v>0</v>
      </c>
      <c r="AI130" s="290">
        <f>'Unit Savings Calculations'!O126</f>
        <v>30.207245887345675</v>
      </c>
      <c r="AJ130" s="287" t="s">
        <v>872</v>
      </c>
      <c r="AK130" s="292">
        <f t="shared" si="52"/>
        <v>516362.66119828698</v>
      </c>
      <c r="AL130" s="289">
        <f t="shared" si="53"/>
        <v>0</v>
      </c>
      <c r="AM130" s="287"/>
      <c r="AN130" s="287"/>
      <c r="AO130" s="290">
        <f>'Unit Savings Calculations'!P126</f>
        <v>30.207245887345675</v>
      </c>
      <c r="AP130" s="287" t="s">
        <v>764</v>
      </c>
      <c r="AQ130" s="292">
        <f t="shared" si="54"/>
        <v>516362.66119828698</v>
      </c>
      <c r="AR130" s="289">
        <f t="shared" si="55"/>
        <v>0</v>
      </c>
      <c r="AS130" s="287"/>
      <c r="AT130" s="287"/>
      <c r="AU130" s="290">
        <f>'Unit Savings Calculations'!Q126</f>
        <v>30.207245887345675</v>
      </c>
      <c r="AV130" s="287" t="str">
        <f t="shared" si="56"/>
        <v>n/a</v>
      </c>
      <c r="AW130" s="292">
        <f t="shared" si="57"/>
        <v>516362.66119828698</v>
      </c>
      <c r="AX130" s="289">
        <f t="shared" si="58"/>
        <v>0</v>
      </c>
      <c r="AY130" s="292">
        <f t="shared" si="59"/>
        <v>516362.66119828698</v>
      </c>
      <c r="AZ130" s="292">
        <f t="shared" si="60"/>
        <v>516362.66119828698</v>
      </c>
      <c r="BA130" s="292">
        <f t="shared" si="61"/>
        <v>516362.66119828698</v>
      </c>
      <c r="BB130" s="292">
        <f t="shared" si="62"/>
        <v>516362.66119828698</v>
      </c>
      <c r="BC130" s="294">
        <f t="shared" si="63"/>
        <v>2065450.6447931479</v>
      </c>
      <c r="BD130" s="287" t="s">
        <v>764</v>
      </c>
      <c r="BE130" s="295" t="str">
        <f t="shared" si="64"/>
        <v>Exhibit 1.5B_R Peoples Gas EEPS_Adjustable_Savings_Goal_Template.xlsx,Pipe Insulation Detail Tab</v>
      </c>
      <c r="BF130" s="297"/>
    </row>
    <row r="131" spans="1:58" ht="13.5" customHeight="1">
      <c r="A131" s="287" t="str">
        <f>'Unit Savings Calculations'!C127</f>
        <v>Res - MF PTA Rebates</v>
      </c>
      <c r="B131" s="287" t="str">
        <f>'Unit Savings Calculations'!D127</f>
        <v>Pipe Insulation - Steam - X-Large &gt;8"</v>
      </c>
      <c r="C131" s="288">
        <f t="shared" si="66"/>
        <v>1</v>
      </c>
      <c r="D131" s="287" t="str">
        <f>'Unit Savings Calculations'!T127</f>
        <v>4.4.14</v>
      </c>
      <c r="E131" s="287">
        <f>INDEX('Unit Savings Calculations'!$H$4:$H$421,MATCH('Measure-Level Adjustments Tab'!$A131&amp;"_"&amp;'Measure-Level Adjustments Tab'!$B131,'Unit Savings Calculations'!$A$4:$A$421,0))</f>
        <v>15</v>
      </c>
      <c r="F131" s="287">
        <f>INDEX('Unit Savings Calculations'!$I$4:$I$421,MATCH('Measure-Level Adjustments Tab'!A131&amp;"_"&amp;'Measure-Level Adjustments Tab'!B131,'Unit Savings Calculations'!$A$4:$A$421,0))</f>
        <v>15</v>
      </c>
      <c r="G131" s="287" t="str">
        <f>'Unit Savings Calculations'!E127</f>
        <v>ft</v>
      </c>
      <c r="H131" s="289">
        <f>'Unit Savings Calculations'!$F127*'Unit Savings Calculations'!J127</f>
        <v>5325</v>
      </c>
      <c r="I131" s="289">
        <f>'Unit Savings Calculations'!$F127*'Unit Savings Calculations'!K127</f>
        <v>5325</v>
      </c>
      <c r="J131" s="289">
        <f>'Unit Savings Calculations'!$F127*'Unit Savings Calculations'!L127</f>
        <v>5325</v>
      </c>
      <c r="K131" s="289">
        <f>'Unit Savings Calculations'!$F127*'Unit Savings Calculations'!M127</f>
        <v>5325</v>
      </c>
      <c r="L131" s="287" t="str">
        <f>'Unit Savings Calculations'!U127</f>
        <v>CI-HVC-PINS-V04-160601</v>
      </c>
      <c r="M131" s="363" t="s">
        <v>831</v>
      </c>
      <c r="N131" s="290">
        <v>44.814401171573145</v>
      </c>
      <c r="O131" s="290">
        <v>44.814401171573145</v>
      </c>
      <c r="P131" s="290">
        <v>44.814401171573145</v>
      </c>
      <c r="Q131" s="290">
        <v>44.814401171573145</v>
      </c>
      <c r="R131" s="291">
        <f>'Unit Savings Calculations'!$G127</f>
        <v>0.88</v>
      </c>
      <c r="S131" s="291">
        <f>'Unit Savings Calculations'!$G127</f>
        <v>0.88</v>
      </c>
      <c r="T131" s="291">
        <f>'Unit Savings Calculations'!$G127</f>
        <v>0.88</v>
      </c>
      <c r="U131" s="291">
        <f>'Unit Savings Calculations'!$G127</f>
        <v>0.88</v>
      </c>
      <c r="V131" s="292">
        <f t="shared" si="67"/>
        <v>210000.28388999176</v>
      </c>
      <c r="W131" s="292">
        <f t="shared" si="68"/>
        <v>210000.28388999176</v>
      </c>
      <c r="X131" s="292">
        <f t="shared" si="69"/>
        <v>210000.28388999176</v>
      </c>
      <c r="Y131" s="292">
        <f t="shared" si="70"/>
        <v>210000.28388999176</v>
      </c>
      <c r="Z131" s="292">
        <f t="shared" si="71"/>
        <v>840001.13555996702</v>
      </c>
      <c r="AA131" s="287"/>
      <c r="AB131" s="287"/>
      <c r="AC131" s="293">
        <f>'Unit Savings Calculations'!N127</f>
        <v>44.814401171573145</v>
      </c>
      <c r="AD131" s="287"/>
      <c r="AE131" s="292">
        <f t="shared" si="49"/>
        <v>210000.28388999176</v>
      </c>
      <c r="AF131" s="289">
        <f t="shared" si="50"/>
        <v>0</v>
      </c>
      <c r="AG131" s="287"/>
      <c r="AH131" s="287">
        <f t="shared" si="51"/>
        <v>0</v>
      </c>
      <c r="AI131" s="290">
        <f>'Unit Savings Calculations'!O127</f>
        <v>44.814401171573145</v>
      </c>
      <c r="AJ131" s="287" t="s">
        <v>872</v>
      </c>
      <c r="AK131" s="292">
        <f t="shared" si="52"/>
        <v>210000.28388999176</v>
      </c>
      <c r="AL131" s="289">
        <f t="shared" si="53"/>
        <v>0</v>
      </c>
      <c r="AM131" s="287"/>
      <c r="AN131" s="287"/>
      <c r="AO131" s="290">
        <f>'Unit Savings Calculations'!P127</f>
        <v>44.814401171573145</v>
      </c>
      <c r="AP131" s="287" t="s">
        <v>764</v>
      </c>
      <c r="AQ131" s="292">
        <f t="shared" si="54"/>
        <v>210000.28388999176</v>
      </c>
      <c r="AR131" s="289">
        <f t="shared" si="55"/>
        <v>0</v>
      </c>
      <c r="AS131" s="287"/>
      <c r="AT131" s="287"/>
      <c r="AU131" s="290">
        <f>'Unit Savings Calculations'!Q127</f>
        <v>44.814401171573145</v>
      </c>
      <c r="AV131" s="287" t="str">
        <f t="shared" si="56"/>
        <v>n/a</v>
      </c>
      <c r="AW131" s="292">
        <f t="shared" si="57"/>
        <v>210000.28388999176</v>
      </c>
      <c r="AX131" s="289">
        <f t="shared" si="58"/>
        <v>0</v>
      </c>
      <c r="AY131" s="292">
        <f t="shared" si="59"/>
        <v>210000.28388999176</v>
      </c>
      <c r="AZ131" s="292">
        <f t="shared" si="60"/>
        <v>210000.28388999176</v>
      </c>
      <c r="BA131" s="292">
        <f t="shared" si="61"/>
        <v>210000.28388999176</v>
      </c>
      <c r="BB131" s="292">
        <f t="shared" si="62"/>
        <v>210000.28388999176</v>
      </c>
      <c r="BC131" s="294">
        <f t="shared" si="63"/>
        <v>840001.13555996702</v>
      </c>
      <c r="BD131" s="287" t="s">
        <v>764</v>
      </c>
      <c r="BE131" s="295" t="str">
        <f t="shared" si="64"/>
        <v>Exhibit 1.5B_R Peoples Gas EEPS_Adjustable_Savings_Goal_Template.xlsx,Pipe Insulation Detail Tab</v>
      </c>
      <c r="BF131" s="297"/>
    </row>
    <row r="132" spans="1:58" ht="13.5" customHeight="1">
      <c r="A132" s="287" t="str">
        <f>'Unit Savings Calculations'!C128</f>
        <v>Res - MF PTA Rebates</v>
      </c>
      <c r="B132" s="287" t="str">
        <f>'Unit Savings Calculations'!D128</f>
        <v>Pipe Insulation - Steam Med Fitting</v>
      </c>
      <c r="C132" s="288">
        <f t="shared" si="66"/>
        <v>1</v>
      </c>
      <c r="D132" s="287" t="str">
        <f>'Unit Savings Calculations'!T128</f>
        <v>4.4.14</v>
      </c>
      <c r="E132" s="287">
        <f>INDEX('Unit Savings Calculations'!$H$4:$H$421,MATCH('Measure-Level Adjustments Tab'!$A132&amp;"_"&amp;'Measure-Level Adjustments Tab'!$B132,'Unit Savings Calculations'!$A$4:$A$421,0))</f>
        <v>15</v>
      </c>
      <c r="F132" s="287">
        <f>INDEX('Unit Savings Calculations'!$I$4:$I$421,MATCH('Measure-Level Adjustments Tab'!A132&amp;"_"&amp;'Measure-Level Adjustments Tab'!B132,'Unit Savings Calculations'!$A$4:$A$421,0))</f>
        <v>15</v>
      </c>
      <c r="G132" s="287" t="str">
        <f>'Unit Savings Calculations'!E128</f>
        <v>each</v>
      </c>
      <c r="H132" s="289">
        <f>'Unit Savings Calculations'!$F128*'Unit Savings Calculations'!J128</f>
        <v>462</v>
      </c>
      <c r="I132" s="289">
        <f>'Unit Savings Calculations'!$F128*'Unit Savings Calculations'!K128</f>
        <v>462</v>
      </c>
      <c r="J132" s="289">
        <f>'Unit Savings Calculations'!$F128*'Unit Savings Calculations'!L128</f>
        <v>462</v>
      </c>
      <c r="K132" s="289">
        <f>'Unit Savings Calculations'!$F128*'Unit Savings Calculations'!M128</f>
        <v>462</v>
      </c>
      <c r="L132" s="287" t="str">
        <f>'Unit Savings Calculations'!U128</f>
        <v>CI-HVC-PINS-V04-160601</v>
      </c>
      <c r="M132" s="363" t="s">
        <v>831</v>
      </c>
      <c r="N132" s="290">
        <v>15.586033402860688</v>
      </c>
      <c r="O132" s="290">
        <v>15.586033402860688</v>
      </c>
      <c r="P132" s="290">
        <v>15.586033402860688</v>
      </c>
      <c r="Q132" s="290">
        <v>15.586033402860688</v>
      </c>
      <c r="R132" s="291">
        <f>'Unit Savings Calculations'!$G128</f>
        <v>0.88</v>
      </c>
      <c r="S132" s="291">
        <f>'Unit Savings Calculations'!$G128</f>
        <v>0.88</v>
      </c>
      <c r="T132" s="291">
        <f>'Unit Savings Calculations'!$G128</f>
        <v>0.88</v>
      </c>
      <c r="U132" s="291">
        <f>'Unit Savings Calculations'!$G128</f>
        <v>0.88</v>
      </c>
      <c r="V132" s="292">
        <f t="shared" si="67"/>
        <v>6336.6577402670409</v>
      </c>
      <c r="W132" s="292">
        <f t="shared" si="68"/>
        <v>6336.6577402670409</v>
      </c>
      <c r="X132" s="292">
        <f t="shared" si="69"/>
        <v>6336.6577402670409</v>
      </c>
      <c r="Y132" s="292">
        <f t="shared" si="70"/>
        <v>6336.6577402670409</v>
      </c>
      <c r="Z132" s="292">
        <f t="shared" si="71"/>
        <v>25346.630961068164</v>
      </c>
      <c r="AA132" s="287"/>
      <c r="AB132" s="287"/>
      <c r="AC132" s="293">
        <f>'Unit Savings Calculations'!N128</f>
        <v>15.586033402860688</v>
      </c>
      <c r="AD132" s="287"/>
      <c r="AE132" s="292">
        <f t="shared" si="49"/>
        <v>6336.6577402670409</v>
      </c>
      <c r="AF132" s="289">
        <f t="shared" si="50"/>
        <v>0</v>
      </c>
      <c r="AG132" s="287"/>
      <c r="AH132" s="287">
        <f t="shared" si="51"/>
        <v>0</v>
      </c>
      <c r="AI132" s="290">
        <f>'Unit Savings Calculations'!O128</f>
        <v>15.586033402860688</v>
      </c>
      <c r="AJ132" s="287" t="s">
        <v>872</v>
      </c>
      <c r="AK132" s="292">
        <f t="shared" si="52"/>
        <v>6336.6577402670409</v>
      </c>
      <c r="AL132" s="289">
        <f t="shared" si="53"/>
        <v>0</v>
      </c>
      <c r="AM132" s="287"/>
      <c r="AN132" s="287"/>
      <c r="AO132" s="290">
        <f>'Unit Savings Calculations'!P128</f>
        <v>15.586033402860688</v>
      </c>
      <c r="AP132" s="287" t="s">
        <v>764</v>
      </c>
      <c r="AQ132" s="292">
        <f t="shared" si="54"/>
        <v>6336.6577402670409</v>
      </c>
      <c r="AR132" s="289">
        <f t="shared" si="55"/>
        <v>0</v>
      </c>
      <c r="AS132" s="287"/>
      <c r="AT132" s="287"/>
      <c r="AU132" s="290">
        <f>'Unit Savings Calculations'!Q128</f>
        <v>15.586033402860688</v>
      </c>
      <c r="AV132" s="287" t="str">
        <f t="shared" si="56"/>
        <v>n/a</v>
      </c>
      <c r="AW132" s="292">
        <f t="shared" si="57"/>
        <v>6336.6577402670409</v>
      </c>
      <c r="AX132" s="289">
        <f t="shared" si="58"/>
        <v>0</v>
      </c>
      <c r="AY132" s="292">
        <f t="shared" si="59"/>
        <v>6336.6577402670409</v>
      </c>
      <c r="AZ132" s="292">
        <f t="shared" si="60"/>
        <v>6336.6577402670409</v>
      </c>
      <c r="BA132" s="292">
        <f t="shared" si="61"/>
        <v>6336.6577402670409</v>
      </c>
      <c r="BB132" s="292">
        <f t="shared" si="62"/>
        <v>6336.6577402670409</v>
      </c>
      <c r="BC132" s="294">
        <f t="shared" si="63"/>
        <v>25346.630961068164</v>
      </c>
      <c r="BD132" s="287" t="s">
        <v>764</v>
      </c>
      <c r="BE132" s="295" t="str">
        <f t="shared" si="64"/>
        <v>Exhibit 1.5B_R Peoples Gas EEPS_Adjustable_Savings_Goal_Template.xlsx,Pipe Insulation Detail Tab</v>
      </c>
      <c r="BF132" s="297"/>
    </row>
    <row r="133" spans="1:58" ht="13.5" customHeight="1">
      <c r="A133" s="287" t="str">
        <f>'Unit Savings Calculations'!C129</f>
        <v>Res - MF PTA Rebates</v>
      </c>
      <c r="B133" s="287" t="str">
        <f>'Unit Savings Calculations'!D129</f>
        <v>Pipe Insulation - Steam Large Fitting</v>
      </c>
      <c r="C133" s="288">
        <f t="shared" si="66"/>
        <v>1</v>
      </c>
      <c r="D133" s="287" t="str">
        <f>'Unit Savings Calculations'!T129</f>
        <v>4.4.14</v>
      </c>
      <c r="E133" s="287">
        <f>INDEX('Unit Savings Calculations'!$H$4:$H$421,MATCH('Measure-Level Adjustments Tab'!$A133&amp;"_"&amp;'Measure-Level Adjustments Tab'!$B133,'Unit Savings Calculations'!$A$4:$A$421,0))</f>
        <v>15</v>
      </c>
      <c r="F133" s="287">
        <f>INDEX('Unit Savings Calculations'!$I$4:$I$421,MATCH('Measure-Level Adjustments Tab'!A133&amp;"_"&amp;'Measure-Level Adjustments Tab'!B133,'Unit Savings Calculations'!$A$4:$A$421,0))</f>
        <v>15</v>
      </c>
      <c r="G133" s="287" t="str">
        <f>'Unit Savings Calculations'!E129</f>
        <v>each</v>
      </c>
      <c r="H133" s="289">
        <f>'Unit Savings Calculations'!$F129*'Unit Savings Calculations'!J129</f>
        <v>249</v>
      </c>
      <c r="I133" s="289">
        <f>'Unit Savings Calculations'!$F129*'Unit Savings Calculations'!K129</f>
        <v>249</v>
      </c>
      <c r="J133" s="289">
        <f>'Unit Savings Calculations'!$F129*'Unit Savings Calculations'!L129</f>
        <v>249</v>
      </c>
      <c r="K133" s="289">
        <f>'Unit Savings Calculations'!$F129*'Unit Savings Calculations'!M129</f>
        <v>249</v>
      </c>
      <c r="L133" s="287" t="str">
        <f>'Unit Savings Calculations'!U129</f>
        <v>CI-HVC-PINS-V04-160601</v>
      </c>
      <c r="M133" s="363" t="s">
        <v>831</v>
      </c>
      <c r="N133" s="290">
        <v>63.824627950912159</v>
      </c>
      <c r="O133" s="290">
        <v>63.824627950912159</v>
      </c>
      <c r="P133" s="290">
        <v>63.824627950912159</v>
      </c>
      <c r="Q133" s="290">
        <v>63.824627950912159</v>
      </c>
      <c r="R133" s="291">
        <f>'Unit Savings Calculations'!$G129</f>
        <v>0.88</v>
      </c>
      <c r="S133" s="291">
        <f>'Unit Savings Calculations'!$G129</f>
        <v>0.88</v>
      </c>
      <c r="T133" s="291">
        <f>'Unit Savings Calculations'!$G129</f>
        <v>0.88</v>
      </c>
      <c r="U133" s="291">
        <f>'Unit Savings Calculations'!$G129</f>
        <v>0.88</v>
      </c>
      <c r="V133" s="292">
        <f t="shared" si="67"/>
        <v>13985.252476603871</v>
      </c>
      <c r="W133" s="292">
        <f t="shared" si="68"/>
        <v>13985.252476603871</v>
      </c>
      <c r="X133" s="292">
        <f t="shared" si="69"/>
        <v>13985.252476603871</v>
      </c>
      <c r="Y133" s="292">
        <f t="shared" si="70"/>
        <v>13985.252476603871</v>
      </c>
      <c r="Z133" s="292">
        <f t="shared" si="71"/>
        <v>55941.009906415486</v>
      </c>
      <c r="AA133" s="287"/>
      <c r="AB133" s="287"/>
      <c r="AC133" s="293">
        <f>'Unit Savings Calculations'!N129</f>
        <v>63.824627950912159</v>
      </c>
      <c r="AD133" s="287"/>
      <c r="AE133" s="292">
        <f t="shared" si="49"/>
        <v>13985.252476603871</v>
      </c>
      <c r="AF133" s="289">
        <f t="shared" si="50"/>
        <v>0</v>
      </c>
      <c r="AG133" s="287"/>
      <c r="AH133" s="287">
        <f t="shared" si="51"/>
        <v>0</v>
      </c>
      <c r="AI133" s="290">
        <f>'Unit Savings Calculations'!O129</f>
        <v>63.824627950912159</v>
      </c>
      <c r="AJ133" s="287" t="s">
        <v>872</v>
      </c>
      <c r="AK133" s="292">
        <f t="shared" si="52"/>
        <v>13985.252476603871</v>
      </c>
      <c r="AL133" s="289">
        <f t="shared" si="53"/>
        <v>0</v>
      </c>
      <c r="AM133" s="287"/>
      <c r="AN133" s="287"/>
      <c r="AO133" s="290">
        <f>'Unit Savings Calculations'!P129</f>
        <v>63.824627950912159</v>
      </c>
      <c r="AP133" s="287" t="s">
        <v>764</v>
      </c>
      <c r="AQ133" s="292">
        <f t="shared" si="54"/>
        <v>13985.252476603871</v>
      </c>
      <c r="AR133" s="289">
        <f t="shared" si="55"/>
        <v>0</v>
      </c>
      <c r="AS133" s="287"/>
      <c r="AT133" s="287"/>
      <c r="AU133" s="290">
        <f>'Unit Savings Calculations'!Q129</f>
        <v>63.824627950912159</v>
      </c>
      <c r="AV133" s="287" t="str">
        <f t="shared" si="56"/>
        <v>n/a</v>
      </c>
      <c r="AW133" s="292">
        <f t="shared" si="57"/>
        <v>13985.252476603871</v>
      </c>
      <c r="AX133" s="289">
        <f t="shared" si="58"/>
        <v>0</v>
      </c>
      <c r="AY133" s="292">
        <f t="shared" si="59"/>
        <v>13985.252476603871</v>
      </c>
      <c r="AZ133" s="292">
        <f t="shared" si="60"/>
        <v>13985.252476603871</v>
      </c>
      <c r="BA133" s="292">
        <f t="shared" si="61"/>
        <v>13985.252476603871</v>
      </c>
      <c r="BB133" s="292">
        <f t="shared" si="62"/>
        <v>13985.252476603871</v>
      </c>
      <c r="BC133" s="294">
        <f t="shared" si="63"/>
        <v>55941.009906415486</v>
      </c>
      <c r="BD133" s="287" t="s">
        <v>764</v>
      </c>
      <c r="BE133" s="295" t="str">
        <f t="shared" si="64"/>
        <v>Exhibit 1.5B_R Peoples Gas EEPS_Adjustable_Savings_Goal_Template.xlsx,Pipe Insulation Detail Tab</v>
      </c>
      <c r="BF133" s="297"/>
    </row>
    <row r="134" spans="1:58" ht="13.5" customHeight="1">
      <c r="A134" s="287" t="str">
        <f>'Unit Savings Calculations'!C130</f>
        <v>Res - MF PTA Rebates</v>
      </c>
      <c r="B134" s="287" t="str">
        <f>'Unit Savings Calculations'!D130</f>
        <v>Pipe Insulation - Steam X-Large Fitting</v>
      </c>
      <c r="C134" s="288">
        <f t="shared" si="66"/>
        <v>1</v>
      </c>
      <c r="D134" s="287" t="str">
        <f>'Unit Savings Calculations'!T130</f>
        <v>4.4.14</v>
      </c>
      <c r="E134" s="287">
        <f>INDEX('Unit Savings Calculations'!$H$4:$H$421,MATCH('Measure-Level Adjustments Tab'!$A134&amp;"_"&amp;'Measure-Level Adjustments Tab'!$B134,'Unit Savings Calculations'!$A$4:$A$421,0))</f>
        <v>15</v>
      </c>
      <c r="F134" s="287">
        <f>INDEX('Unit Savings Calculations'!$I$4:$I$421,MATCH('Measure-Level Adjustments Tab'!A134&amp;"_"&amp;'Measure-Level Adjustments Tab'!B134,'Unit Savings Calculations'!$A$4:$A$421,0))</f>
        <v>15</v>
      </c>
      <c r="G134" s="287" t="str">
        <f>'Unit Savings Calculations'!E130</f>
        <v>each</v>
      </c>
      <c r="H134" s="289">
        <f>'Unit Savings Calculations'!$F130*'Unit Savings Calculations'!J130</f>
        <v>18</v>
      </c>
      <c r="I134" s="289">
        <f>'Unit Savings Calculations'!$F130*'Unit Savings Calculations'!K130</f>
        <v>18</v>
      </c>
      <c r="J134" s="289">
        <f>'Unit Savings Calculations'!$F130*'Unit Savings Calculations'!L130</f>
        <v>18</v>
      </c>
      <c r="K134" s="289">
        <f>'Unit Savings Calculations'!$F130*'Unit Savings Calculations'!M130</f>
        <v>18</v>
      </c>
      <c r="L134" s="287" t="str">
        <f>'Unit Savings Calculations'!U130</f>
        <v>CI-HVC-PINS-V04-160601</v>
      </c>
      <c r="M134" s="363" t="s">
        <v>831</v>
      </c>
      <c r="N134" s="290">
        <v>123.46367522768401</v>
      </c>
      <c r="O134" s="290">
        <v>123.46367522768401</v>
      </c>
      <c r="P134" s="290">
        <v>123.46367522768401</v>
      </c>
      <c r="Q134" s="290">
        <v>123.46367522768401</v>
      </c>
      <c r="R134" s="291">
        <f>'Unit Savings Calculations'!$G130</f>
        <v>0.88</v>
      </c>
      <c r="S134" s="291">
        <f>'Unit Savings Calculations'!$G130</f>
        <v>0.88</v>
      </c>
      <c r="T134" s="291">
        <f>'Unit Savings Calculations'!$G130</f>
        <v>0.88</v>
      </c>
      <c r="U134" s="291">
        <f>'Unit Savings Calculations'!$G130</f>
        <v>0.88</v>
      </c>
      <c r="V134" s="292">
        <f t="shared" si="67"/>
        <v>1955.6646156065146</v>
      </c>
      <c r="W134" s="292">
        <f t="shared" si="68"/>
        <v>1955.6646156065146</v>
      </c>
      <c r="X134" s="292">
        <f t="shared" si="69"/>
        <v>1955.6646156065146</v>
      </c>
      <c r="Y134" s="292">
        <f t="shared" si="70"/>
        <v>1955.6646156065146</v>
      </c>
      <c r="Z134" s="292">
        <f t="shared" si="71"/>
        <v>7822.6584624260586</v>
      </c>
      <c r="AA134" s="287"/>
      <c r="AB134" s="287"/>
      <c r="AC134" s="293">
        <f>'Unit Savings Calculations'!N130</f>
        <v>123.46367522768401</v>
      </c>
      <c r="AD134" s="287"/>
      <c r="AE134" s="292">
        <f t="shared" si="49"/>
        <v>1955.6646156065146</v>
      </c>
      <c r="AF134" s="289">
        <f t="shared" si="50"/>
        <v>0</v>
      </c>
      <c r="AG134" s="287"/>
      <c r="AH134" s="287">
        <f t="shared" si="51"/>
        <v>0</v>
      </c>
      <c r="AI134" s="290">
        <f>'Unit Savings Calculations'!O130</f>
        <v>123.46367522768401</v>
      </c>
      <c r="AJ134" s="287" t="s">
        <v>872</v>
      </c>
      <c r="AK134" s="292">
        <f t="shared" si="52"/>
        <v>1955.6646156065146</v>
      </c>
      <c r="AL134" s="289">
        <f t="shared" si="53"/>
        <v>0</v>
      </c>
      <c r="AM134" s="287"/>
      <c r="AN134" s="287"/>
      <c r="AO134" s="290">
        <f>'Unit Savings Calculations'!P130</f>
        <v>123.46367522768401</v>
      </c>
      <c r="AP134" s="287" t="s">
        <v>764</v>
      </c>
      <c r="AQ134" s="292">
        <f t="shared" si="54"/>
        <v>1955.6646156065146</v>
      </c>
      <c r="AR134" s="289">
        <f t="shared" si="55"/>
        <v>0</v>
      </c>
      <c r="AS134" s="287"/>
      <c r="AT134" s="287"/>
      <c r="AU134" s="290">
        <f>'Unit Savings Calculations'!Q130</f>
        <v>123.46367522768401</v>
      </c>
      <c r="AV134" s="287" t="str">
        <f t="shared" si="56"/>
        <v>n/a</v>
      </c>
      <c r="AW134" s="292">
        <f t="shared" si="57"/>
        <v>1955.6646156065146</v>
      </c>
      <c r="AX134" s="289">
        <f t="shared" si="58"/>
        <v>0</v>
      </c>
      <c r="AY134" s="292">
        <f t="shared" si="59"/>
        <v>1955.6646156065146</v>
      </c>
      <c r="AZ134" s="292">
        <f t="shared" si="60"/>
        <v>1955.6646156065146</v>
      </c>
      <c r="BA134" s="292">
        <f t="shared" si="61"/>
        <v>1955.6646156065146</v>
      </c>
      <c r="BB134" s="292">
        <f t="shared" si="62"/>
        <v>1955.6646156065146</v>
      </c>
      <c r="BC134" s="294">
        <f t="shared" si="63"/>
        <v>7822.6584624260586</v>
      </c>
      <c r="BD134" s="287" t="s">
        <v>764</v>
      </c>
      <c r="BE134" s="295" t="str">
        <f t="shared" si="64"/>
        <v>Exhibit 1.5B_R Peoples Gas EEPS_Adjustable_Savings_Goal_Template.xlsx,Pipe Insulation Detail Tab</v>
      </c>
      <c r="BF134" s="297"/>
    </row>
    <row r="135" spans="1:58" ht="13.5" customHeight="1">
      <c r="A135" s="287" t="str">
        <f>'Unit Savings Calculations'!C131</f>
        <v>Res - MF PTA Rebates</v>
      </c>
      <c r="B135" s="287" t="str">
        <f>'Unit Savings Calculations'!D131</f>
        <v>Pipe Insulation - Steam Med Valve</v>
      </c>
      <c r="C135" s="288">
        <f t="shared" si="66"/>
        <v>1</v>
      </c>
      <c r="D135" s="287" t="str">
        <f>'Unit Savings Calculations'!T131</f>
        <v>4.4.14</v>
      </c>
      <c r="E135" s="287">
        <f>INDEX('Unit Savings Calculations'!$H$4:$H$421,MATCH('Measure-Level Adjustments Tab'!$A135&amp;"_"&amp;'Measure-Level Adjustments Tab'!$B135,'Unit Savings Calculations'!$A$4:$A$421,0))</f>
        <v>15</v>
      </c>
      <c r="F135" s="287">
        <f>INDEX('Unit Savings Calculations'!$I$4:$I$421,MATCH('Measure-Level Adjustments Tab'!A135&amp;"_"&amp;'Measure-Level Adjustments Tab'!B135,'Unit Savings Calculations'!$A$4:$A$421,0))</f>
        <v>15</v>
      </c>
      <c r="G135" s="287" t="str">
        <f>'Unit Savings Calculations'!E131</f>
        <v>each</v>
      </c>
      <c r="H135" s="289">
        <f>'Unit Savings Calculations'!$F131*'Unit Savings Calculations'!J131</f>
        <v>18</v>
      </c>
      <c r="I135" s="289">
        <f>'Unit Savings Calculations'!$F131*'Unit Savings Calculations'!K131</f>
        <v>18</v>
      </c>
      <c r="J135" s="289">
        <f>'Unit Savings Calculations'!$F131*'Unit Savings Calculations'!L131</f>
        <v>18</v>
      </c>
      <c r="K135" s="289">
        <f>'Unit Savings Calculations'!$F131*'Unit Savings Calculations'!M131</f>
        <v>18</v>
      </c>
      <c r="L135" s="287" t="str">
        <f>'Unit Savings Calculations'!U131</f>
        <v>CI-HVC-PINS-V04-160601</v>
      </c>
      <c r="M135" s="363" t="s">
        <v>831</v>
      </c>
      <c r="N135" s="290">
        <v>46.605980670745772</v>
      </c>
      <c r="O135" s="290">
        <v>46.605980670745772</v>
      </c>
      <c r="P135" s="290">
        <v>46.605980670745772</v>
      </c>
      <c r="Q135" s="290">
        <v>46.605980670745772</v>
      </c>
      <c r="R135" s="291">
        <f>'Unit Savings Calculations'!$G131</f>
        <v>0.88</v>
      </c>
      <c r="S135" s="291">
        <f>'Unit Savings Calculations'!$G131</f>
        <v>0.88</v>
      </c>
      <c r="T135" s="291">
        <f>'Unit Savings Calculations'!$G131</f>
        <v>0.88</v>
      </c>
      <c r="U135" s="291">
        <f>'Unit Savings Calculations'!$G131</f>
        <v>0.88</v>
      </c>
      <c r="V135" s="292">
        <f t="shared" si="67"/>
        <v>738.23873382461306</v>
      </c>
      <c r="W135" s="292">
        <f t="shared" si="68"/>
        <v>738.23873382461306</v>
      </c>
      <c r="X135" s="292">
        <f t="shared" si="69"/>
        <v>738.23873382461306</v>
      </c>
      <c r="Y135" s="292">
        <f t="shared" si="70"/>
        <v>738.23873382461306</v>
      </c>
      <c r="Z135" s="292">
        <f t="shared" si="71"/>
        <v>2952.9549352984523</v>
      </c>
      <c r="AA135" s="287"/>
      <c r="AB135" s="287"/>
      <c r="AC135" s="293">
        <f>'Unit Savings Calculations'!N131</f>
        <v>46.605980670745772</v>
      </c>
      <c r="AD135" s="287"/>
      <c r="AE135" s="292">
        <f t="shared" si="49"/>
        <v>738.23873382461306</v>
      </c>
      <c r="AF135" s="289">
        <f t="shared" si="50"/>
        <v>0</v>
      </c>
      <c r="AG135" s="287"/>
      <c r="AH135" s="287">
        <f t="shared" si="51"/>
        <v>0</v>
      </c>
      <c r="AI135" s="290">
        <f>'Unit Savings Calculations'!O131</f>
        <v>46.605980670745772</v>
      </c>
      <c r="AJ135" s="287" t="s">
        <v>872</v>
      </c>
      <c r="AK135" s="292">
        <f t="shared" si="52"/>
        <v>738.23873382461306</v>
      </c>
      <c r="AL135" s="289">
        <f t="shared" si="53"/>
        <v>0</v>
      </c>
      <c r="AM135" s="287"/>
      <c r="AN135" s="287"/>
      <c r="AO135" s="290">
        <f>'Unit Savings Calculations'!P131</f>
        <v>46.605980670745772</v>
      </c>
      <c r="AP135" s="287" t="s">
        <v>764</v>
      </c>
      <c r="AQ135" s="292">
        <f t="shared" si="54"/>
        <v>738.23873382461306</v>
      </c>
      <c r="AR135" s="289">
        <f t="shared" si="55"/>
        <v>0</v>
      </c>
      <c r="AS135" s="287"/>
      <c r="AT135" s="287"/>
      <c r="AU135" s="290">
        <f>'Unit Savings Calculations'!Q131</f>
        <v>46.605980670745772</v>
      </c>
      <c r="AV135" s="287" t="str">
        <f t="shared" si="56"/>
        <v>n/a</v>
      </c>
      <c r="AW135" s="292">
        <f t="shared" si="57"/>
        <v>738.23873382461306</v>
      </c>
      <c r="AX135" s="289">
        <f t="shared" si="58"/>
        <v>0</v>
      </c>
      <c r="AY135" s="292">
        <f t="shared" si="59"/>
        <v>738.23873382461306</v>
      </c>
      <c r="AZ135" s="292">
        <f t="shared" si="60"/>
        <v>738.23873382461306</v>
      </c>
      <c r="BA135" s="292">
        <f t="shared" si="61"/>
        <v>738.23873382461306</v>
      </c>
      <c r="BB135" s="292">
        <f t="shared" si="62"/>
        <v>738.23873382461306</v>
      </c>
      <c r="BC135" s="294">
        <f t="shared" si="63"/>
        <v>2952.9549352984523</v>
      </c>
      <c r="BD135" s="287" t="s">
        <v>764</v>
      </c>
      <c r="BE135" s="295" t="str">
        <f t="shared" si="64"/>
        <v>Exhibit 1.5B_R Peoples Gas EEPS_Adjustable_Savings_Goal_Template.xlsx,Pipe Insulation Detail Tab</v>
      </c>
      <c r="BF135" s="297"/>
    </row>
    <row r="136" spans="1:58" ht="13.5" customHeight="1">
      <c r="A136" s="287" t="str">
        <f>'Unit Savings Calculations'!C132</f>
        <v>Res - MF PTA Rebates</v>
      </c>
      <c r="B136" s="287" t="str">
        <f>'Unit Savings Calculations'!D132</f>
        <v>Pipe Insulation - Steam Large Valve</v>
      </c>
      <c r="C136" s="288">
        <f t="shared" si="66"/>
        <v>1</v>
      </c>
      <c r="D136" s="287" t="str">
        <f>'Unit Savings Calculations'!T132</f>
        <v>4.4.14</v>
      </c>
      <c r="E136" s="287">
        <f>INDEX('Unit Savings Calculations'!$H$4:$H$421,MATCH('Measure-Level Adjustments Tab'!$A136&amp;"_"&amp;'Measure-Level Adjustments Tab'!$B136,'Unit Savings Calculations'!$A$4:$A$421,0))</f>
        <v>15</v>
      </c>
      <c r="F136" s="287">
        <f>INDEX('Unit Savings Calculations'!$I$4:$I$421,MATCH('Measure-Level Adjustments Tab'!A136&amp;"_"&amp;'Measure-Level Adjustments Tab'!B136,'Unit Savings Calculations'!$A$4:$A$421,0))</f>
        <v>15</v>
      </c>
      <c r="G136" s="287" t="str">
        <f>'Unit Savings Calculations'!E132</f>
        <v>each</v>
      </c>
      <c r="H136" s="289">
        <f>'Unit Savings Calculations'!$F132*'Unit Savings Calculations'!J132</f>
        <v>7</v>
      </c>
      <c r="I136" s="289">
        <f>'Unit Savings Calculations'!$F132*'Unit Savings Calculations'!K132</f>
        <v>7</v>
      </c>
      <c r="J136" s="289">
        <f>'Unit Savings Calculations'!$F132*'Unit Savings Calculations'!L132</f>
        <v>7</v>
      </c>
      <c r="K136" s="289">
        <f>'Unit Savings Calculations'!$F132*'Unit Savings Calculations'!M132</f>
        <v>7</v>
      </c>
      <c r="L136" s="287" t="str">
        <f>'Unit Savings Calculations'!U132</f>
        <v>CI-HVC-PINS-V04-160601</v>
      </c>
      <c r="M136" s="363" t="s">
        <v>831</v>
      </c>
      <c r="N136" s="290">
        <v>133.90978522057964</v>
      </c>
      <c r="O136" s="290">
        <v>133.90978522057964</v>
      </c>
      <c r="P136" s="290">
        <v>133.90978522057964</v>
      </c>
      <c r="Q136" s="290">
        <v>133.90978522057964</v>
      </c>
      <c r="R136" s="291">
        <f>'Unit Savings Calculations'!$G132</f>
        <v>0.88</v>
      </c>
      <c r="S136" s="291">
        <f>'Unit Savings Calculations'!$G132</f>
        <v>0.88</v>
      </c>
      <c r="T136" s="291">
        <f>'Unit Savings Calculations'!$G132</f>
        <v>0.88</v>
      </c>
      <c r="U136" s="291">
        <f>'Unit Savings Calculations'!$G132</f>
        <v>0.88</v>
      </c>
      <c r="V136" s="292">
        <f t="shared" si="67"/>
        <v>824.88427695877056</v>
      </c>
      <c r="W136" s="292">
        <f t="shared" si="68"/>
        <v>824.88427695877056</v>
      </c>
      <c r="X136" s="292">
        <f t="shared" si="69"/>
        <v>824.88427695877056</v>
      </c>
      <c r="Y136" s="292">
        <f t="shared" si="70"/>
        <v>824.88427695877056</v>
      </c>
      <c r="Z136" s="292">
        <f t="shared" si="71"/>
        <v>3299.5371078350822</v>
      </c>
      <c r="AA136" s="287"/>
      <c r="AB136" s="287"/>
      <c r="AC136" s="293">
        <f>'Unit Savings Calculations'!N132</f>
        <v>133.90978522057964</v>
      </c>
      <c r="AD136" s="287"/>
      <c r="AE136" s="292">
        <f t="shared" si="49"/>
        <v>824.88427695877056</v>
      </c>
      <c r="AF136" s="289">
        <f t="shared" si="50"/>
        <v>0</v>
      </c>
      <c r="AG136" s="287"/>
      <c r="AH136" s="287">
        <f t="shared" si="51"/>
        <v>0</v>
      </c>
      <c r="AI136" s="290">
        <f>'Unit Savings Calculations'!O132</f>
        <v>133.90978522057964</v>
      </c>
      <c r="AJ136" s="287" t="s">
        <v>872</v>
      </c>
      <c r="AK136" s="292">
        <f t="shared" si="52"/>
        <v>824.88427695877056</v>
      </c>
      <c r="AL136" s="289">
        <f t="shared" si="53"/>
        <v>0</v>
      </c>
      <c r="AM136" s="287"/>
      <c r="AN136" s="287"/>
      <c r="AO136" s="290">
        <f>'Unit Savings Calculations'!P132</f>
        <v>133.90978522057964</v>
      </c>
      <c r="AP136" s="287" t="s">
        <v>764</v>
      </c>
      <c r="AQ136" s="292">
        <f t="shared" si="54"/>
        <v>824.88427695877056</v>
      </c>
      <c r="AR136" s="289">
        <f t="shared" si="55"/>
        <v>0</v>
      </c>
      <c r="AS136" s="287"/>
      <c r="AT136" s="287"/>
      <c r="AU136" s="290">
        <f>'Unit Savings Calculations'!Q132</f>
        <v>133.90978522057964</v>
      </c>
      <c r="AV136" s="287" t="str">
        <f t="shared" si="56"/>
        <v>n/a</v>
      </c>
      <c r="AW136" s="292">
        <f t="shared" si="57"/>
        <v>824.88427695877056</v>
      </c>
      <c r="AX136" s="289">
        <f t="shared" si="58"/>
        <v>0</v>
      </c>
      <c r="AY136" s="292">
        <f t="shared" si="59"/>
        <v>824.88427695877056</v>
      </c>
      <c r="AZ136" s="292">
        <f t="shared" si="60"/>
        <v>824.88427695877056</v>
      </c>
      <c r="BA136" s="292">
        <f t="shared" si="61"/>
        <v>824.88427695877056</v>
      </c>
      <c r="BB136" s="292">
        <f t="shared" si="62"/>
        <v>824.88427695877056</v>
      </c>
      <c r="BC136" s="294">
        <f t="shared" si="63"/>
        <v>3299.5371078350822</v>
      </c>
      <c r="BD136" s="287" t="s">
        <v>764</v>
      </c>
      <c r="BE136" s="295" t="str">
        <f t="shared" si="64"/>
        <v>Exhibit 1.5B_R Peoples Gas EEPS_Adjustable_Savings_Goal_Template.xlsx,Pipe Insulation Detail Tab</v>
      </c>
      <c r="BF136" s="297"/>
    </row>
    <row r="137" spans="1:58" ht="13.5" customHeight="1">
      <c r="A137" s="287" t="str">
        <f>'Unit Savings Calculations'!C133</f>
        <v>Res - MF PTA Rebates</v>
      </c>
      <c r="B137" s="287" t="str">
        <f>'Unit Savings Calculations'!D133</f>
        <v>Pipe Insulation - Steam X-Large Valve</v>
      </c>
      <c r="C137" s="288">
        <f t="shared" si="66"/>
        <v>1</v>
      </c>
      <c r="D137" s="287" t="str">
        <f>'Unit Savings Calculations'!T133</f>
        <v>4.4.14</v>
      </c>
      <c r="E137" s="287">
        <f>INDEX('Unit Savings Calculations'!$H$4:$H$421,MATCH('Measure-Level Adjustments Tab'!$A137&amp;"_"&amp;'Measure-Level Adjustments Tab'!$B137,'Unit Savings Calculations'!$A$4:$A$421,0))</f>
        <v>15</v>
      </c>
      <c r="F137" s="287">
        <f>INDEX('Unit Savings Calculations'!$I$4:$I$421,MATCH('Measure-Level Adjustments Tab'!A137&amp;"_"&amp;'Measure-Level Adjustments Tab'!B137,'Unit Savings Calculations'!$A$4:$A$421,0))</f>
        <v>15</v>
      </c>
      <c r="G137" s="287" t="str">
        <f>'Unit Savings Calculations'!E133</f>
        <v>each</v>
      </c>
      <c r="H137" s="289">
        <f>'Unit Savings Calculations'!$F133*'Unit Savings Calculations'!J133</f>
        <v>6</v>
      </c>
      <c r="I137" s="289">
        <f>'Unit Savings Calculations'!$F133*'Unit Savings Calculations'!K133</f>
        <v>6</v>
      </c>
      <c r="J137" s="289">
        <f>'Unit Savings Calculations'!$F133*'Unit Savings Calculations'!L133</f>
        <v>6</v>
      </c>
      <c r="K137" s="289">
        <f>'Unit Savings Calculations'!$F133*'Unit Savings Calculations'!M133</f>
        <v>6</v>
      </c>
      <c r="L137" s="287" t="str">
        <f>'Unit Savings Calculations'!U133</f>
        <v>CI-HVC-PINS-V04-160601</v>
      </c>
      <c r="M137" s="363" t="s">
        <v>831</v>
      </c>
      <c r="N137" s="290">
        <v>218.0177023221575</v>
      </c>
      <c r="O137" s="290">
        <v>218.0177023221575</v>
      </c>
      <c r="P137" s="290">
        <v>218.0177023221575</v>
      </c>
      <c r="Q137" s="290">
        <v>218.0177023221575</v>
      </c>
      <c r="R137" s="291">
        <f>'Unit Savings Calculations'!$G133</f>
        <v>0.88</v>
      </c>
      <c r="S137" s="291">
        <f>'Unit Savings Calculations'!$G133</f>
        <v>0.88</v>
      </c>
      <c r="T137" s="291">
        <f>'Unit Savings Calculations'!$G133</f>
        <v>0.88</v>
      </c>
      <c r="U137" s="291">
        <f>'Unit Savings Calculations'!$G133</f>
        <v>0.88</v>
      </c>
      <c r="V137" s="292">
        <f t="shared" si="67"/>
        <v>1151.1334682609918</v>
      </c>
      <c r="W137" s="292">
        <f t="shared" si="68"/>
        <v>1151.1334682609918</v>
      </c>
      <c r="X137" s="292">
        <f t="shared" si="69"/>
        <v>1151.1334682609918</v>
      </c>
      <c r="Y137" s="292">
        <f t="shared" si="70"/>
        <v>1151.1334682609918</v>
      </c>
      <c r="Z137" s="292">
        <f t="shared" si="71"/>
        <v>4604.5338730439671</v>
      </c>
      <c r="AA137" s="287"/>
      <c r="AB137" s="287"/>
      <c r="AC137" s="293">
        <f>'Unit Savings Calculations'!N133</f>
        <v>218.0177023221575</v>
      </c>
      <c r="AD137" s="287"/>
      <c r="AE137" s="292">
        <f t="shared" ref="AE137:AE201" si="72">H137*AC137*R137</f>
        <v>1151.1334682609918</v>
      </c>
      <c r="AF137" s="289">
        <f t="shared" ref="AF137:AF201" si="73">AE137-V137</f>
        <v>0</v>
      </c>
      <c r="AG137" s="287"/>
      <c r="AH137" s="287">
        <f t="shared" ref="AH137:AH201" si="74">AB137</f>
        <v>0</v>
      </c>
      <c r="AI137" s="290">
        <f>'Unit Savings Calculations'!O133</f>
        <v>218.0177023221575</v>
      </c>
      <c r="AJ137" s="287" t="s">
        <v>872</v>
      </c>
      <c r="AK137" s="292">
        <f t="shared" ref="AK137:AK201" si="75">I137*AI137*S137</f>
        <v>1151.1334682609918</v>
      </c>
      <c r="AL137" s="289">
        <f t="shared" ref="AL137:AL201" si="76">AK137-W137</f>
        <v>0</v>
      </c>
      <c r="AM137" s="287"/>
      <c r="AN137" s="287"/>
      <c r="AO137" s="290">
        <f>'Unit Savings Calculations'!P133</f>
        <v>218.0177023221575</v>
      </c>
      <c r="AP137" s="287" t="s">
        <v>764</v>
      </c>
      <c r="AQ137" s="292">
        <f t="shared" ref="AQ137:AQ201" si="77">J137*AO137*T137</f>
        <v>1151.1334682609918</v>
      </c>
      <c r="AR137" s="289">
        <f t="shared" ref="AR137:AR201" si="78">AQ137-X137</f>
        <v>0</v>
      </c>
      <c r="AS137" s="287"/>
      <c r="AT137" s="287"/>
      <c r="AU137" s="290">
        <f>'Unit Savings Calculations'!Q133</f>
        <v>218.0177023221575</v>
      </c>
      <c r="AV137" s="287" t="str">
        <f t="shared" ref="AV137:AV200" si="79">AP137</f>
        <v>n/a</v>
      </c>
      <c r="AW137" s="292">
        <f t="shared" ref="AW137:AW201" si="80">K137*AU137*U137</f>
        <v>1151.1334682609918</v>
      </c>
      <c r="AX137" s="289">
        <f t="shared" ref="AX137:AX201" si="81">AW137-Y137</f>
        <v>0</v>
      </c>
      <c r="AY137" s="292">
        <f t="shared" ref="AY137:AY200" si="82">IF(C137=1,AE137,V137)</f>
        <v>1151.1334682609918</v>
      </c>
      <c r="AZ137" s="292">
        <f t="shared" ref="AZ137:AZ200" si="83">IF(C137=1,AK137,W137)</f>
        <v>1151.1334682609918</v>
      </c>
      <c r="BA137" s="292">
        <f t="shared" ref="BA137:BA200" si="84">IF(C137=1,AQ137,X137)</f>
        <v>1151.1334682609918</v>
      </c>
      <c r="BB137" s="292">
        <f t="shared" ref="BB137:BB200" si="85">IF(C137=1,AW137,Y137)</f>
        <v>1151.1334682609918</v>
      </c>
      <c r="BC137" s="294">
        <f t="shared" ref="BC137:BC200" si="86">AY137+AZ137+BA137+BB137</f>
        <v>4604.5338730439671</v>
      </c>
      <c r="BD137" s="287" t="s">
        <v>764</v>
      </c>
      <c r="BE137" s="295" t="str">
        <f t="shared" ref="BE137:BE200" si="87">M137</f>
        <v>Exhibit 1.5B_R Peoples Gas EEPS_Adjustable_Savings_Goal_Template.xlsx,Pipe Insulation Detail Tab</v>
      </c>
      <c r="BF137" s="297"/>
    </row>
    <row r="138" spans="1:58" ht="13.5" customHeight="1">
      <c r="A138" s="287" t="str">
        <f>'Unit Savings Calculations'!C134</f>
        <v>Res - MF PTA Rebates</v>
      </c>
      <c r="B138" s="287" t="str">
        <f>'Unit Savings Calculations'!D134</f>
        <v>Steam Boiler ≥82% AFUE, &gt;300MBh TE</v>
      </c>
      <c r="C138" s="288">
        <f t="shared" si="66"/>
        <v>1</v>
      </c>
      <c r="D138" s="287" t="str">
        <f>'Unit Savings Calculations'!T134</f>
        <v>4.4.10</v>
      </c>
      <c r="E138" s="287">
        <f>INDEX('Unit Savings Calculations'!$H$4:$H$421,MATCH('Measure-Level Adjustments Tab'!$A138&amp;"_"&amp;'Measure-Level Adjustments Tab'!$B138,'Unit Savings Calculations'!$A$4:$A$421,0))</f>
        <v>20</v>
      </c>
      <c r="F138" s="287">
        <f>INDEX('Unit Savings Calculations'!$I$4:$I$421,MATCH('Measure-Level Adjustments Tab'!A138&amp;"_"&amp;'Measure-Level Adjustments Tab'!B138,'Unit Savings Calculations'!$A$4:$A$421,0))</f>
        <v>20</v>
      </c>
      <c r="G138" s="287" t="str">
        <f>'Unit Savings Calculations'!E134</f>
        <v>MBH</v>
      </c>
      <c r="H138" s="289">
        <f>'Unit Savings Calculations'!$F134*'Unit Savings Calculations'!J134</f>
        <v>14850</v>
      </c>
      <c r="I138" s="289">
        <f>'Unit Savings Calculations'!$F134*'Unit Savings Calculations'!K134</f>
        <v>14850</v>
      </c>
      <c r="J138" s="289">
        <f>'Unit Savings Calculations'!$F134*'Unit Savings Calculations'!L134</f>
        <v>14850</v>
      </c>
      <c r="K138" s="289">
        <f>'Unit Savings Calculations'!$F134*'Unit Savings Calculations'!M134</f>
        <v>14850</v>
      </c>
      <c r="L138" s="287" t="str">
        <f>'Unit Savings Calculations'!U134</f>
        <v>CI-HVC-BOIL-V05-150601</v>
      </c>
      <c r="M138" s="363" t="s">
        <v>830</v>
      </c>
      <c r="N138" s="290">
        <v>0.63987341772151718</v>
      </c>
      <c r="O138" s="290">
        <v>0.63987341772151718</v>
      </c>
      <c r="P138" s="290">
        <v>0.63987341772151718</v>
      </c>
      <c r="Q138" s="290">
        <v>0.63987341772151718</v>
      </c>
      <c r="R138" s="291">
        <f>'Unit Savings Calculations'!$G134</f>
        <v>0.88</v>
      </c>
      <c r="S138" s="291">
        <f>'Unit Savings Calculations'!$G134</f>
        <v>0.88</v>
      </c>
      <c r="T138" s="291">
        <f>'Unit Savings Calculations'!$G134</f>
        <v>0.88</v>
      </c>
      <c r="U138" s="291">
        <f>'Unit Savings Calculations'!$G134</f>
        <v>0.88</v>
      </c>
      <c r="V138" s="292">
        <f t="shared" si="67"/>
        <v>8361.8658227847864</v>
      </c>
      <c r="W138" s="292">
        <f t="shared" si="68"/>
        <v>8361.8658227847864</v>
      </c>
      <c r="X138" s="292">
        <f t="shared" si="69"/>
        <v>8361.8658227847864</v>
      </c>
      <c r="Y138" s="292">
        <f t="shared" si="70"/>
        <v>8361.8658227847864</v>
      </c>
      <c r="Z138" s="292">
        <f t="shared" si="71"/>
        <v>33447.463291139145</v>
      </c>
      <c r="AA138" s="287"/>
      <c r="AB138" s="287"/>
      <c r="AC138" s="293">
        <f>'Unit Savings Calculations'!N134</f>
        <v>0.67670886075949166</v>
      </c>
      <c r="AD138" s="287"/>
      <c r="AE138" s="292">
        <f t="shared" si="72"/>
        <v>8843.2313924050377</v>
      </c>
      <c r="AF138" s="289">
        <f t="shared" si="73"/>
        <v>481.36556962025134</v>
      </c>
      <c r="AG138" s="287"/>
      <c r="AH138" s="287">
        <f t="shared" si="74"/>
        <v>0</v>
      </c>
      <c r="AI138" s="290">
        <f>'Unit Savings Calculations'!O134</f>
        <v>0.67670886075949166</v>
      </c>
      <c r="AJ138" s="287" t="s">
        <v>872</v>
      </c>
      <c r="AK138" s="292">
        <f t="shared" si="75"/>
        <v>8843.2313924050377</v>
      </c>
      <c r="AL138" s="289">
        <f t="shared" si="76"/>
        <v>481.36556962025134</v>
      </c>
      <c r="AM138" s="287"/>
      <c r="AN138" s="287"/>
      <c r="AO138" s="290">
        <f>'Unit Savings Calculations'!P134</f>
        <v>0.67670886075949166</v>
      </c>
      <c r="AP138" s="287" t="s">
        <v>1450</v>
      </c>
      <c r="AQ138" s="292">
        <f t="shared" si="77"/>
        <v>8843.2313924050377</v>
      </c>
      <c r="AR138" s="289">
        <f t="shared" si="78"/>
        <v>481.36556962025134</v>
      </c>
      <c r="AS138" s="287"/>
      <c r="AT138" s="287"/>
      <c r="AU138" s="290">
        <f>'Unit Savings Calculations'!Q134</f>
        <v>0.67670886075949166</v>
      </c>
      <c r="AV138" s="287" t="str">
        <f t="shared" si="79"/>
        <v>Updated heating EFLH</v>
      </c>
      <c r="AW138" s="292">
        <f t="shared" si="80"/>
        <v>8843.2313924050377</v>
      </c>
      <c r="AX138" s="289">
        <f t="shared" si="81"/>
        <v>481.36556962025134</v>
      </c>
      <c r="AY138" s="292">
        <f t="shared" si="82"/>
        <v>8843.2313924050377</v>
      </c>
      <c r="AZ138" s="292">
        <f t="shared" si="83"/>
        <v>8843.2313924050377</v>
      </c>
      <c r="BA138" s="292">
        <f t="shared" si="84"/>
        <v>8843.2313924050377</v>
      </c>
      <c r="BB138" s="292">
        <f t="shared" si="85"/>
        <v>8843.2313924050377</v>
      </c>
      <c r="BC138" s="294">
        <f t="shared" si="86"/>
        <v>35372.925569620151</v>
      </c>
      <c r="BD138" s="287" t="s">
        <v>764</v>
      </c>
      <c r="BE138" s="295" t="str">
        <f t="shared" si="87"/>
        <v>Exhibit 1.5B_R Peoples Gas EEPS_Adjustable_Savings_Goal_Template.xlsx, Unit Savings Calculations Tab</v>
      </c>
      <c r="BF138" s="297"/>
    </row>
    <row r="139" spans="1:58" ht="13.5" customHeight="1">
      <c r="A139" s="287" t="str">
        <f>'Unit Savings Calculations'!C135</f>
        <v>Res - MF PTA Rebates</v>
      </c>
      <c r="B139" s="287" t="str">
        <f>'Unit Savings Calculations'!D135</f>
        <v>Steam Boiler Averaging Controls</v>
      </c>
      <c r="C139" s="288">
        <f t="shared" si="66"/>
        <v>1</v>
      </c>
      <c r="D139" s="287" t="str">
        <f>'Unit Savings Calculations'!T135</f>
        <v>4.4.36</v>
      </c>
      <c r="E139" s="287">
        <f>INDEX('Unit Savings Calculations'!$H$4:$H$421,MATCH('Measure-Level Adjustments Tab'!$A139&amp;"_"&amp;'Measure-Level Adjustments Tab'!$B139,'Unit Savings Calculations'!$A$4:$A$421,0))</f>
        <v>20</v>
      </c>
      <c r="F139" s="287">
        <f>INDEX('Unit Savings Calculations'!$I$4:$I$421,MATCH('Measure-Level Adjustments Tab'!A139&amp;"_"&amp;'Measure-Level Adjustments Tab'!B139,'Unit Savings Calculations'!$A$4:$A$421,0))</f>
        <v>20</v>
      </c>
      <c r="G139" s="287" t="str">
        <f>'Unit Savings Calculations'!E135</f>
        <v>each</v>
      </c>
      <c r="H139" s="289">
        <f>'Unit Savings Calculations'!$F135*'Unit Savings Calculations'!J135</f>
        <v>110</v>
      </c>
      <c r="I139" s="289">
        <f>'Unit Savings Calculations'!$F135*'Unit Savings Calculations'!K135</f>
        <v>110</v>
      </c>
      <c r="J139" s="289">
        <f>'Unit Savings Calculations'!$F135*'Unit Savings Calculations'!L135</f>
        <v>110</v>
      </c>
      <c r="K139" s="289">
        <f>'Unit Savings Calculations'!$F135*'Unit Savings Calculations'!M135</f>
        <v>110</v>
      </c>
      <c r="L139" s="287" t="str">
        <f>'Unit Savings Calculations'!U135</f>
        <v>CI-HVC-SBAC-V01-160601</v>
      </c>
      <c r="M139" s="363" t="s">
        <v>830</v>
      </c>
      <c r="N139" s="290">
        <v>76.95</v>
      </c>
      <c r="O139" s="290">
        <v>76.95</v>
      </c>
      <c r="P139" s="290">
        <v>76.95</v>
      </c>
      <c r="Q139" s="290">
        <v>76.95</v>
      </c>
      <c r="R139" s="291">
        <f>'Unit Savings Calculations'!$G135</f>
        <v>0.88</v>
      </c>
      <c r="S139" s="291">
        <f>'Unit Savings Calculations'!$G135</f>
        <v>0.88</v>
      </c>
      <c r="T139" s="291">
        <f>'Unit Savings Calculations'!$G135</f>
        <v>0.88</v>
      </c>
      <c r="U139" s="291">
        <f>'Unit Savings Calculations'!$G135</f>
        <v>0.88</v>
      </c>
      <c r="V139" s="292">
        <f t="shared" si="67"/>
        <v>7448.76</v>
      </c>
      <c r="W139" s="292">
        <f t="shared" si="68"/>
        <v>7448.76</v>
      </c>
      <c r="X139" s="292">
        <f t="shared" si="69"/>
        <v>7448.76</v>
      </c>
      <c r="Y139" s="292">
        <f t="shared" si="70"/>
        <v>7448.76</v>
      </c>
      <c r="Z139" s="292">
        <f t="shared" si="71"/>
        <v>29795.040000000001</v>
      </c>
      <c r="AA139" s="287"/>
      <c r="AB139" s="287"/>
      <c r="AC139" s="293">
        <f>'Unit Savings Calculations'!N135</f>
        <v>156.97800000000001</v>
      </c>
      <c r="AD139" s="287"/>
      <c r="AE139" s="292">
        <f t="shared" si="72"/>
        <v>15195.470400000002</v>
      </c>
      <c r="AF139" s="289">
        <f t="shared" si="73"/>
        <v>7746.7104000000018</v>
      </c>
      <c r="AG139" s="287"/>
      <c r="AH139" s="287">
        <f t="shared" si="74"/>
        <v>0</v>
      </c>
      <c r="AI139" s="290">
        <f>'Unit Savings Calculations'!O135</f>
        <v>156.97800000000001</v>
      </c>
      <c r="AJ139" s="287" t="s">
        <v>928</v>
      </c>
      <c r="AK139" s="292">
        <f t="shared" si="75"/>
        <v>15195.470400000002</v>
      </c>
      <c r="AL139" s="289">
        <f t="shared" si="76"/>
        <v>7746.7104000000018</v>
      </c>
      <c r="AM139" s="287"/>
      <c r="AN139" s="287"/>
      <c r="AO139" s="290">
        <f>'Unit Savings Calculations'!P135</f>
        <v>156.97800000000001</v>
      </c>
      <c r="AP139" s="287" t="s">
        <v>764</v>
      </c>
      <c r="AQ139" s="292">
        <f t="shared" si="77"/>
        <v>15195.470400000002</v>
      </c>
      <c r="AR139" s="289">
        <f t="shared" si="78"/>
        <v>7746.7104000000018</v>
      </c>
      <c r="AS139" s="287"/>
      <c r="AT139" s="287"/>
      <c r="AU139" s="290">
        <f>'Unit Savings Calculations'!Q135</f>
        <v>156.97800000000001</v>
      </c>
      <c r="AV139" s="287" t="str">
        <f t="shared" si="79"/>
        <v>n/a</v>
      </c>
      <c r="AW139" s="292">
        <f t="shared" si="80"/>
        <v>15195.470400000002</v>
      </c>
      <c r="AX139" s="289">
        <f t="shared" si="81"/>
        <v>7746.7104000000018</v>
      </c>
      <c r="AY139" s="292">
        <f t="shared" si="82"/>
        <v>15195.470400000002</v>
      </c>
      <c r="AZ139" s="292">
        <f t="shared" si="83"/>
        <v>15195.470400000002</v>
      </c>
      <c r="BA139" s="292">
        <f t="shared" si="84"/>
        <v>15195.470400000002</v>
      </c>
      <c r="BB139" s="292">
        <f t="shared" si="85"/>
        <v>15195.470400000002</v>
      </c>
      <c r="BC139" s="294">
        <f t="shared" si="86"/>
        <v>60781.881600000008</v>
      </c>
      <c r="BD139" s="287" t="s">
        <v>764</v>
      </c>
      <c r="BE139" s="295" t="str">
        <f t="shared" si="87"/>
        <v>Exhibit 1.5B_R Peoples Gas EEPS_Adjustable_Savings_Goal_Template.xlsx, Unit Savings Calculations Tab</v>
      </c>
      <c r="BF139" s="297"/>
    </row>
    <row r="140" spans="1:58" ht="13.5" customHeight="1">
      <c r="A140" s="287" t="str">
        <f>'Unit Savings Calculations'!C136</f>
        <v>Res - MF PTA Rebates</v>
      </c>
      <c r="B140" s="287" t="str">
        <f>'Unit Savings Calculations'!D136</f>
        <v>Steam Traps - Dry Cleaner/Industrial</v>
      </c>
      <c r="C140" s="288">
        <f t="shared" si="66"/>
        <v>1</v>
      </c>
      <c r="D140" s="287" t="str">
        <f>'Unit Savings Calculations'!T136</f>
        <v>4.4.16</v>
      </c>
      <c r="E140" s="287">
        <f>INDEX('Unit Savings Calculations'!$H$4:$H$421,MATCH('Measure-Level Adjustments Tab'!$A140&amp;"_"&amp;'Measure-Level Adjustments Tab'!$B140,'Unit Savings Calculations'!$A$4:$A$421,0))</f>
        <v>6</v>
      </c>
      <c r="F140" s="287">
        <f>INDEX('Unit Savings Calculations'!$I$4:$I$421,MATCH('Measure-Level Adjustments Tab'!A140&amp;"_"&amp;'Measure-Level Adjustments Tab'!B140,'Unit Savings Calculations'!$A$4:$A$421,0))</f>
        <v>6</v>
      </c>
      <c r="G140" s="287" t="str">
        <f>'Unit Savings Calculations'!E136</f>
        <v>each</v>
      </c>
      <c r="H140" s="289">
        <f>'Unit Savings Calculations'!$F136*'Unit Savings Calculations'!J136</f>
        <v>89</v>
      </c>
      <c r="I140" s="289">
        <f>'Unit Savings Calculations'!$F136*'Unit Savings Calculations'!K136</f>
        <v>89</v>
      </c>
      <c r="J140" s="289">
        <f>'Unit Savings Calculations'!$F136*'Unit Savings Calculations'!L136</f>
        <v>89</v>
      </c>
      <c r="K140" s="289">
        <f>'Unit Savings Calculations'!$F136*'Unit Savings Calculations'!M136</f>
        <v>89</v>
      </c>
      <c r="L140" s="287" t="str">
        <f>'Unit Savings Calculations'!U136</f>
        <v>CI-HVC-STRE-V05-180101</v>
      </c>
      <c r="M140" s="363" t="s">
        <v>830</v>
      </c>
      <c r="N140" s="290">
        <v>137.91939591078068</v>
      </c>
      <c r="O140" s="290">
        <v>137.91939591078068</v>
      </c>
      <c r="P140" s="290">
        <v>137.91939591078068</v>
      </c>
      <c r="Q140" s="290">
        <v>137.91939591078068</v>
      </c>
      <c r="R140" s="291">
        <f>'Unit Savings Calculations'!$G136</f>
        <v>0.88</v>
      </c>
      <c r="S140" s="291">
        <f>'Unit Savings Calculations'!$G136</f>
        <v>0.88</v>
      </c>
      <c r="T140" s="291">
        <f>'Unit Savings Calculations'!$G136</f>
        <v>0.88</v>
      </c>
      <c r="U140" s="291">
        <f>'Unit Savings Calculations'!$G136</f>
        <v>0.88</v>
      </c>
      <c r="V140" s="292">
        <f t="shared" si="67"/>
        <v>10801.847087732342</v>
      </c>
      <c r="W140" s="292">
        <f t="shared" si="68"/>
        <v>10801.847087732342</v>
      </c>
      <c r="X140" s="292">
        <f t="shared" si="69"/>
        <v>10801.847087732342</v>
      </c>
      <c r="Y140" s="292">
        <f t="shared" si="70"/>
        <v>10801.847087732342</v>
      </c>
      <c r="Z140" s="292">
        <f t="shared" si="71"/>
        <v>43207.388350929366</v>
      </c>
      <c r="AA140" s="287"/>
      <c r="AB140" s="287"/>
      <c r="AC140" s="293">
        <f>'Unit Savings Calculations'!N136</f>
        <v>137.91939591078068</v>
      </c>
      <c r="AD140" s="287"/>
      <c r="AE140" s="292">
        <f t="shared" si="72"/>
        <v>10801.847087732342</v>
      </c>
      <c r="AF140" s="289">
        <f t="shared" si="73"/>
        <v>0</v>
      </c>
      <c r="AG140" s="287"/>
      <c r="AH140" s="287">
        <f t="shared" si="74"/>
        <v>0</v>
      </c>
      <c r="AI140" s="290">
        <f>'Unit Savings Calculations'!O136</f>
        <v>137.91939591078068</v>
      </c>
      <c r="AJ140" s="287" t="s">
        <v>872</v>
      </c>
      <c r="AK140" s="292">
        <f t="shared" si="75"/>
        <v>10801.847087732342</v>
      </c>
      <c r="AL140" s="289">
        <f t="shared" si="76"/>
        <v>0</v>
      </c>
      <c r="AM140" s="287"/>
      <c r="AN140" s="287"/>
      <c r="AO140" s="290">
        <f>'Unit Savings Calculations'!P136</f>
        <v>137.91939591078068</v>
      </c>
      <c r="AP140" s="287" t="s">
        <v>764</v>
      </c>
      <c r="AQ140" s="292">
        <f t="shared" si="77"/>
        <v>10801.847087732342</v>
      </c>
      <c r="AR140" s="289">
        <f t="shared" si="78"/>
        <v>0</v>
      </c>
      <c r="AS140" s="287"/>
      <c r="AT140" s="287"/>
      <c r="AU140" s="290">
        <f>'Unit Savings Calculations'!Q136</f>
        <v>137.91939591078068</v>
      </c>
      <c r="AV140" s="287" t="str">
        <f t="shared" si="79"/>
        <v>n/a</v>
      </c>
      <c r="AW140" s="292">
        <f t="shared" si="80"/>
        <v>10801.847087732342</v>
      </c>
      <c r="AX140" s="289">
        <f t="shared" si="81"/>
        <v>0</v>
      </c>
      <c r="AY140" s="292">
        <f t="shared" si="82"/>
        <v>10801.847087732342</v>
      </c>
      <c r="AZ140" s="292">
        <f t="shared" si="83"/>
        <v>10801.847087732342</v>
      </c>
      <c r="BA140" s="292">
        <f t="shared" si="84"/>
        <v>10801.847087732342</v>
      </c>
      <c r="BB140" s="292">
        <f t="shared" si="85"/>
        <v>10801.847087732342</v>
      </c>
      <c r="BC140" s="294">
        <f t="shared" si="86"/>
        <v>43207.388350929366</v>
      </c>
      <c r="BD140" s="287" t="s">
        <v>764</v>
      </c>
      <c r="BE140" s="295" t="str">
        <f t="shared" si="87"/>
        <v>Exhibit 1.5B_R Peoples Gas EEPS_Adjustable_Savings_Goal_Template.xlsx, Unit Savings Calculations Tab</v>
      </c>
      <c r="BF140" s="297"/>
    </row>
    <row r="141" spans="1:58" ht="13.5" customHeight="1">
      <c r="A141" s="287" t="str">
        <f>'Unit Savings Calculations'!C137</f>
        <v>Res - MF PTA Rebates</v>
      </c>
      <c r="B141" s="287" t="str">
        <f>'Unit Savings Calculations'!D137</f>
        <v>Steam Traps - HVAC Repair/Rep - Audit</v>
      </c>
      <c r="C141" s="288">
        <f t="shared" si="66"/>
        <v>1</v>
      </c>
      <c r="D141" s="287" t="str">
        <f>'Unit Savings Calculations'!T137</f>
        <v>4.4.16</v>
      </c>
      <c r="E141" s="287">
        <f>INDEX('Unit Savings Calculations'!$H$4:$H$421,MATCH('Measure-Level Adjustments Tab'!$A141&amp;"_"&amp;'Measure-Level Adjustments Tab'!$B141,'Unit Savings Calculations'!$A$4:$A$421,0))</f>
        <v>6</v>
      </c>
      <c r="F141" s="287">
        <f>INDEX('Unit Savings Calculations'!$I$4:$I$421,MATCH('Measure-Level Adjustments Tab'!A141&amp;"_"&amp;'Measure-Level Adjustments Tab'!B141,'Unit Savings Calculations'!$A$4:$A$421,0))</f>
        <v>6</v>
      </c>
      <c r="G141" s="287" t="str">
        <f>'Unit Savings Calculations'!E137</f>
        <v>each</v>
      </c>
      <c r="H141" s="289">
        <f>'Unit Savings Calculations'!$F137*'Unit Savings Calculations'!J137</f>
        <v>71</v>
      </c>
      <c r="I141" s="289">
        <f>'Unit Savings Calculations'!$F137*'Unit Savings Calculations'!K137</f>
        <v>71</v>
      </c>
      <c r="J141" s="289">
        <f>'Unit Savings Calculations'!$F137*'Unit Savings Calculations'!L137</f>
        <v>71</v>
      </c>
      <c r="K141" s="289">
        <f>'Unit Savings Calculations'!$F137*'Unit Savings Calculations'!M137</f>
        <v>71</v>
      </c>
      <c r="L141" s="287" t="str">
        <f>'Unit Savings Calculations'!U137</f>
        <v>CI-HVC-STRE-V05-180101</v>
      </c>
      <c r="M141" s="363" t="s">
        <v>830</v>
      </c>
      <c r="N141" s="290">
        <v>110.15789625000002</v>
      </c>
      <c r="O141" s="290">
        <v>110.15789625000002</v>
      </c>
      <c r="P141" s="290">
        <v>110.15789625000002</v>
      </c>
      <c r="Q141" s="290">
        <v>110.15789625000002</v>
      </c>
      <c r="R141" s="291">
        <f>'Unit Savings Calculations'!$G137</f>
        <v>0.88</v>
      </c>
      <c r="S141" s="291">
        <f>'Unit Savings Calculations'!$G137</f>
        <v>0.88</v>
      </c>
      <c r="T141" s="291">
        <f>'Unit Savings Calculations'!$G137</f>
        <v>0.88</v>
      </c>
      <c r="U141" s="291">
        <f>'Unit Savings Calculations'!$G137</f>
        <v>0.88</v>
      </c>
      <c r="V141" s="292">
        <f t="shared" si="67"/>
        <v>6882.6653577000016</v>
      </c>
      <c r="W141" s="292">
        <f t="shared" si="68"/>
        <v>6882.6653577000016</v>
      </c>
      <c r="X141" s="292">
        <f t="shared" si="69"/>
        <v>6882.6653577000016</v>
      </c>
      <c r="Y141" s="292">
        <f t="shared" si="70"/>
        <v>6882.6653577000016</v>
      </c>
      <c r="Z141" s="292">
        <f t="shared" si="71"/>
        <v>27530.661430800006</v>
      </c>
      <c r="AA141" s="287"/>
      <c r="AB141" s="287"/>
      <c r="AC141" s="293">
        <f>'Unit Savings Calculations'!N137</f>
        <v>110.15789625000002</v>
      </c>
      <c r="AD141" s="287"/>
      <c r="AE141" s="292">
        <f t="shared" si="72"/>
        <v>6882.6653577000016</v>
      </c>
      <c r="AF141" s="289">
        <f t="shared" si="73"/>
        <v>0</v>
      </c>
      <c r="AG141" s="287"/>
      <c r="AH141" s="287">
        <f t="shared" si="74"/>
        <v>0</v>
      </c>
      <c r="AI141" s="290">
        <f>'Unit Savings Calculations'!O137</f>
        <v>110.15789625000002</v>
      </c>
      <c r="AJ141" s="287" t="s">
        <v>872</v>
      </c>
      <c r="AK141" s="292">
        <f t="shared" si="75"/>
        <v>6882.6653577000016</v>
      </c>
      <c r="AL141" s="289">
        <f t="shared" si="76"/>
        <v>0</v>
      </c>
      <c r="AM141" s="287"/>
      <c r="AN141" s="287"/>
      <c r="AO141" s="290">
        <f>'Unit Savings Calculations'!P137</f>
        <v>110.15789625000002</v>
      </c>
      <c r="AP141" s="287" t="s">
        <v>764</v>
      </c>
      <c r="AQ141" s="292">
        <f t="shared" si="77"/>
        <v>6882.6653577000016</v>
      </c>
      <c r="AR141" s="289">
        <f t="shared" si="78"/>
        <v>0</v>
      </c>
      <c r="AS141" s="287"/>
      <c r="AT141" s="287"/>
      <c r="AU141" s="290">
        <f>'Unit Savings Calculations'!Q137</f>
        <v>110.15789625000002</v>
      </c>
      <c r="AV141" s="287" t="str">
        <f t="shared" si="79"/>
        <v>n/a</v>
      </c>
      <c r="AW141" s="292">
        <f t="shared" si="80"/>
        <v>6882.6653577000016</v>
      </c>
      <c r="AX141" s="289">
        <f t="shared" si="81"/>
        <v>0</v>
      </c>
      <c r="AY141" s="292">
        <f t="shared" si="82"/>
        <v>6882.6653577000016</v>
      </c>
      <c r="AZ141" s="292">
        <f t="shared" si="83"/>
        <v>6882.6653577000016</v>
      </c>
      <c r="BA141" s="292">
        <f t="shared" si="84"/>
        <v>6882.6653577000016</v>
      </c>
      <c r="BB141" s="292">
        <f t="shared" si="85"/>
        <v>6882.6653577000016</v>
      </c>
      <c r="BC141" s="294">
        <f t="shared" si="86"/>
        <v>27530.661430800006</v>
      </c>
      <c r="BD141" s="287" t="s">
        <v>764</v>
      </c>
      <c r="BE141" s="295" t="str">
        <f t="shared" si="87"/>
        <v>Exhibit 1.5B_R Peoples Gas EEPS_Adjustable_Savings_Goal_Template.xlsx, Unit Savings Calculations Tab</v>
      </c>
      <c r="BF141" s="297"/>
    </row>
    <row r="142" spans="1:58" ht="13.5" customHeight="1">
      <c r="A142" s="287" t="str">
        <f>'Unit Savings Calculations'!C138</f>
        <v>Res - MF PTA Rebates</v>
      </c>
      <c r="B142" s="287" t="str">
        <f>'Unit Savings Calculations'!D138</f>
        <v>Steam Traps - HVAC Repair/Rep - No Audit</v>
      </c>
      <c r="C142" s="288">
        <f t="shared" si="66"/>
        <v>1</v>
      </c>
      <c r="D142" s="287" t="str">
        <f>'Unit Savings Calculations'!T138</f>
        <v>4.4.16</v>
      </c>
      <c r="E142" s="287">
        <f>INDEX('Unit Savings Calculations'!$H$4:$H$421,MATCH('Measure-Level Adjustments Tab'!$A142&amp;"_"&amp;'Measure-Level Adjustments Tab'!$B142,'Unit Savings Calculations'!$A$4:$A$421,0))</f>
        <v>6</v>
      </c>
      <c r="F142" s="287">
        <f>INDEX('Unit Savings Calculations'!$I$4:$I$421,MATCH('Measure-Level Adjustments Tab'!A142&amp;"_"&amp;'Measure-Level Adjustments Tab'!B142,'Unit Savings Calculations'!$A$4:$A$421,0))</f>
        <v>6</v>
      </c>
      <c r="G142" s="287" t="str">
        <f>'Unit Savings Calculations'!E138</f>
        <v>each</v>
      </c>
      <c r="H142" s="289">
        <f>'Unit Savings Calculations'!$F138*'Unit Savings Calculations'!J138</f>
        <v>82</v>
      </c>
      <c r="I142" s="289">
        <f>'Unit Savings Calculations'!$F138*'Unit Savings Calculations'!K138</f>
        <v>82</v>
      </c>
      <c r="J142" s="289">
        <f>'Unit Savings Calculations'!$F138*'Unit Savings Calculations'!L138</f>
        <v>82</v>
      </c>
      <c r="K142" s="289">
        <f>'Unit Savings Calculations'!$F138*'Unit Savings Calculations'!M138</f>
        <v>82</v>
      </c>
      <c r="L142" s="287" t="str">
        <f>'Unit Savings Calculations'!U138</f>
        <v>CI-HVC-STRE-V05-180101</v>
      </c>
      <c r="M142" s="363" t="s">
        <v>830</v>
      </c>
      <c r="N142" s="290">
        <v>110.15789625000002</v>
      </c>
      <c r="O142" s="290">
        <v>110.15789625000002</v>
      </c>
      <c r="P142" s="290">
        <v>110.15789625000002</v>
      </c>
      <c r="Q142" s="290">
        <v>110.15789625000002</v>
      </c>
      <c r="R142" s="291">
        <f>'Unit Savings Calculations'!$G138</f>
        <v>0.88</v>
      </c>
      <c r="S142" s="291">
        <f>'Unit Savings Calculations'!$G138</f>
        <v>0.88</v>
      </c>
      <c r="T142" s="291">
        <f>'Unit Savings Calculations'!$G138</f>
        <v>0.88</v>
      </c>
      <c r="U142" s="291">
        <f>'Unit Savings Calculations'!$G138</f>
        <v>0.88</v>
      </c>
      <c r="V142" s="292">
        <f t="shared" si="67"/>
        <v>7948.9937934000009</v>
      </c>
      <c r="W142" s="292">
        <f t="shared" si="68"/>
        <v>7948.9937934000009</v>
      </c>
      <c r="X142" s="292">
        <f t="shared" si="69"/>
        <v>7948.9937934000009</v>
      </c>
      <c r="Y142" s="292">
        <f t="shared" si="70"/>
        <v>7948.9937934000009</v>
      </c>
      <c r="Z142" s="292">
        <f t="shared" si="71"/>
        <v>31795.975173600003</v>
      </c>
      <c r="AA142" s="287"/>
      <c r="AB142" s="287"/>
      <c r="AC142" s="293">
        <f>'Unit Savings Calculations'!N138</f>
        <v>110.15789625000002</v>
      </c>
      <c r="AD142" s="287"/>
      <c r="AE142" s="292">
        <f t="shared" si="72"/>
        <v>7948.9937934000009</v>
      </c>
      <c r="AF142" s="289">
        <f t="shared" si="73"/>
        <v>0</v>
      </c>
      <c r="AG142" s="287"/>
      <c r="AH142" s="287">
        <f t="shared" si="74"/>
        <v>0</v>
      </c>
      <c r="AI142" s="290">
        <f>'Unit Savings Calculations'!O138</f>
        <v>110.15789625000002</v>
      </c>
      <c r="AJ142" s="287" t="s">
        <v>872</v>
      </c>
      <c r="AK142" s="292">
        <f t="shared" si="75"/>
        <v>7948.9937934000009</v>
      </c>
      <c r="AL142" s="289">
        <f t="shared" si="76"/>
        <v>0</v>
      </c>
      <c r="AM142" s="287"/>
      <c r="AN142" s="287"/>
      <c r="AO142" s="290">
        <f>'Unit Savings Calculations'!P138</f>
        <v>110.15789625000002</v>
      </c>
      <c r="AP142" s="287" t="s">
        <v>764</v>
      </c>
      <c r="AQ142" s="292">
        <f t="shared" si="77"/>
        <v>7948.9937934000009</v>
      </c>
      <c r="AR142" s="289">
        <f t="shared" si="78"/>
        <v>0</v>
      </c>
      <c r="AS142" s="287"/>
      <c r="AT142" s="287"/>
      <c r="AU142" s="290">
        <f>'Unit Savings Calculations'!Q138</f>
        <v>110.15789625000002</v>
      </c>
      <c r="AV142" s="287" t="str">
        <f t="shared" si="79"/>
        <v>n/a</v>
      </c>
      <c r="AW142" s="292">
        <f t="shared" si="80"/>
        <v>7948.9937934000009</v>
      </c>
      <c r="AX142" s="289">
        <f t="shared" si="81"/>
        <v>0</v>
      </c>
      <c r="AY142" s="292">
        <f t="shared" si="82"/>
        <v>7948.9937934000009</v>
      </c>
      <c r="AZ142" s="292">
        <f t="shared" si="83"/>
        <v>7948.9937934000009</v>
      </c>
      <c r="BA142" s="292">
        <f t="shared" si="84"/>
        <v>7948.9937934000009</v>
      </c>
      <c r="BB142" s="292">
        <f t="shared" si="85"/>
        <v>7948.9937934000009</v>
      </c>
      <c r="BC142" s="294">
        <f t="shared" si="86"/>
        <v>31795.975173600003</v>
      </c>
      <c r="BD142" s="287" t="s">
        <v>764</v>
      </c>
      <c r="BE142" s="295" t="str">
        <f t="shared" si="87"/>
        <v>Exhibit 1.5B_R Peoples Gas EEPS_Adjustable_Savings_Goal_Template.xlsx, Unit Savings Calculations Tab</v>
      </c>
      <c r="BF142" s="297"/>
    </row>
    <row r="143" spans="1:58" ht="13.5" customHeight="1">
      <c r="A143" s="287" t="str">
        <f>'Unit Savings Calculations'!C139</f>
        <v>Res - MF PTA Rebates</v>
      </c>
      <c r="B143" s="287" t="str">
        <f>'Unit Savings Calculations'!D139</f>
        <v>Steam Traps - Test</v>
      </c>
      <c r="C143" s="288">
        <f t="shared" si="66"/>
        <v>0</v>
      </c>
      <c r="D143" s="287" t="str">
        <f>'Unit Savings Calculations'!T139</f>
        <v>Custom</v>
      </c>
      <c r="E143" s="287">
        <f>INDEX('Unit Savings Calculations'!$H$4:$H$421,MATCH('Measure-Level Adjustments Tab'!$A143&amp;"_"&amp;'Measure-Level Adjustments Tab'!$B143,'Unit Savings Calculations'!$A$4:$A$421,0))</f>
        <v>3</v>
      </c>
      <c r="F143" s="287">
        <f>INDEX('Unit Savings Calculations'!$I$4:$I$421,MATCH('Measure-Level Adjustments Tab'!A143&amp;"_"&amp;'Measure-Level Adjustments Tab'!B143,'Unit Savings Calculations'!$A$4:$A$421,0))</f>
        <v>3</v>
      </c>
      <c r="G143" s="287" t="str">
        <f>'Unit Savings Calculations'!E139</f>
        <v>each</v>
      </c>
      <c r="H143" s="289">
        <f>'Unit Savings Calculations'!$F139*'Unit Savings Calculations'!J139</f>
        <v>53</v>
      </c>
      <c r="I143" s="289">
        <f>'Unit Savings Calculations'!$F139*'Unit Savings Calculations'!K139</f>
        <v>53</v>
      </c>
      <c r="J143" s="289">
        <f>'Unit Savings Calculations'!$F139*'Unit Savings Calculations'!L139</f>
        <v>53</v>
      </c>
      <c r="K143" s="289">
        <f>'Unit Savings Calculations'!$F139*'Unit Savings Calculations'!M139</f>
        <v>53</v>
      </c>
      <c r="L143" s="287" t="str">
        <f>'Unit Savings Calculations'!U139</f>
        <v>Custom</v>
      </c>
      <c r="M143" s="287" t="str">
        <f>'Unit Savings Calculations'!S139</f>
        <v>Custom</v>
      </c>
      <c r="N143" s="290">
        <v>0</v>
      </c>
      <c r="O143" s="290">
        <v>0</v>
      </c>
      <c r="P143" s="290">
        <v>0</v>
      </c>
      <c r="Q143" s="290">
        <v>0</v>
      </c>
      <c r="R143" s="291">
        <f>'Unit Savings Calculations'!$G139</f>
        <v>0.88</v>
      </c>
      <c r="S143" s="291">
        <f>'Unit Savings Calculations'!$G139</f>
        <v>0.88</v>
      </c>
      <c r="T143" s="291">
        <f>'Unit Savings Calculations'!$G139</f>
        <v>0.88</v>
      </c>
      <c r="U143" s="291">
        <f>'Unit Savings Calculations'!$G139</f>
        <v>0.88</v>
      </c>
      <c r="V143" s="292">
        <f t="shared" si="67"/>
        <v>0</v>
      </c>
      <c r="W143" s="292">
        <f t="shared" si="68"/>
        <v>0</v>
      </c>
      <c r="X143" s="292">
        <f t="shared" si="69"/>
        <v>0</v>
      </c>
      <c r="Y143" s="292">
        <f t="shared" si="70"/>
        <v>0</v>
      </c>
      <c r="Z143" s="292">
        <f t="shared" si="71"/>
        <v>0</v>
      </c>
      <c r="AA143" s="364"/>
      <c r="AB143" s="364"/>
      <c r="AC143" s="365">
        <f>'Unit Savings Calculations'!N139</f>
        <v>0</v>
      </c>
      <c r="AD143" s="364"/>
      <c r="AE143" s="366">
        <f t="shared" si="72"/>
        <v>0</v>
      </c>
      <c r="AF143" s="367">
        <f t="shared" si="73"/>
        <v>0</v>
      </c>
      <c r="AG143" s="364"/>
      <c r="AH143" s="364">
        <f t="shared" si="74"/>
        <v>0</v>
      </c>
      <c r="AI143" s="368">
        <f>'Unit Savings Calculations'!O139</f>
        <v>0</v>
      </c>
      <c r="AJ143" s="364" t="s">
        <v>872</v>
      </c>
      <c r="AK143" s="366">
        <f t="shared" si="75"/>
        <v>0</v>
      </c>
      <c r="AL143" s="367">
        <f t="shared" si="76"/>
        <v>0</v>
      </c>
      <c r="AM143" s="364"/>
      <c r="AN143" s="364"/>
      <c r="AO143" s="368">
        <f>'Unit Savings Calculations'!P139</f>
        <v>0</v>
      </c>
      <c r="AP143" s="364" t="s">
        <v>764</v>
      </c>
      <c r="AQ143" s="366">
        <f t="shared" si="77"/>
        <v>0</v>
      </c>
      <c r="AR143" s="367">
        <f t="shared" si="78"/>
        <v>0</v>
      </c>
      <c r="AS143" s="364"/>
      <c r="AT143" s="364"/>
      <c r="AU143" s="368">
        <f>'Unit Savings Calculations'!Q139</f>
        <v>0</v>
      </c>
      <c r="AV143" s="364" t="str">
        <f t="shared" si="79"/>
        <v>n/a</v>
      </c>
      <c r="AW143" s="366">
        <f t="shared" si="80"/>
        <v>0</v>
      </c>
      <c r="AX143" s="367">
        <f t="shared" si="81"/>
        <v>0</v>
      </c>
      <c r="AY143" s="292">
        <f t="shared" si="82"/>
        <v>0</v>
      </c>
      <c r="AZ143" s="292">
        <f t="shared" si="83"/>
        <v>0</v>
      </c>
      <c r="BA143" s="292">
        <f t="shared" si="84"/>
        <v>0</v>
      </c>
      <c r="BB143" s="292">
        <f t="shared" si="85"/>
        <v>0</v>
      </c>
      <c r="BC143" s="294">
        <f t="shared" si="86"/>
        <v>0</v>
      </c>
      <c r="BD143" s="287" t="s">
        <v>764</v>
      </c>
      <c r="BE143" s="295" t="str">
        <f t="shared" si="87"/>
        <v>Custom</v>
      </c>
      <c r="BF143" s="297"/>
    </row>
    <row r="144" spans="1:58" ht="13.5" customHeight="1">
      <c r="A144" s="287" t="str">
        <f>'Unit Savings Calculations'!C140</f>
        <v>Res - MF PTA Rebates</v>
      </c>
      <c r="B144" s="287" t="str">
        <f>'Unit Savings Calculations'!D140</f>
        <v>Thermostat - Programmable</v>
      </c>
      <c r="C144" s="288">
        <f t="shared" si="66"/>
        <v>1</v>
      </c>
      <c r="D144" s="287" t="str">
        <f>'Unit Savings Calculations'!T140</f>
        <v>4.4.18</v>
      </c>
      <c r="E144" s="287">
        <f>INDEX('Unit Savings Calculations'!$H$4:$H$421,MATCH('Measure-Level Adjustments Tab'!$A144&amp;"_"&amp;'Measure-Level Adjustments Tab'!$B144,'Unit Savings Calculations'!$A$4:$A$421,0))</f>
        <v>4</v>
      </c>
      <c r="F144" s="287">
        <f>INDEX('Unit Savings Calculations'!$I$4:$I$421,MATCH('Measure-Level Adjustments Tab'!A144&amp;"_"&amp;'Measure-Level Adjustments Tab'!B144,'Unit Savings Calculations'!$A$4:$A$421,0))</f>
        <v>4</v>
      </c>
      <c r="G144" s="287" t="str">
        <f>'Unit Savings Calculations'!E140</f>
        <v>each</v>
      </c>
      <c r="H144" s="289">
        <f>'Unit Savings Calculations'!$F140*'Unit Savings Calculations'!J140</f>
        <v>0</v>
      </c>
      <c r="I144" s="289">
        <f>'Unit Savings Calculations'!$F140*'Unit Savings Calculations'!K140</f>
        <v>0</v>
      </c>
      <c r="J144" s="289">
        <f>'Unit Savings Calculations'!$F140*'Unit Savings Calculations'!L140</f>
        <v>0</v>
      </c>
      <c r="K144" s="289">
        <f>'Unit Savings Calculations'!$F140*'Unit Savings Calculations'!M140</f>
        <v>0</v>
      </c>
      <c r="L144" s="287" t="str">
        <f>'Unit Savings Calculations'!U140</f>
        <v>CI-HVC-PROG-V02-150601</v>
      </c>
      <c r="M144" s="363" t="s">
        <v>829</v>
      </c>
      <c r="N144" s="290">
        <v>124.68584320000001</v>
      </c>
      <c r="O144" s="290">
        <v>124.68584320000001</v>
      </c>
      <c r="P144" s="290">
        <v>124.68584320000001</v>
      </c>
      <c r="Q144" s="290">
        <v>124.68584320000001</v>
      </c>
      <c r="R144" s="291">
        <f>'Unit Savings Calculations'!$G140</f>
        <v>0.88</v>
      </c>
      <c r="S144" s="291">
        <f>'Unit Savings Calculations'!$G140</f>
        <v>0.88</v>
      </c>
      <c r="T144" s="291">
        <f>'Unit Savings Calculations'!$G140</f>
        <v>0.88</v>
      </c>
      <c r="U144" s="291">
        <f>'Unit Savings Calculations'!$G140</f>
        <v>0.88</v>
      </c>
      <c r="V144" s="292">
        <f t="shared" si="67"/>
        <v>0</v>
      </c>
      <c r="W144" s="292">
        <f t="shared" si="68"/>
        <v>0</v>
      </c>
      <c r="X144" s="292">
        <f t="shared" si="69"/>
        <v>0</v>
      </c>
      <c r="Y144" s="292">
        <f t="shared" si="70"/>
        <v>0</v>
      </c>
      <c r="Z144" s="292">
        <f t="shared" si="71"/>
        <v>0</v>
      </c>
      <c r="AA144" s="287"/>
      <c r="AB144" s="287"/>
      <c r="AC144" s="293">
        <f>'Unit Savings Calculations'!N140</f>
        <v>124.68584320000001</v>
      </c>
      <c r="AD144" s="287"/>
      <c r="AE144" s="292">
        <f t="shared" si="72"/>
        <v>0</v>
      </c>
      <c r="AF144" s="289">
        <f t="shared" si="73"/>
        <v>0</v>
      </c>
      <c r="AG144" s="287"/>
      <c r="AH144" s="287">
        <f t="shared" si="74"/>
        <v>0</v>
      </c>
      <c r="AI144" s="290">
        <f>'Unit Savings Calculations'!O140</f>
        <v>124.68584320000001</v>
      </c>
      <c r="AJ144" s="287" t="s">
        <v>872</v>
      </c>
      <c r="AK144" s="292">
        <f t="shared" si="75"/>
        <v>0</v>
      </c>
      <c r="AL144" s="289">
        <f t="shared" si="76"/>
        <v>0</v>
      </c>
      <c r="AM144" s="287"/>
      <c r="AN144" s="287"/>
      <c r="AO144" s="290">
        <f>'Unit Savings Calculations'!P140</f>
        <v>124.68584320000001</v>
      </c>
      <c r="AP144" s="287" t="s">
        <v>764</v>
      </c>
      <c r="AQ144" s="292">
        <f t="shared" si="77"/>
        <v>0</v>
      </c>
      <c r="AR144" s="289">
        <f t="shared" si="78"/>
        <v>0</v>
      </c>
      <c r="AS144" s="287"/>
      <c r="AT144" s="287"/>
      <c r="AU144" s="290">
        <f>'Unit Savings Calculations'!Q140</f>
        <v>124.68584320000001</v>
      </c>
      <c r="AV144" s="287" t="str">
        <f t="shared" si="79"/>
        <v>n/a</v>
      </c>
      <c r="AW144" s="292">
        <f t="shared" si="80"/>
        <v>0</v>
      </c>
      <c r="AX144" s="289">
        <f t="shared" si="81"/>
        <v>0</v>
      </c>
      <c r="AY144" s="292">
        <f t="shared" si="82"/>
        <v>0</v>
      </c>
      <c r="AZ144" s="292">
        <f t="shared" si="83"/>
        <v>0</v>
      </c>
      <c r="BA144" s="292">
        <f t="shared" si="84"/>
        <v>0</v>
      </c>
      <c r="BB144" s="292">
        <f t="shared" si="85"/>
        <v>0</v>
      </c>
      <c r="BC144" s="294">
        <f t="shared" si="86"/>
        <v>0</v>
      </c>
      <c r="BD144" s="287" t="s">
        <v>764</v>
      </c>
      <c r="BE144" s="295" t="str">
        <f t="shared" si="87"/>
        <v>Exhibit 1.5B_R Peoples Gas EEPS_Adjustable_Savings_Goal_Template.xlsx, Thermostat Detail Tab</v>
      </c>
      <c r="BF144" s="297"/>
    </row>
    <row r="145" spans="1:58" ht="13.5" customHeight="1">
      <c r="A145" s="287" t="str">
        <f>'Unit Savings Calculations'!C141</f>
        <v>Res - MF Rebates</v>
      </c>
      <c r="B145" s="287" t="str">
        <f>'Unit Savings Calculations'!D141</f>
        <v>Multifamily Custom</v>
      </c>
      <c r="C145" s="288">
        <f t="shared" si="66"/>
        <v>0</v>
      </c>
      <c r="D145" s="287" t="str">
        <f>'Unit Savings Calculations'!T141</f>
        <v>Custom</v>
      </c>
      <c r="E145" s="287">
        <f>INDEX('Unit Savings Calculations'!$H$4:$H$421,MATCH('Measure-Level Adjustments Tab'!$A145&amp;"_"&amp;'Measure-Level Adjustments Tab'!$B145,'Unit Savings Calculations'!$A$4:$A$421,0))</f>
        <v>15</v>
      </c>
      <c r="F145" s="287">
        <f>INDEX('Unit Savings Calculations'!$I$4:$I$421,MATCH('Measure-Level Adjustments Tab'!A145&amp;"_"&amp;'Measure-Level Adjustments Tab'!B145,'Unit Savings Calculations'!$A$4:$A$421,0))</f>
        <v>15</v>
      </c>
      <c r="G145" s="287" t="str">
        <f>'Unit Savings Calculations'!E141</f>
        <v>each</v>
      </c>
      <c r="H145" s="289">
        <f>'Unit Savings Calculations'!$F141*'Unit Savings Calculations'!J141</f>
        <v>15</v>
      </c>
      <c r="I145" s="289">
        <f>'Unit Savings Calculations'!$F141*'Unit Savings Calculations'!K141</f>
        <v>15</v>
      </c>
      <c r="J145" s="289">
        <f>'Unit Savings Calculations'!$F141*'Unit Savings Calculations'!L141</f>
        <v>15</v>
      </c>
      <c r="K145" s="289">
        <f>'Unit Savings Calculations'!$F141*'Unit Savings Calculations'!M141</f>
        <v>15</v>
      </c>
      <c r="L145" s="287" t="str">
        <f>'Unit Savings Calculations'!U141</f>
        <v>Custom</v>
      </c>
      <c r="M145" s="287" t="str">
        <f>'Unit Savings Calculations'!S141</f>
        <v>Custom</v>
      </c>
      <c r="N145" s="290">
        <v>6100</v>
      </c>
      <c r="O145" s="290">
        <v>6100</v>
      </c>
      <c r="P145" s="290">
        <v>6100</v>
      </c>
      <c r="Q145" s="290">
        <v>6100</v>
      </c>
      <c r="R145" s="291">
        <f>'Unit Savings Calculations'!$G141</f>
        <v>0.72</v>
      </c>
      <c r="S145" s="291">
        <f>'Unit Savings Calculations'!$G141</f>
        <v>0.72</v>
      </c>
      <c r="T145" s="291">
        <f>'Unit Savings Calculations'!$G141</f>
        <v>0.72</v>
      </c>
      <c r="U145" s="291">
        <f>'Unit Savings Calculations'!$G141</f>
        <v>0.72</v>
      </c>
      <c r="V145" s="292">
        <f t="shared" si="67"/>
        <v>65880</v>
      </c>
      <c r="W145" s="292">
        <f t="shared" si="68"/>
        <v>65880</v>
      </c>
      <c r="X145" s="292">
        <f t="shared" si="69"/>
        <v>65880</v>
      </c>
      <c r="Y145" s="292">
        <f t="shared" si="70"/>
        <v>65880</v>
      </c>
      <c r="Z145" s="292">
        <f t="shared" si="71"/>
        <v>263520</v>
      </c>
      <c r="AA145" s="364"/>
      <c r="AB145" s="364"/>
      <c r="AC145" s="365">
        <f>'Unit Savings Calculations'!N141</f>
        <v>6100</v>
      </c>
      <c r="AD145" s="364"/>
      <c r="AE145" s="366">
        <f t="shared" si="72"/>
        <v>65880</v>
      </c>
      <c r="AF145" s="367">
        <f t="shared" si="73"/>
        <v>0</v>
      </c>
      <c r="AG145" s="364"/>
      <c r="AH145" s="364">
        <f t="shared" si="74"/>
        <v>0</v>
      </c>
      <c r="AI145" s="368">
        <f>'Unit Savings Calculations'!O141</f>
        <v>6100</v>
      </c>
      <c r="AJ145" s="364" t="s">
        <v>872</v>
      </c>
      <c r="AK145" s="366">
        <f t="shared" si="75"/>
        <v>65880</v>
      </c>
      <c r="AL145" s="367">
        <f t="shared" si="76"/>
        <v>0</v>
      </c>
      <c r="AM145" s="364"/>
      <c r="AN145" s="364"/>
      <c r="AO145" s="368">
        <f>'Unit Savings Calculations'!P141</f>
        <v>6100</v>
      </c>
      <c r="AP145" s="364" t="s">
        <v>764</v>
      </c>
      <c r="AQ145" s="366">
        <f t="shared" si="77"/>
        <v>65880</v>
      </c>
      <c r="AR145" s="367">
        <f t="shared" si="78"/>
        <v>0</v>
      </c>
      <c r="AS145" s="364"/>
      <c r="AT145" s="364"/>
      <c r="AU145" s="368">
        <f>'Unit Savings Calculations'!Q141</f>
        <v>6100</v>
      </c>
      <c r="AV145" s="364" t="str">
        <f t="shared" si="79"/>
        <v>n/a</v>
      </c>
      <c r="AW145" s="366">
        <f t="shared" si="80"/>
        <v>65880</v>
      </c>
      <c r="AX145" s="367">
        <f t="shared" si="81"/>
        <v>0</v>
      </c>
      <c r="AY145" s="292">
        <f t="shared" si="82"/>
        <v>65880</v>
      </c>
      <c r="AZ145" s="292">
        <f t="shared" si="83"/>
        <v>65880</v>
      </c>
      <c r="BA145" s="292">
        <f t="shared" si="84"/>
        <v>65880</v>
      </c>
      <c r="BB145" s="292">
        <f t="shared" si="85"/>
        <v>65880</v>
      </c>
      <c r="BC145" s="294">
        <f t="shared" si="86"/>
        <v>263520</v>
      </c>
      <c r="BD145" s="287" t="s">
        <v>764</v>
      </c>
      <c r="BE145" s="295" t="str">
        <f t="shared" si="87"/>
        <v>Custom</v>
      </c>
      <c r="BF145" s="297"/>
    </row>
    <row r="146" spans="1:58" ht="13.5" customHeight="1">
      <c r="A146" s="287" t="str">
        <f>'Unit Savings Calculations'!C142</f>
        <v>Bus - CI Assessments</v>
      </c>
      <c r="B146" s="287" t="str">
        <f>'Unit Savings Calculations'!D142</f>
        <v>Aerator - Bathroom</v>
      </c>
      <c r="C146" s="288">
        <f t="shared" si="66"/>
        <v>1</v>
      </c>
      <c r="D146" s="287" t="str">
        <f>'Unit Savings Calculations'!T142</f>
        <v>4.3.2</v>
      </c>
      <c r="E146" s="287">
        <f>INDEX('Unit Savings Calculations'!$H$4:$H$421,MATCH('Measure-Level Adjustments Tab'!$A146&amp;"_"&amp;'Measure-Level Adjustments Tab'!$B146,'Unit Savings Calculations'!$A$4:$A$421,0))</f>
        <v>9</v>
      </c>
      <c r="F146" s="287">
        <f>INDEX('Unit Savings Calculations'!$I$4:$I$421,MATCH('Measure-Level Adjustments Tab'!A146&amp;"_"&amp;'Measure-Level Adjustments Tab'!B146,'Unit Savings Calculations'!$A$4:$A$421,0))</f>
        <v>10</v>
      </c>
      <c r="G146" s="287" t="str">
        <f>'Unit Savings Calculations'!E142</f>
        <v>each</v>
      </c>
      <c r="H146" s="289">
        <f>'Unit Savings Calculations'!$F142*'Unit Savings Calculations'!J142</f>
        <v>70</v>
      </c>
      <c r="I146" s="289">
        <f>'Unit Savings Calculations'!$F142*'Unit Savings Calculations'!K142</f>
        <v>70</v>
      </c>
      <c r="J146" s="289">
        <f>'Unit Savings Calculations'!$F142*'Unit Savings Calculations'!L142</f>
        <v>53</v>
      </c>
      <c r="K146" s="289">
        <f>'Unit Savings Calculations'!$F142*'Unit Savings Calculations'!M142</f>
        <v>70</v>
      </c>
      <c r="L146" s="287" t="str">
        <f>'Unit Savings Calculations'!U142</f>
        <v>CI-HWE-LFFA-V07-180101</v>
      </c>
      <c r="M146" s="363" t="s">
        <v>830</v>
      </c>
      <c r="N146" s="290">
        <v>6.1049460431654667</v>
      </c>
      <c r="O146" s="290">
        <v>6.1049460431654667</v>
      </c>
      <c r="P146" s="290">
        <v>6.1049460431654667</v>
      </c>
      <c r="Q146" s="290">
        <v>6.1049460431654667</v>
      </c>
      <c r="R146" s="291">
        <f>'Unit Savings Calculations'!$G142</f>
        <v>0.79</v>
      </c>
      <c r="S146" s="291">
        <f>'Unit Savings Calculations'!$G142</f>
        <v>0.79</v>
      </c>
      <c r="T146" s="291">
        <f>'Unit Savings Calculations'!$G142</f>
        <v>0.79</v>
      </c>
      <c r="U146" s="291">
        <f>'Unit Savings Calculations'!$G142</f>
        <v>0.79</v>
      </c>
      <c r="V146" s="292">
        <f t="shared" si="67"/>
        <v>337.60351618705033</v>
      </c>
      <c r="W146" s="292">
        <f t="shared" si="68"/>
        <v>337.60351618705033</v>
      </c>
      <c r="X146" s="292">
        <f t="shared" si="69"/>
        <v>255.61409082733812</v>
      </c>
      <c r="Y146" s="292">
        <f t="shared" si="70"/>
        <v>337.60351618705033</v>
      </c>
      <c r="Z146" s="292">
        <f t="shared" si="71"/>
        <v>1268.4246393884891</v>
      </c>
      <c r="AA146" s="287"/>
      <c r="AB146" s="287"/>
      <c r="AC146" s="293">
        <f>'Unit Savings Calculations'!N142</f>
        <v>6.1049460431654667</v>
      </c>
      <c r="AD146" s="287"/>
      <c r="AE146" s="292">
        <f t="shared" si="72"/>
        <v>337.60351618705033</v>
      </c>
      <c r="AF146" s="289">
        <f t="shared" si="73"/>
        <v>0</v>
      </c>
      <c r="AG146" s="287"/>
      <c r="AH146" s="287">
        <f t="shared" si="74"/>
        <v>0</v>
      </c>
      <c r="AI146" s="290">
        <f>'Unit Savings Calculations'!O142</f>
        <v>6.1049460431654667</v>
      </c>
      <c r="AJ146" s="287" t="s">
        <v>872</v>
      </c>
      <c r="AK146" s="292">
        <f t="shared" si="75"/>
        <v>337.60351618705033</v>
      </c>
      <c r="AL146" s="289">
        <f t="shared" si="76"/>
        <v>0</v>
      </c>
      <c r="AM146" s="287"/>
      <c r="AN146" s="287"/>
      <c r="AO146" s="290">
        <f>'Unit Savings Calculations'!P142</f>
        <v>6.1049460431654667</v>
      </c>
      <c r="AP146" s="287" t="s">
        <v>764</v>
      </c>
      <c r="AQ146" s="292">
        <f t="shared" si="77"/>
        <v>255.61409082733812</v>
      </c>
      <c r="AR146" s="289">
        <f t="shared" si="78"/>
        <v>0</v>
      </c>
      <c r="AS146" s="287"/>
      <c r="AT146" s="287"/>
      <c r="AU146" s="290">
        <f>'Unit Savings Calculations'!Q142</f>
        <v>6.1049460431654667</v>
      </c>
      <c r="AV146" s="287" t="str">
        <f t="shared" si="79"/>
        <v>n/a</v>
      </c>
      <c r="AW146" s="292">
        <f t="shared" si="80"/>
        <v>337.60351618705033</v>
      </c>
      <c r="AX146" s="289">
        <f t="shared" si="81"/>
        <v>0</v>
      </c>
      <c r="AY146" s="292">
        <f t="shared" si="82"/>
        <v>337.60351618705033</v>
      </c>
      <c r="AZ146" s="292">
        <f t="shared" si="83"/>
        <v>337.60351618705033</v>
      </c>
      <c r="BA146" s="292">
        <f t="shared" si="84"/>
        <v>255.61409082733812</v>
      </c>
      <c r="BB146" s="292">
        <f t="shared" si="85"/>
        <v>337.60351618705033</v>
      </c>
      <c r="BC146" s="294">
        <f t="shared" si="86"/>
        <v>1268.4246393884891</v>
      </c>
      <c r="BD146" s="287" t="s">
        <v>764</v>
      </c>
      <c r="BE146" s="295" t="str">
        <f t="shared" si="87"/>
        <v>Exhibit 1.5B_R Peoples Gas EEPS_Adjustable_Savings_Goal_Template.xlsx, Unit Savings Calculations Tab</v>
      </c>
      <c r="BF146" s="297"/>
    </row>
    <row r="147" spans="1:58" ht="13.5" customHeight="1">
      <c r="A147" s="287" t="str">
        <f>'Unit Savings Calculations'!C143</f>
        <v>Bus - CI Assessments</v>
      </c>
      <c r="B147" s="287" t="str">
        <f>'Unit Savings Calculations'!D143</f>
        <v>Aerator - Kitchen</v>
      </c>
      <c r="C147" s="288">
        <f t="shared" si="66"/>
        <v>1</v>
      </c>
      <c r="D147" s="287" t="str">
        <f>'Unit Savings Calculations'!T143</f>
        <v>4.3.2</v>
      </c>
      <c r="E147" s="287">
        <f>INDEX('Unit Savings Calculations'!$H$4:$H$421,MATCH('Measure-Level Adjustments Tab'!$A147&amp;"_"&amp;'Measure-Level Adjustments Tab'!$B147,'Unit Savings Calculations'!$A$4:$A$421,0))</f>
        <v>9</v>
      </c>
      <c r="F147" s="287">
        <f>INDEX('Unit Savings Calculations'!$I$4:$I$421,MATCH('Measure-Level Adjustments Tab'!A147&amp;"_"&amp;'Measure-Level Adjustments Tab'!B147,'Unit Savings Calculations'!$A$4:$A$421,0))</f>
        <v>10</v>
      </c>
      <c r="G147" s="287" t="str">
        <f>'Unit Savings Calculations'!E143</f>
        <v>each</v>
      </c>
      <c r="H147" s="289">
        <f>'Unit Savings Calculations'!$F143*'Unit Savings Calculations'!J143</f>
        <v>16</v>
      </c>
      <c r="I147" s="289">
        <f>'Unit Savings Calculations'!$F143*'Unit Savings Calculations'!K143</f>
        <v>16</v>
      </c>
      <c r="J147" s="289">
        <f>'Unit Savings Calculations'!$F143*'Unit Savings Calculations'!L143</f>
        <v>12</v>
      </c>
      <c r="K147" s="289">
        <f>'Unit Savings Calculations'!$F143*'Unit Savings Calculations'!M143</f>
        <v>16</v>
      </c>
      <c r="L147" s="287" t="str">
        <f>'Unit Savings Calculations'!U143</f>
        <v>CI-HWE-LFFA-V07-180101</v>
      </c>
      <c r="M147" s="363" t="s">
        <v>830</v>
      </c>
      <c r="N147" s="290">
        <v>7.4428057553956819</v>
      </c>
      <c r="O147" s="290">
        <v>7.4428057553956819</v>
      </c>
      <c r="P147" s="290">
        <v>7.4428057553956819</v>
      </c>
      <c r="Q147" s="290">
        <v>7.4428057553956819</v>
      </c>
      <c r="R147" s="291">
        <f>'Unit Savings Calculations'!$G143</f>
        <v>0.79</v>
      </c>
      <c r="S147" s="291">
        <f>'Unit Savings Calculations'!$G143</f>
        <v>0.79</v>
      </c>
      <c r="T147" s="291">
        <f>'Unit Savings Calculations'!$G143</f>
        <v>0.79</v>
      </c>
      <c r="U147" s="291">
        <f>'Unit Savings Calculations'!$G143</f>
        <v>0.79</v>
      </c>
      <c r="V147" s="292">
        <f t="shared" si="67"/>
        <v>94.077064748201423</v>
      </c>
      <c r="W147" s="292">
        <f t="shared" si="68"/>
        <v>94.077064748201423</v>
      </c>
      <c r="X147" s="292">
        <f t="shared" si="69"/>
        <v>70.557798561151074</v>
      </c>
      <c r="Y147" s="292">
        <f t="shared" si="70"/>
        <v>94.077064748201423</v>
      </c>
      <c r="Z147" s="292">
        <f t="shared" si="71"/>
        <v>352.78899280575536</v>
      </c>
      <c r="AA147" s="287"/>
      <c r="AB147" s="287"/>
      <c r="AC147" s="293">
        <f>'Unit Savings Calculations'!N143</f>
        <v>7.4428057553956819</v>
      </c>
      <c r="AD147" s="287"/>
      <c r="AE147" s="292">
        <f t="shared" si="72"/>
        <v>94.077064748201423</v>
      </c>
      <c r="AF147" s="289">
        <f t="shared" si="73"/>
        <v>0</v>
      </c>
      <c r="AG147" s="287"/>
      <c r="AH147" s="287">
        <f t="shared" si="74"/>
        <v>0</v>
      </c>
      <c r="AI147" s="290">
        <f>'Unit Savings Calculations'!O143</f>
        <v>7.4428057553956819</v>
      </c>
      <c r="AJ147" s="287" t="s">
        <v>872</v>
      </c>
      <c r="AK147" s="292">
        <f t="shared" si="75"/>
        <v>94.077064748201423</v>
      </c>
      <c r="AL147" s="289">
        <f t="shared" si="76"/>
        <v>0</v>
      </c>
      <c r="AM147" s="287"/>
      <c r="AN147" s="287"/>
      <c r="AO147" s="290">
        <f>'Unit Savings Calculations'!P143</f>
        <v>7.4428057553956819</v>
      </c>
      <c r="AP147" s="287" t="s">
        <v>764</v>
      </c>
      <c r="AQ147" s="292">
        <f t="shared" si="77"/>
        <v>70.557798561151074</v>
      </c>
      <c r="AR147" s="289">
        <f t="shared" si="78"/>
        <v>0</v>
      </c>
      <c r="AS147" s="287"/>
      <c r="AT147" s="287"/>
      <c r="AU147" s="290">
        <f>'Unit Savings Calculations'!Q143</f>
        <v>7.4428057553956819</v>
      </c>
      <c r="AV147" s="287" t="str">
        <f t="shared" si="79"/>
        <v>n/a</v>
      </c>
      <c r="AW147" s="292">
        <f t="shared" si="80"/>
        <v>94.077064748201423</v>
      </c>
      <c r="AX147" s="289">
        <f t="shared" si="81"/>
        <v>0</v>
      </c>
      <c r="AY147" s="292">
        <f t="shared" si="82"/>
        <v>94.077064748201423</v>
      </c>
      <c r="AZ147" s="292">
        <f t="shared" si="83"/>
        <v>94.077064748201423</v>
      </c>
      <c r="BA147" s="292">
        <f t="shared" si="84"/>
        <v>70.557798561151074</v>
      </c>
      <c r="BB147" s="292">
        <f t="shared" si="85"/>
        <v>94.077064748201423</v>
      </c>
      <c r="BC147" s="294">
        <f t="shared" si="86"/>
        <v>352.78899280575536</v>
      </c>
      <c r="BD147" s="287" t="s">
        <v>764</v>
      </c>
      <c r="BE147" s="295" t="str">
        <f t="shared" si="87"/>
        <v>Exhibit 1.5B_R Peoples Gas EEPS_Adjustable_Savings_Goal_Template.xlsx, Unit Savings Calculations Tab</v>
      </c>
      <c r="BF147" s="297"/>
    </row>
    <row r="148" spans="1:58" ht="13.5" customHeight="1">
      <c r="A148" s="287" t="str">
        <f>'Unit Savings Calculations'!C144</f>
        <v>Bus - CI Assessments</v>
      </c>
      <c r="B148" s="287" t="str">
        <f>'Unit Savings Calculations'!D144</f>
        <v>Showerhead</v>
      </c>
      <c r="C148" s="288">
        <f t="shared" si="66"/>
        <v>1</v>
      </c>
      <c r="D148" s="287" t="str">
        <f>'Unit Savings Calculations'!T144</f>
        <v>4.3.3</v>
      </c>
      <c r="E148" s="287">
        <f>INDEX('Unit Savings Calculations'!$H$4:$H$421,MATCH('Measure-Level Adjustments Tab'!$A148&amp;"_"&amp;'Measure-Level Adjustments Tab'!$B148,'Unit Savings Calculations'!$A$4:$A$421,0))</f>
        <v>10</v>
      </c>
      <c r="F148" s="287">
        <f>INDEX('Unit Savings Calculations'!$I$4:$I$421,MATCH('Measure-Level Adjustments Tab'!A148&amp;"_"&amp;'Measure-Level Adjustments Tab'!B148,'Unit Savings Calculations'!$A$4:$A$421,0))</f>
        <v>10</v>
      </c>
      <c r="G148" s="287" t="str">
        <f>'Unit Savings Calculations'!E144</f>
        <v>each</v>
      </c>
      <c r="H148" s="289">
        <f>'Unit Savings Calculations'!$F144*'Unit Savings Calculations'!J144</f>
        <v>2</v>
      </c>
      <c r="I148" s="289">
        <f>'Unit Savings Calculations'!$F144*'Unit Savings Calculations'!K144</f>
        <v>2</v>
      </c>
      <c r="J148" s="289">
        <f>'Unit Savings Calculations'!$F144*'Unit Savings Calculations'!L144</f>
        <v>2</v>
      </c>
      <c r="K148" s="289">
        <f>'Unit Savings Calculations'!$F144*'Unit Savings Calculations'!M144</f>
        <v>2</v>
      </c>
      <c r="L148" s="287" t="str">
        <f>'Unit Savings Calculations'!U144</f>
        <v>RS-HWE-LFSH-V04-180101</v>
      </c>
      <c r="M148" s="363" t="s">
        <v>830</v>
      </c>
      <c r="N148" s="290">
        <v>21.634983278999997</v>
      </c>
      <c r="O148" s="290">
        <v>21.634983278999997</v>
      </c>
      <c r="P148" s="290">
        <v>21.634983278999997</v>
      </c>
      <c r="Q148" s="290">
        <v>21.634983278999997</v>
      </c>
      <c r="R148" s="291">
        <f>'Unit Savings Calculations'!$G144</f>
        <v>0.79</v>
      </c>
      <c r="S148" s="291">
        <f>'Unit Savings Calculations'!$G144</f>
        <v>0.79</v>
      </c>
      <c r="T148" s="291">
        <f>'Unit Savings Calculations'!$G144</f>
        <v>0.79</v>
      </c>
      <c r="U148" s="291">
        <f>'Unit Savings Calculations'!$G144</f>
        <v>0.79</v>
      </c>
      <c r="V148" s="292">
        <f t="shared" si="67"/>
        <v>34.183273580819993</v>
      </c>
      <c r="W148" s="292">
        <f t="shared" si="68"/>
        <v>34.183273580819993</v>
      </c>
      <c r="X148" s="292">
        <f t="shared" si="69"/>
        <v>34.183273580819993</v>
      </c>
      <c r="Y148" s="292">
        <f t="shared" si="70"/>
        <v>34.183273580819993</v>
      </c>
      <c r="Z148" s="292">
        <f t="shared" si="71"/>
        <v>136.73309432327997</v>
      </c>
      <c r="AA148" s="287"/>
      <c r="AB148" s="287"/>
      <c r="AC148" s="293">
        <f>'Unit Savings Calculations'!N144</f>
        <v>19.917921113999995</v>
      </c>
      <c r="AD148" s="287"/>
      <c r="AE148" s="292">
        <f t="shared" si="72"/>
        <v>31.470315360119994</v>
      </c>
      <c r="AF148" s="289">
        <f t="shared" si="73"/>
        <v>-2.7129582206999991</v>
      </c>
      <c r="AG148" s="287"/>
      <c r="AH148" s="287">
        <f t="shared" si="74"/>
        <v>0</v>
      </c>
      <c r="AI148" s="290">
        <f>'Unit Savings Calculations'!O144</f>
        <v>19.917921113999995</v>
      </c>
      <c r="AJ148" s="287" t="s">
        <v>872</v>
      </c>
      <c r="AK148" s="292">
        <f t="shared" si="75"/>
        <v>31.470315360119994</v>
      </c>
      <c r="AL148" s="289">
        <f t="shared" si="76"/>
        <v>-2.7129582206999991</v>
      </c>
      <c r="AM148" s="287"/>
      <c r="AN148" s="287"/>
      <c r="AO148" s="290">
        <f>'Unit Savings Calculations'!P144</f>
        <v>19.917921113999995</v>
      </c>
      <c r="AP148" s="287" t="s">
        <v>1432</v>
      </c>
      <c r="AQ148" s="292">
        <f t="shared" si="77"/>
        <v>31.470315360119994</v>
      </c>
      <c r="AR148" s="289">
        <f t="shared" si="78"/>
        <v>-2.7129582206999991</v>
      </c>
      <c r="AS148" s="287"/>
      <c r="AT148" s="287"/>
      <c r="AU148" s="290">
        <f>'Unit Savings Calculations'!Q144</f>
        <v>19.917921113999995</v>
      </c>
      <c r="AV148" s="287" t="str">
        <f t="shared" si="79"/>
        <v>Updated EPG_gas</v>
      </c>
      <c r="AW148" s="292">
        <f t="shared" si="80"/>
        <v>31.470315360119994</v>
      </c>
      <c r="AX148" s="289">
        <f t="shared" si="81"/>
        <v>-2.7129582206999991</v>
      </c>
      <c r="AY148" s="292">
        <f t="shared" si="82"/>
        <v>31.470315360119994</v>
      </c>
      <c r="AZ148" s="292">
        <f t="shared" si="83"/>
        <v>31.470315360119994</v>
      </c>
      <c r="BA148" s="292">
        <f t="shared" si="84"/>
        <v>31.470315360119994</v>
      </c>
      <c r="BB148" s="292">
        <f t="shared" si="85"/>
        <v>31.470315360119994</v>
      </c>
      <c r="BC148" s="294">
        <f t="shared" si="86"/>
        <v>125.88126144047997</v>
      </c>
      <c r="BD148" s="287" t="s">
        <v>764</v>
      </c>
      <c r="BE148" s="295" t="str">
        <f t="shared" si="87"/>
        <v>Exhibit 1.5B_R Peoples Gas EEPS_Adjustable_Savings_Goal_Template.xlsx, Unit Savings Calculations Tab</v>
      </c>
      <c r="BF148" s="297"/>
    </row>
    <row r="149" spans="1:58" ht="13.5" customHeight="1">
      <c r="A149" s="287" t="str">
        <f>'Unit Savings Calculations'!C145</f>
        <v>Bus - CI Assessments</v>
      </c>
      <c r="B149" s="287" t="str">
        <f>'Unit Savings Calculations'!D145</f>
        <v>Pre Rinse Sprayer</v>
      </c>
      <c r="C149" s="288">
        <f t="shared" si="66"/>
        <v>1</v>
      </c>
      <c r="D149" s="287" t="str">
        <f>'Unit Savings Calculations'!T145</f>
        <v>4.2.11</v>
      </c>
      <c r="E149" s="287">
        <f>INDEX('Unit Savings Calculations'!$H$4:$H$421,MATCH('Measure-Level Adjustments Tab'!$A149&amp;"_"&amp;'Measure-Level Adjustments Tab'!$B149,'Unit Savings Calculations'!$A$4:$A$421,0))</f>
        <v>5</v>
      </c>
      <c r="F149" s="287">
        <f>INDEX('Unit Savings Calculations'!$I$4:$I$421,MATCH('Measure-Level Adjustments Tab'!A149&amp;"_"&amp;'Measure-Level Adjustments Tab'!B149,'Unit Savings Calculations'!$A$4:$A$421,0))</f>
        <v>5</v>
      </c>
      <c r="G149" s="287" t="str">
        <f>'Unit Savings Calculations'!E145</f>
        <v>each</v>
      </c>
      <c r="H149" s="289">
        <f>'Unit Savings Calculations'!$F145*'Unit Savings Calculations'!J145</f>
        <v>0</v>
      </c>
      <c r="I149" s="289">
        <f>'Unit Savings Calculations'!$F145*'Unit Savings Calculations'!K145</f>
        <v>0</v>
      </c>
      <c r="J149" s="289">
        <f>'Unit Savings Calculations'!$F145*'Unit Savings Calculations'!L145</f>
        <v>0</v>
      </c>
      <c r="K149" s="289">
        <f>'Unit Savings Calculations'!$F145*'Unit Savings Calculations'!M145</f>
        <v>0</v>
      </c>
      <c r="L149" s="287" t="str">
        <f>'Unit Savings Calculations'!U145</f>
        <v>CI-FSE-SPRY-V04-180101</v>
      </c>
      <c r="M149" s="363" t="s">
        <v>830</v>
      </c>
      <c r="N149" s="290">
        <v>343.84240799999998</v>
      </c>
      <c r="O149" s="290">
        <v>343.84240799999998</v>
      </c>
      <c r="P149" s="290">
        <v>343.84240799999998</v>
      </c>
      <c r="Q149" s="290">
        <v>343.84240799999998</v>
      </c>
      <c r="R149" s="291">
        <f>'Unit Savings Calculations'!$G145</f>
        <v>0.79</v>
      </c>
      <c r="S149" s="291">
        <f>'Unit Savings Calculations'!$G145</f>
        <v>0.79</v>
      </c>
      <c r="T149" s="291">
        <f>'Unit Savings Calculations'!$G145</f>
        <v>0.79</v>
      </c>
      <c r="U149" s="291">
        <f>'Unit Savings Calculations'!$G145</f>
        <v>0.79</v>
      </c>
      <c r="V149" s="292">
        <f t="shared" si="67"/>
        <v>0</v>
      </c>
      <c r="W149" s="292">
        <f t="shared" si="68"/>
        <v>0</v>
      </c>
      <c r="X149" s="292">
        <f t="shared" si="69"/>
        <v>0</v>
      </c>
      <c r="Y149" s="292">
        <f t="shared" si="70"/>
        <v>0</v>
      </c>
      <c r="Z149" s="292">
        <f t="shared" si="71"/>
        <v>0</v>
      </c>
      <c r="AA149" s="287"/>
      <c r="AB149" s="287"/>
      <c r="AC149" s="293">
        <f>'Unit Savings Calculations'!N145</f>
        <v>474.829992</v>
      </c>
      <c r="AD149" s="287"/>
      <c r="AE149" s="292">
        <f t="shared" si="72"/>
        <v>0</v>
      </c>
      <c r="AF149" s="289">
        <f t="shared" si="73"/>
        <v>0</v>
      </c>
      <c r="AG149" s="287"/>
      <c r="AH149" s="287">
        <f t="shared" si="74"/>
        <v>0</v>
      </c>
      <c r="AI149" s="290">
        <f>'Unit Savings Calculations'!O145</f>
        <v>474.829992</v>
      </c>
      <c r="AJ149" s="287" t="s">
        <v>872</v>
      </c>
      <c r="AK149" s="292">
        <f t="shared" si="75"/>
        <v>0</v>
      </c>
      <c r="AL149" s="289">
        <f t="shared" si="76"/>
        <v>0</v>
      </c>
      <c r="AM149" s="287"/>
      <c r="AN149" s="287"/>
      <c r="AO149" s="290">
        <f>'Unit Savings Calculations'!P145</f>
        <v>474.829992</v>
      </c>
      <c r="AP149" s="287" t="s">
        <v>1430</v>
      </c>
      <c r="AQ149" s="292">
        <f t="shared" si="77"/>
        <v>0</v>
      </c>
      <c r="AR149" s="289">
        <f t="shared" si="78"/>
        <v>0</v>
      </c>
      <c r="AS149" s="287"/>
      <c r="AT149" s="287"/>
      <c r="AU149" s="290">
        <f>'Unit Savings Calculations'!Q145</f>
        <v>474.829992</v>
      </c>
      <c r="AV149" s="287" t="str">
        <f t="shared" si="79"/>
        <v>Updated base and EE flow rates</v>
      </c>
      <c r="AW149" s="292">
        <f t="shared" si="80"/>
        <v>0</v>
      </c>
      <c r="AX149" s="289">
        <f t="shared" si="81"/>
        <v>0</v>
      </c>
      <c r="AY149" s="292">
        <f t="shared" si="82"/>
        <v>0</v>
      </c>
      <c r="AZ149" s="292">
        <f t="shared" si="83"/>
        <v>0</v>
      </c>
      <c r="BA149" s="292">
        <f t="shared" si="84"/>
        <v>0</v>
      </c>
      <c r="BB149" s="292">
        <f t="shared" si="85"/>
        <v>0</v>
      </c>
      <c r="BC149" s="294">
        <f t="shared" si="86"/>
        <v>0</v>
      </c>
      <c r="BD149" s="287" t="s">
        <v>764</v>
      </c>
      <c r="BE149" s="295" t="str">
        <f t="shared" si="87"/>
        <v>Exhibit 1.5B_R Peoples Gas EEPS_Adjustable_Savings_Goal_Template.xlsx, Unit Savings Calculations Tab</v>
      </c>
      <c r="BF149" s="297"/>
    </row>
    <row r="150" spans="1:58" ht="13.5" customHeight="1">
      <c r="A150" s="287" t="str">
        <f>'Unit Savings Calculations'!C146</f>
        <v>Bus - CI Assessments</v>
      </c>
      <c r="B150" s="287" t="str">
        <f>'Unit Savings Calculations'!D146</f>
        <v>Laminar</v>
      </c>
      <c r="C150" s="288">
        <f t="shared" si="66"/>
        <v>0</v>
      </c>
      <c r="D150" s="287" t="str">
        <f>'Unit Savings Calculations'!T146</f>
        <v>Custom</v>
      </c>
      <c r="E150" s="287">
        <f>INDEX('Unit Savings Calculations'!$H$4:$H$421,MATCH('Measure-Level Adjustments Tab'!$A150&amp;"_"&amp;'Measure-Level Adjustments Tab'!$B150,'Unit Savings Calculations'!$A$4:$A$421,0))</f>
        <v>9</v>
      </c>
      <c r="F150" s="287">
        <f>INDEX('Unit Savings Calculations'!$I$4:$I$421,MATCH('Measure-Level Adjustments Tab'!A150&amp;"_"&amp;'Measure-Level Adjustments Tab'!B150,'Unit Savings Calculations'!$A$4:$A$421,0))</f>
        <v>9</v>
      </c>
      <c r="G150" s="287" t="str">
        <f>'Unit Savings Calculations'!E146</f>
        <v>each</v>
      </c>
      <c r="H150" s="289">
        <f>'Unit Savings Calculations'!$F146*'Unit Savings Calculations'!J146</f>
        <v>800</v>
      </c>
      <c r="I150" s="289">
        <f>'Unit Savings Calculations'!$F146*'Unit Savings Calculations'!K146</f>
        <v>800</v>
      </c>
      <c r="J150" s="289">
        <f>'Unit Savings Calculations'!$F146*'Unit Savings Calculations'!L146</f>
        <v>800</v>
      </c>
      <c r="K150" s="289">
        <f>'Unit Savings Calculations'!$F146*'Unit Savings Calculations'!M146</f>
        <v>800</v>
      </c>
      <c r="L150" s="287" t="str">
        <f>'Unit Savings Calculations'!U146</f>
        <v>Custom</v>
      </c>
      <c r="M150" s="287" t="str">
        <f>'Unit Savings Calculations'!S146</f>
        <v>Custom</v>
      </c>
      <c r="N150" s="290">
        <v>17.892857142857142</v>
      </c>
      <c r="O150" s="290">
        <v>17.892857142857142</v>
      </c>
      <c r="P150" s="290">
        <v>17.892857142857142</v>
      </c>
      <c r="Q150" s="290">
        <v>17.892857142857142</v>
      </c>
      <c r="R150" s="291">
        <f>'Unit Savings Calculations'!$G146</f>
        <v>0.79</v>
      </c>
      <c r="S150" s="291">
        <f>'Unit Savings Calculations'!$G146</f>
        <v>0.79</v>
      </c>
      <c r="T150" s="291">
        <f>'Unit Savings Calculations'!$G146</f>
        <v>0.79</v>
      </c>
      <c r="U150" s="291">
        <f>'Unit Savings Calculations'!$G146</f>
        <v>0.79</v>
      </c>
      <c r="V150" s="292">
        <f t="shared" si="67"/>
        <v>11308.285714285714</v>
      </c>
      <c r="W150" s="292">
        <f t="shared" si="68"/>
        <v>11308.285714285714</v>
      </c>
      <c r="X150" s="292">
        <f t="shared" si="69"/>
        <v>11308.285714285714</v>
      </c>
      <c r="Y150" s="292">
        <f t="shared" si="70"/>
        <v>11308.285714285714</v>
      </c>
      <c r="Z150" s="292">
        <f t="shared" si="71"/>
        <v>45233.142857142855</v>
      </c>
      <c r="AA150" s="364"/>
      <c r="AB150" s="364"/>
      <c r="AC150" s="365">
        <f>'Unit Savings Calculations'!N146</f>
        <v>17.892857142857142</v>
      </c>
      <c r="AD150" s="364"/>
      <c r="AE150" s="366">
        <f t="shared" si="72"/>
        <v>11308.285714285714</v>
      </c>
      <c r="AF150" s="367">
        <f t="shared" si="73"/>
        <v>0</v>
      </c>
      <c r="AG150" s="364"/>
      <c r="AH150" s="364">
        <f t="shared" si="74"/>
        <v>0</v>
      </c>
      <c r="AI150" s="368">
        <f>'Unit Savings Calculations'!O146</f>
        <v>17.892857142857142</v>
      </c>
      <c r="AJ150" s="364" t="s">
        <v>872</v>
      </c>
      <c r="AK150" s="366">
        <f t="shared" si="75"/>
        <v>11308.285714285714</v>
      </c>
      <c r="AL150" s="367">
        <f t="shared" si="76"/>
        <v>0</v>
      </c>
      <c r="AM150" s="364"/>
      <c r="AN150" s="364"/>
      <c r="AO150" s="368">
        <f>'Unit Savings Calculations'!P146</f>
        <v>17.892857142857142</v>
      </c>
      <c r="AP150" s="364" t="s">
        <v>764</v>
      </c>
      <c r="AQ150" s="366">
        <f t="shared" si="77"/>
        <v>11308.285714285714</v>
      </c>
      <c r="AR150" s="367">
        <f t="shared" si="78"/>
        <v>0</v>
      </c>
      <c r="AS150" s="364"/>
      <c r="AT150" s="364"/>
      <c r="AU150" s="368">
        <f>'Unit Savings Calculations'!Q146</f>
        <v>17.892857142857142</v>
      </c>
      <c r="AV150" s="364" t="str">
        <f t="shared" si="79"/>
        <v>n/a</v>
      </c>
      <c r="AW150" s="366">
        <f t="shared" si="80"/>
        <v>11308.285714285714</v>
      </c>
      <c r="AX150" s="367">
        <f t="shared" si="81"/>
        <v>0</v>
      </c>
      <c r="AY150" s="292">
        <f t="shared" si="82"/>
        <v>11308.285714285714</v>
      </c>
      <c r="AZ150" s="292">
        <f t="shared" si="83"/>
        <v>11308.285714285714</v>
      </c>
      <c r="BA150" s="292">
        <f t="shared" si="84"/>
        <v>11308.285714285714</v>
      </c>
      <c r="BB150" s="292">
        <f t="shared" si="85"/>
        <v>11308.285714285714</v>
      </c>
      <c r="BC150" s="294">
        <f t="shared" si="86"/>
        <v>45233.142857142855</v>
      </c>
      <c r="BD150" s="287" t="s">
        <v>764</v>
      </c>
      <c r="BE150" s="295" t="str">
        <f t="shared" si="87"/>
        <v>Custom</v>
      </c>
      <c r="BF150" s="297"/>
    </row>
    <row r="151" spans="1:58" ht="13.5" customHeight="1">
      <c r="A151" s="287" t="str">
        <f>'Unit Savings Calculations'!C147</f>
        <v>Bus - SB Assessments</v>
      </c>
      <c r="B151" s="287" t="str">
        <f>'Unit Savings Calculations'!D147</f>
        <v>Aerator - Bathroom</v>
      </c>
      <c r="C151" s="288">
        <f t="shared" ref="C151:C215" si="88">IF(D151="Custom",0,1)</f>
        <v>1</v>
      </c>
      <c r="D151" s="287" t="str">
        <f>'Unit Savings Calculations'!T147</f>
        <v>4.3.2</v>
      </c>
      <c r="E151" s="287">
        <f>INDEX('Unit Savings Calculations'!$H$4:$H$421,MATCH('Measure-Level Adjustments Tab'!$A151&amp;"_"&amp;'Measure-Level Adjustments Tab'!$B151,'Unit Savings Calculations'!$A$4:$A$421,0))</f>
        <v>9</v>
      </c>
      <c r="F151" s="287">
        <f>INDEX('Unit Savings Calculations'!$I$4:$I$421,MATCH('Measure-Level Adjustments Tab'!A151&amp;"_"&amp;'Measure-Level Adjustments Tab'!B151,'Unit Savings Calculations'!$A$4:$A$421,0))</f>
        <v>10</v>
      </c>
      <c r="G151" s="287" t="str">
        <f>'Unit Savings Calculations'!E147</f>
        <v>each</v>
      </c>
      <c r="H151" s="289">
        <f>'Unit Savings Calculations'!$F147*'Unit Savings Calculations'!J147</f>
        <v>1460</v>
      </c>
      <c r="I151" s="289">
        <f>'Unit Savings Calculations'!$F147*'Unit Savings Calculations'!K147</f>
        <v>1460</v>
      </c>
      <c r="J151" s="289">
        <f>'Unit Savings Calculations'!$F147*'Unit Savings Calculations'!L147</f>
        <v>1460</v>
      </c>
      <c r="K151" s="289">
        <f>'Unit Savings Calculations'!$F147*'Unit Savings Calculations'!M147</f>
        <v>1460</v>
      </c>
      <c r="L151" s="287" t="str">
        <f>'Unit Savings Calculations'!U147</f>
        <v>CI-HWE-LFFA-V07-180101</v>
      </c>
      <c r="M151" s="363" t="s">
        <v>830</v>
      </c>
      <c r="N151" s="290">
        <v>6.1049460431654667</v>
      </c>
      <c r="O151" s="290">
        <v>6.1049460431654667</v>
      </c>
      <c r="P151" s="290">
        <v>6.1049460431654667</v>
      </c>
      <c r="Q151" s="290">
        <v>6.1049460431654667</v>
      </c>
      <c r="R151" s="291">
        <f>'Unit Savings Calculations'!$G147</f>
        <v>0.92</v>
      </c>
      <c r="S151" s="291">
        <f>'Unit Savings Calculations'!$G147</f>
        <v>0.92</v>
      </c>
      <c r="T151" s="291">
        <f>'Unit Savings Calculations'!$G147</f>
        <v>0.92</v>
      </c>
      <c r="U151" s="291">
        <f>'Unit Savings Calculations'!$G147</f>
        <v>0.92</v>
      </c>
      <c r="V151" s="292">
        <f t="shared" si="67"/>
        <v>8200.1635251798543</v>
      </c>
      <c r="W151" s="292">
        <f t="shared" si="68"/>
        <v>8200.1635251798543</v>
      </c>
      <c r="X151" s="292">
        <f t="shared" si="69"/>
        <v>8200.1635251798543</v>
      </c>
      <c r="Y151" s="292">
        <f t="shared" si="70"/>
        <v>8200.1635251798543</v>
      </c>
      <c r="Z151" s="292">
        <f t="shared" si="71"/>
        <v>32800.654100719417</v>
      </c>
      <c r="AA151" s="287"/>
      <c r="AB151" s="287"/>
      <c r="AC151" s="293">
        <f>'Unit Savings Calculations'!N147</f>
        <v>6.1049460431654667</v>
      </c>
      <c r="AD151" s="287"/>
      <c r="AE151" s="292">
        <f t="shared" si="72"/>
        <v>8200.1635251798543</v>
      </c>
      <c r="AF151" s="289">
        <f t="shared" si="73"/>
        <v>0</v>
      </c>
      <c r="AG151" s="287"/>
      <c r="AH151" s="287">
        <f t="shared" si="74"/>
        <v>0</v>
      </c>
      <c r="AI151" s="290">
        <f>'Unit Savings Calculations'!O147</f>
        <v>6.1049460431654667</v>
      </c>
      <c r="AJ151" s="287" t="s">
        <v>872</v>
      </c>
      <c r="AK151" s="292">
        <f t="shared" si="75"/>
        <v>8200.1635251798543</v>
      </c>
      <c r="AL151" s="289">
        <f t="shared" si="76"/>
        <v>0</v>
      </c>
      <c r="AM151" s="287"/>
      <c r="AN151" s="287"/>
      <c r="AO151" s="290">
        <f>'Unit Savings Calculations'!P147</f>
        <v>6.1049460431654667</v>
      </c>
      <c r="AP151" s="287" t="s">
        <v>764</v>
      </c>
      <c r="AQ151" s="292">
        <f t="shared" si="77"/>
        <v>8200.1635251798543</v>
      </c>
      <c r="AR151" s="289">
        <f t="shared" si="78"/>
        <v>0</v>
      </c>
      <c r="AS151" s="287"/>
      <c r="AT151" s="287"/>
      <c r="AU151" s="290">
        <f>'Unit Savings Calculations'!Q147</f>
        <v>6.1049460431654667</v>
      </c>
      <c r="AV151" s="287" t="str">
        <f t="shared" si="79"/>
        <v>n/a</v>
      </c>
      <c r="AW151" s="292">
        <f t="shared" si="80"/>
        <v>8200.1635251798543</v>
      </c>
      <c r="AX151" s="289">
        <f t="shared" si="81"/>
        <v>0</v>
      </c>
      <c r="AY151" s="292">
        <f t="shared" si="82"/>
        <v>8200.1635251798543</v>
      </c>
      <c r="AZ151" s="292">
        <f t="shared" si="83"/>
        <v>8200.1635251798543</v>
      </c>
      <c r="BA151" s="292">
        <f t="shared" si="84"/>
        <v>8200.1635251798543</v>
      </c>
      <c r="BB151" s="292">
        <f t="shared" si="85"/>
        <v>8200.1635251798543</v>
      </c>
      <c r="BC151" s="294">
        <f t="shared" si="86"/>
        <v>32800.654100719417</v>
      </c>
      <c r="BD151" s="287" t="s">
        <v>764</v>
      </c>
      <c r="BE151" s="295" t="str">
        <f t="shared" si="87"/>
        <v>Exhibit 1.5B_R Peoples Gas EEPS_Adjustable_Savings_Goal_Template.xlsx, Unit Savings Calculations Tab</v>
      </c>
      <c r="BF151" s="297"/>
    </row>
    <row r="152" spans="1:58" ht="13.5" customHeight="1">
      <c r="A152" s="287" t="str">
        <f>'Unit Savings Calculations'!C148</f>
        <v>Bus - SB Assessments</v>
      </c>
      <c r="B152" s="287" t="str">
        <f>'Unit Savings Calculations'!D148</f>
        <v>Aerator - Kitchen</v>
      </c>
      <c r="C152" s="288">
        <f t="shared" si="88"/>
        <v>1</v>
      </c>
      <c r="D152" s="287" t="str">
        <f>'Unit Savings Calculations'!T148</f>
        <v>4.3.2</v>
      </c>
      <c r="E152" s="287">
        <f>INDEX('Unit Savings Calculations'!$H$4:$H$421,MATCH('Measure-Level Adjustments Tab'!$A152&amp;"_"&amp;'Measure-Level Adjustments Tab'!$B152,'Unit Savings Calculations'!$A$4:$A$421,0))</f>
        <v>9</v>
      </c>
      <c r="F152" s="287">
        <f>INDEX('Unit Savings Calculations'!$I$4:$I$421,MATCH('Measure-Level Adjustments Tab'!A152&amp;"_"&amp;'Measure-Level Adjustments Tab'!B152,'Unit Savings Calculations'!$A$4:$A$421,0))</f>
        <v>10</v>
      </c>
      <c r="G152" s="287" t="str">
        <f>'Unit Savings Calculations'!E148</f>
        <v>each</v>
      </c>
      <c r="H152" s="289">
        <f>'Unit Savings Calculations'!$F148*'Unit Savings Calculations'!J148</f>
        <v>1120</v>
      </c>
      <c r="I152" s="289">
        <f>'Unit Savings Calculations'!$F148*'Unit Savings Calculations'!K148</f>
        <v>1120</v>
      </c>
      <c r="J152" s="289">
        <f>'Unit Savings Calculations'!$F148*'Unit Savings Calculations'!L148</f>
        <v>1120</v>
      </c>
      <c r="K152" s="289">
        <f>'Unit Savings Calculations'!$F148*'Unit Savings Calculations'!M148</f>
        <v>1120</v>
      </c>
      <c r="L152" s="287" t="str">
        <f>'Unit Savings Calculations'!U148</f>
        <v>CI-HWE-LFFA-V07-180101</v>
      </c>
      <c r="M152" s="363" t="s">
        <v>830</v>
      </c>
      <c r="N152" s="290">
        <v>7.4428057553956819</v>
      </c>
      <c r="O152" s="290">
        <v>7.4428057553956819</v>
      </c>
      <c r="P152" s="290">
        <v>7.4428057553956819</v>
      </c>
      <c r="Q152" s="290">
        <v>7.4428057553956819</v>
      </c>
      <c r="R152" s="291">
        <f>'Unit Savings Calculations'!$G148</f>
        <v>0.92</v>
      </c>
      <c r="S152" s="291">
        <f>'Unit Savings Calculations'!$G148</f>
        <v>0.92</v>
      </c>
      <c r="T152" s="291">
        <f>'Unit Savings Calculations'!$G148</f>
        <v>0.92</v>
      </c>
      <c r="U152" s="291">
        <f>'Unit Savings Calculations'!$G148</f>
        <v>0.92</v>
      </c>
      <c r="V152" s="292">
        <f t="shared" si="67"/>
        <v>7669.0670503597112</v>
      </c>
      <c r="W152" s="292">
        <f t="shared" si="68"/>
        <v>7669.0670503597112</v>
      </c>
      <c r="X152" s="292">
        <f t="shared" si="69"/>
        <v>7669.0670503597112</v>
      </c>
      <c r="Y152" s="292">
        <f t="shared" si="70"/>
        <v>7669.0670503597112</v>
      </c>
      <c r="Z152" s="292">
        <f t="shared" si="71"/>
        <v>30676.268201438845</v>
      </c>
      <c r="AA152" s="287"/>
      <c r="AB152" s="287"/>
      <c r="AC152" s="293">
        <f>'Unit Savings Calculations'!N148</f>
        <v>7.4428057553956819</v>
      </c>
      <c r="AD152" s="287"/>
      <c r="AE152" s="292">
        <f t="shared" si="72"/>
        <v>7669.0670503597112</v>
      </c>
      <c r="AF152" s="289">
        <f t="shared" si="73"/>
        <v>0</v>
      </c>
      <c r="AG152" s="287"/>
      <c r="AH152" s="287">
        <f t="shared" si="74"/>
        <v>0</v>
      </c>
      <c r="AI152" s="290">
        <f>'Unit Savings Calculations'!O148</f>
        <v>7.4428057553956819</v>
      </c>
      <c r="AJ152" s="287" t="s">
        <v>872</v>
      </c>
      <c r="AK152" s="292">
        <f t="shared" si="75"/>
        <v>7669.0670503597112</v>
      </c>
      <c r="AL152" s="289">
        <f t="shared" si="76"/>
        <v>0</v>
      </c>
      <c r="AM152" s="287"/>
      <c r="AN152" s="287"/>
      <c r="AO152" s="290">
        <f>'Unit Savings Calculations'!P148</f>
        <v>7.4428057553956819</v>
      </c>
      <c r="AP152" s="287" t="s">
        <v>764</v>
      </c>
      <c r="AQ152" s="292">
        <f t="shared" si="77"/>
        <v>7669.0670503597112</v>
      </c>
      <c r="AR152" s="289">
        <f t="shared" si="78"/>
        <v>0</v>
      </c>
      <c r="AS152" s="287"/>
      <c r="AT152" s="287"/>
      <c r="AU152" s="290">
        <f>'Unit Savings Calculations'!Q148</f>
        <v>7.4428057553956819</v>
      </c>
      <c r="AV152" s="287" t="str">
        <f t="shared" si="79"/>
        <v>n/a</v>
      </c>
      <c r="AW152" s="292">
        <f t="shared" si="80"/>
        <v>7669.0670503597112</v>
      </c>
      <c r="AX152" s="289">
        <f t="shared" si="81"/>
        <v>0</v>
      </c>
      <c r="AY152" s="292">
        <f t="shared" si="82"/>
        <v>7669.0670503597112</v>
      </c>
      <c r="AZ152" s="292">
        <f t="shared" si="83"/>
        <v>7669.0670503597112</v>
      </c>
      <c r="BA152" s="292">
        <f t="shared" si="84"/>
        <v>7669.0670503597112</v>
      </c>
      <c r="BB152" s="292">
        <f t="shared" si="85"/>
        <v>7669.0670503597112</v>
      </c>
      <c r="BC152" s="294">
        <f t="shared" si="86"/>
        <v>30676.268201438845</v>
      </c>
      <c r="BD152" s="287" t="s">
        <v>764</v>
      </c>
      <c r="BE152" s="295" t="str">
        <f t="shared" si="87"/>
        <v>Exhibit 1.5B_R Peoples Gas EEPS_Adjustable_Savings_Goal_Template.xlsx, Unit Savings Calculations Tab</v>
      </c>
      <c r="BF152" s="297"/>
    </row>
    <row r="153" spans="1:58" ht="13.5" customHeight="1">
      <c r="A153" s="287" t="str">
        <f>'Unit Savings Calculations'!C149</f>
        <v>Bus - SB Assessments</v>
      </c>
      <c r="B153" s="287" t="str">
        <f>'Unit Savings Calculations'!D149</f>
        <v>Showerhead</v>
      </c>
      <c r="C153" s="288">
        <f t="shared" si="88"/>
        <v>1</v>
      </c>
      <c r="D153" s="287" t="str">
        <f>'Unit Savings Calculations'!T149</f>
        <v>4.3.3</v>
      </c>
      <c r="E153" s="287">
        <f>INDEX('Unit Savings Calculations'!$H$4:$H$421,MATCH('Measure-Level Adjustments Tab'!$A153&amp;"_"&amp;'Measure-Level Adjustments Tab'!$B153,'Unit Savings Calculations'!$A$4:$A$421,0))</f>
        <v>10</v>
      </c>
      <c r="F153" s="287">
        <f>INDEX('Unit Savings Calculations'!$I$4:$I$421,MATCH('Measure-Level Adjustments Tab'!A153&amp;"_"&amp;'Measure-Level Adjustments Tab'!B153,'Unit Savings Calculations'!$A$4:$A$421,0))</f>
        <v>10</v>
      </c>
      <c r="G153" s="287" t="str">
        <f>'Unit Savings Calculations'!E149</f>
        <v>each</v>
      </c>
      <c r="H153" s="289">
        <f>'Unit Savings Calculations'!$F149*'Unit Savings Calculations'!J149</f>
        <v>1300</v>
      </c>
      <c r="I153" s="289">
        <f>'Unit Savings Calculations'!$F149*'Unit Savings Calculations'!K149</f>
        <v>1300</v>
      </c>
      <c r="J153" s="289">
        <f>'Unit Savings Calculations'!$F149*'Unit Savings Calculations'!L149</f>
        <v>1300</v>
      </c>
      <c r="K153" s="289">
        <f>'Unit Savings Calculations'!$F149*'Unit Savings Calculations'!M149</f>
        <v>1300</v>
      </c>
      <c r="L153" s="287" t="str">
        <f>'Unit Savings Calculations'!U149</f>
        <v>RS-HWE-LFSH-V04-180101</v>
      </c>
      <c r="M153" s="363" t="s">
        <v>830</v>
      </c>
      <c r="N153" s="290">
        <v>21.634983278999997</v>
      </c>
      <c r="O153" s="290">
        <v>21.634983278999997</v>
      </c>
      <c r="P153" s="290">
        <v>21.634983278999997</v>
      </c>
      <c r="Q153" s="290">
        <v>21.634983278999997</v>
      </c>
      <c r="R153" s="291">
        <f>'Unit Savings Calculations'!$G149</f>
        <v>0.92</v>
      </c>
      <c r="S153" s="291">
        <f>'Unit Savings Calculations'!$G149</f>
        <v>0.92</v>
      </c>
      <c r="T153" s="291">
        <f>'Unit Savings Calculations'!$G149</f>
        <v>0.92</v>
      </c>
      <c r="U153" s="291">
        <f>'Unit Savings Calculations'!$G149</f>
        <v>0.92</v>
      </c>
      <c r="V153" s="292">
        <f t="shared" si="67"/>
        <v>25875.440001683997</v>
      </c>
      <c r="W153" s="292">
        <f t="shared" si="68"/>
        <v>25875.440001683997</v>
      </c>
      <c r="X153" s="292">
        <f t="shared" si="69"/>
        <v>25875.440001683997</v>
      </c>
      <c r="Y153" s="292">
        <f t="shared" si="70"/>
        <v>25875.440001683997</v>
      </c>
      <c r="Z153" s="292">
        <f t="shared" si="71"/>
        <v>103501.76000673599</v>
      </c>
      <c r="AA153" s="287"/>
      <c r="AB153" s="287"/>
      <c r="AC153" s="293">
        <f>'Unit Savings Calculations'!N149</f>
        <v>19.917921113999995</v>
      </c>
      <c r="AD153" s="287"/>
      <c r="AE153" s="292">
        <f t="shared" si="72"/>
        <v>23821.833652343994</v>
      </c>
      <c r="AF153" s="289">
        <f t="shared" si="73"/>
        <v>-2053.6063493400034</v>
      </c>
      <c r="AG153" s="287"/>
      <c r="AH153" s="287">
        <f t="shared" si="74"/>
        <v>0</v>
      </c>
      <c r="AI153" s="290">
        <f>'Unit Savings Calculations'!O149</f>
        <v>19.917921113999995</v>
      </c>
      <c r="AJ153" s="287" t="s">
        <v>872</v>
      </c>
      <c r="AK153" s="292">
        <f t="shared" si="75"/>
        <v>23821.833652343994</v>
      </c>
      <c r="AL153" s="289">
        <f t="shared" si="76"/>
        <v>-2053.6063493400034</v>
      </c>
      <c r="AM153" s="287"/>
      <c r="AN153" s="287"/>
      <c r="AO153" s="290">
        <f>'Unit Savings Calculations'!P149</f>
        <v>19.917921113999995</v>
      </c>
      <c r="AP153" s="287" t="s">
        <v>1432</v>
      </c>
      <c r="AQ153" s="292">
        <f t="shared" si="77"/>
        <v>23821.833652343994</v>
      </c>
      <c r="AR153" s="289">
        <f t="shared" si="78"/>
        <v>-2053.6063493400034</v>
      </c>
      <c r="AS153" s="287"/>
      <c r="AT153" s="287"/>
      <c r="AU153" s="290">
        <f>'Unit Savings Calculations'!Q149</f>
        <v>19.917921113999995</v>
      </c>
      <c r="AV153" s="287" t="str">
        <f t="shared" si="79"/>
        <v>Updated EPG_gas</v>
      </c>
      <c r="AW153" s="292">
        <f t="shared" si="80"/>
        <v>23821.833652343994</v>
      </c>
      <c r="AX153" s="289">
        <f t="shared" si="81"/>
        <v>-2053.6063493400034</v>
      </c>
      <c r="AY153" s="292">
        <f t="shared" si="82"/>
        <v>23821.833652343994</v>
      </c>
      <c r="AZ153" s="292">
        <f t="shared" si="83"/>
        <v>23821.833652343994</v>
      </c>
      <c r="BA153" s="292">
        <f t="shared" si="84"/>
        <v>23821.833652343994</v>
      </c>
      <c r="BB153" s="292">
        <f t="shared" si="85"/>
        <v>23821.833652343994</v>
      </c>
      <c r="BC153" s="294">
        <f t="shared" si="86"/>
        <v>95287.334609375976</v>
      </c>
      <c r="BD153" s="287" t="s">
        <v>764</v>
      </c>
      <c r="BE153" s="295" t="str">
        <f t="shared" si="87"/>
        <v>Exhibit 1.5B_R Peoples Gas EEPS_Adjustable_Savings_Goal_Template.xlsx, Unit Savings Calculations Tab</v>
      </c>
      <c r="BF153" s="297"/>
    </row>
    <row r="154" spans="1:58" ht="13.5" customHeight="1">
      <c r="A154" s="287" t="str">
        <f>'Unit Savings Calculations'!C150</f>
        <v>Bus - SB Assessments</v>
      </c>
      <c r="B154" s="287" t="str">
        <f>'Unit Savings Calculations'!D150</f>
        <v>Pipe Insulation - DHW</v>
      </c>
      <c r="C154" s="288">
        <f t="shared" si="88"/>
        <v>1</v>
      </c>
      <c r="D154" s="287" t="str">
        <f>'Unit Savings Calculations'!T150</f>
        <v>4.4.14</v>
      </c>
      <c r="E154" s="287">
        <f>INDEX('Unit Savings Calculations'!$H$4:$H$421,MATCH('Measure-Level Adjustments Tab'!$A154&amp;"_"&amp;'Measure-Level Adjustments Tab'!$B154,'Unit Savings Calculations'!$A$4:$A$421,0))</f>
        <v>15</v>
      </c>
      <c r="F154" s="287">
        <f>INDEX('Unit Savings Calculations'!$I$4:$I$421,MATCH('Measure-Level Adjustments Tab'!A154&amp;"_"&amp;'Measure-Level Adjustments Tab'!B154,'Unit Savings Calculations'!$A$4:$A$421,0))</f>
        <v>15</v>
      </c>
      <c r="G154" s="287" t="str">
        <f>'Unit Savings Calculations'!E150</f>
        <v>each</v>
      </c>
      <c r="H154" s="289">
        <f>'Unit Savings Calculations'!$F150*'Unit Savings Calculations'!J150</f>
        <v>6960</v>
      </c>
      <c r="I154" s="289">
        <f>'Unit Savings Calculations'!$F150*'Unit Savings Calculations'!K150</f>
        <v>6960</v>
      </c>
      <c r="J154" s="289">
        <f>'Unit Savings Calculations'!$F150*'Unit Savings Calculations'!L150</f>
        <v>6960</v>
      </c>
      <c r="K154" s="289">
        <f>'Unit Savings Calculations'!$F150*'Unit Savings Calculations'!M150</f>
        <v>6960</v>
      </c>
      <c r="L154" s="287" t="str">
        <f>'Unit Savings Calculations'!U150</f>
        <v>CI-HVC-PINS-V04-160601</v>
      </c>
      <c r="M154" s="363" t="s">
        <v>830</v>
      </c>
      <c r="N154" s="290">
        <v>5.2492031493764015</v>
      </c>
      <c r="O154" s="290">
        <v>5.2492031493764015</v>
      </c>
      <c r="P154" s="290">
        <v>5.2492031493764015</v>
      </c>
      <c r="Q154" s="290">
        <v>5.2492031493764015</v>
      </c>
      <c r="R154" s="291">
        <f>'Unit Savings Calculations'!$G150</f>
        <v>0.92</v>
      </c>
      <c r="S154" s="291">
        <f>'Unit Savings Calculations'!$G150</f>
        <v>0.92</v>
      </c>
      <c r="T154" s="291">
        <f>'Unit Savings Calculations'!$G150</f>
        <v>0.92</v>
      </c>
      <c r="U154" s="291">
        <f>'Unit Savings Calculations'!$G150</f>
        <v>0.92</v>
      </c>
      <c r="V154" s="292">
        <f t="shared" si="67"/>
        <v>33611.697606086978</v>
      </c>
      <c r="W154" s="292">
        <f t="shared" si="68"/>
        <v>33611.697606086978</v>
      </c>
      <c r="X154" s="292">
        <f t="shared" si="69"/>
        <v>33611.697606086978</v>
      </c>
      <c r="Y154" s="292">
        <f t="shared" si="70"/>
        <v>33611.697606086978</v>
      </c>
      <c r="Z154" s="292">
        <f t="shared" si="71"/>
        <v>134446.79042434791</v>
      </c>
      <c r="AA154" s="287"/>
      <c r="AB154" s="287"/>
      <c r="AC154" s="293">
        <f>'Unit Savings Calculations'!N150</f>
        <v>5.2492031493764015</v>
      </c>
      <c r="AD154" s="287"/>
      <c r="AE154" s="292">
        <f t="shared" si="72"/>
        <v>33611.697606086978</v>
      </c>
      <c r="AF154" s="289">
        <f t="shared" si="73"/>
        <v>0</v>
      </c>
      <c r="AG154" s="287"/>
      <c r="AH154" s="287">
        <f t="shared" si="74"/>
        <v>0</v>
      </c>
      <c r="AI154" s="290">
        <f>'Unit Savings Calculations'!O150</f>
        <v>5.2492031493764015</v>
      </c>
      <c r="AJ154" s="287" t="s">
        <v>872</v>
      </c>
      <c r="AK154" s="292">
        <f t="shared" si="75"/>
        <v>33611.697606086978</v>
      </c>
      <c r="AL154" s="289">
        <f t="shared" si="76"/>
        <v>0</v>
      </c>
      <c r="AM154" s="287"/>
      <c r="AN154" s="287"/>
      <c r="AO154" s="290">
        <f>'Unit Savings Calculations'!P150</f>
        <v>5.2492031493764015</v>
      </c>
      <c r="AP154" s="287" t="s">
        <v>764</v>
      </c>
      <c r="AQ154" s="292">
        <f t="shared" si="77"/>
        <v>33611.697606086978</v>
      </c>
      <c r="AR154" s="289">
        <f t="shared" si="78"/>
        <v>0</v>
      </c>
      <c r="AS154" s="287"/>
      <c r="AT154" s="287"/>
      <c r="AU154" s="290">
        <f>'Unit Savings Calculations'!Q150</f>
        <v>5.2492031493764015</v>
      </c>
      <c r="AV154" s="287" t="str">
        <f t="shared" si="79"/>
        <v>n/a</v>
      </c>
      <c r="AW154" s="292">
        <f t="shared" si="80"/>
        <v>33611.697606086978</v>
      </c>
      <c r="AX154" s="289">
        <f t="shared" si="81"/>
        <v>0</v>
      </c>
      <c r="AY154" s="292">
        <f t="shared" si="82"/>
        <v>33611.697606086978</v>
      </c>
      <c r="AZ154" s="292">
        <f t="shared" si="83"/>
        <v>33611.697606086978</v>
      </c>
      <c r="BA154" s="292">
        <f t="shared" si="84"/>
        <v>33611.697606086978</v>
      </c>
      <c r="BB154" s="292">
        <f t="shared" si="85"/>
        <v>33611.697606086978</v>
      </c>
      <c r="BC154" s="294">
        <f t="shared" si="86"/>
        <v>134446.79042434791</v>
      </c>
      <c r="BD154" s="287" t="s">
        <v>764</v>
      </c>
      <c r="BE154" s="295" t="str">
        <f t="shared" si="87"/>
        <v>Exhibit 1.5B_R Peoples Gas EEPS_Adjustable_Savings_Goal_Template.xlsx, Unit Savings Calculations Tab</v>
      </c>
      <c r="BF154" s="297"/>
    </row>
    <row r="155" spans="1:58" ht="13.5" customHeight="1">
      <c r="A155" s="287" t="str">
        <f>'Unit Savings Calculations'!C151</f>
        <v>Bus - SB Assessments</v>
      </c>
      <c r="B155" s="287" t="str">
        <f>'Unit Savings Calculations'!D151</f>
        <v>Pre Rinse Sprayer</v>
      </c>
      <c r="C155" s="288">
        <f t="shared" si="88"/>
        <v>1</v>
      </c>
      <c r="D155" s="287" t="str">
        <f>'Unit Savings Calculations'!T151</f>
        <v>4.2.11</v>
      </c>
      <c r="E155" s="287">
        <f>INDEX('Unit Savings Calculations'!$H$4:$H$421,MATCH('Measure-Level Adjustments Tab'!$A155&amp;"_"&amp;'Measure-Level Adjustments Tab'!$B155,'Unit Savings Calculations'!$A$4:$A$421,0))</f>
        <v>5</v>
      </c>
      <c r="F155" s="287">
        <f>INDEX('Unit Savings Calculations'!$I$4:$I$421,MATCH('Measure-Level Adjustments Tab'!A155&amp;"_"&amp;'Measure-Level Adjustments Tab'!B155,'Unit Savings Calculations'!$A$4:$A$421,0))</f>
        <v>5</v>
      </c>
      <c r="G155" s="287" t="str">
        <f>'Unit Savings Calculations'!E151</f>
        <v>each</v>
      </c>
      <c r="H155" s="289">
        <f>'Unit Savings Calculations'!$F151*'Unit Savings Calculations'!J151</f>
        <v>240</v>
      </c>
      <c r="I155" s="289">
        <f>'Unit Savings Calculations'!$F151*'Unit Savings Calculations'!K151</f>
        <v>240</v>
      </c>
      <c r="J155" s="289">
        <f>'Unit Savings Calculations'!$F151*'Unit Savings Calculations'!L151</f>
        <v>240</v>
      </c>
      <c r="K155" s="289">
        <f>'Unit Savings Calculations'!$F151*'Unit Savings Calculations'!M151</f>
        <v>240</v>
      </c>
      <c r="L155" s="287" t="str">
        <f>'Unit Savings Calculations'!U151</f>
        <v>CI-FSE-SPRY-V04-180101</v>
      </c>
      <c r="M155" s="363" t="s">
        <v>830</v>
      </c>
      <c r="N155" s="290">
        <v>171.92120399999999</v>
      </c>
      <c r="O155" s="290">
        <v>171.92120399999999</v>
      </c>
      <c r="P155" s="290">
        <v>171.92120399999999</v>
      </c>
      <c r="Q155" s="290">
        <v>171.92120399999999</v>
      </c>
      <c r="R155" s="291">
        <f>'Unit Savings Calculations'!$G151</f>
        <v>0.92</v>
      </c>
      <c r="S155" s="291">
        <f>'Unit Savings Calculations'!$G151</f>
        <v>0.92</v>
      </c>
      <c r="T155" s="291">
        <f>'Unit Savings Calculations'!$G151</f>
        <v>0.92</v>
      </c>
      <c r="U155" s="291">
        <f>'Unit Savings Calculations'!$G151</f>
        <v>0.92</v>
      </c>
      <c r="V155" s="292">
        <f t="shared" si="67"/>
        <v>37960.201843199997</v>
      </c>
      <c r="W155" s="292">
        <f t="shared" si="68"/>
        <v>37960.201843199997</v>
      </c>
      <c r="X155" s="292">
        <f t="shared" si="69"/>
        <v>37960.201843199997</v>
      </c>
      <c r="Y155" s="292">
        <f t="shared" si="70"/>
        <v>37960.201843199997</v>
      </c>
      <c r="Z155" s="292">
        <f t="shared" si="71"/>
        <v>151840.80737279999</v>
      </c>
      <c r="AA155" s="287"/>
      <c r="AB155" s="287"/>
      <c r="AC155" s="293">
        <f>'Unit Savings Calculations'!N151</f>
        <v>237.414996</v>
      </c>
      <c r="AD155" s="287"/>
      <c r="AE155" s="292">
        <f t="shared" si="72"/>
        <v>52421.231116800001</v>
      </c>
      <c r="AF155" s="289">
        <f t="shared" si="73"/>
        <v>14461.029273600005</v>
      </c>
      <c r="AG155" s="287"/>
      <c r="AH155" s="287">
        <f t="shared" si="74"/>
        <v>0</v>
      </c>
      <c r="AI155" s="290">
        <f>'Unit Savings Calculations'!O151</f>
        <v>237.414996</v>
      </c>
      <c r="AJ155" s="287" t="s">
        <v>872</v>
      </c>
      <c r="AK155" s="292">
        <f t="shared" si="75"/>
        <v>52421.231116800001</v>
      </c>
      <c r="AL155" s="289">
        <f t="shared" si="76"/>
        <v>14461.029273600005</v>
      </c>
      <c r="AM155" s="287"/>
      <c r="AN155" s="287"/>
      <c r="AO155" s="290">
        <f>'Unit Savings Calculations'!P151</f>
        <v>237.414996</v>
      </c>
      <c r="AP155" s="287" t="s">
        <v>1430</v>
      </c>
      <c r="AQ155" s="292">
        <f t="shared" si="77"/>
        <v>52421.231116800001</v>
      </c>
      <c r="AR155" s="289">
        <f t="shared" si="78"/>
        <v>14461.029273600005</v>
      </c>
      <c r="AS155" s="287"/>
      <c r="AT155" s="287"/>
      <c r="AU155" s="290">
        <f>'Unit Savings Calculations'!Q151</f>
        <v>237.414996</v>
      </c>
      <c r="AV155" s="287" t="str">
        <f t="shared" si="79"/>
        <v>Updated base and EE flow rates</v>
      </c>
      <c r="AW155" s="292">
        <f t="shared" si="80"/>
        <v>52421.231116800001</v>
      </c>
      <c r="AX155" s="289">
        <f t="shared" si="81"/>
        <v>14461.029273600005</v>
      </c>
      <c r="AY155" s="292">
        <f t="shared" si="82"/>
        <v>52421.231116800001</v>
      </c>
      <c r="AZ155" s="292">
        <f t="shared" si="83"/>
        <v>52421.231116800001</v>
      </c>
      <c r="BA155" s="292">
        <f t="shared" si="84"/>
        <v>52421.231116800001</v>
      </c>
      <c r="BB155" s="292">
        <f t="shared" si="85"/>
        <v>52421.231116800001</v>
      </c>
      <c r="BC155" s="294">
        <f t="shared" si="86"/>
        <v>209684.92446720001</v>
      </c>
      <c r="BD155" s="287" t="s">
        <v>764</v>
      </c>
      <c r="BE155" s="295" t="str">
        <f t="shared" si="87"/>
        <v>Exhibit 1.5B_R Peoples Gas EEPS_Adjustable_Savings_Goal_Template.xlsx, Unit Savings Calculations Tab</v>
      </c>
      <c r="BF155" s="297"/>
    </row>
    <row r="156" spans="1:58" ht="13.5" customHeight="1">
      <c r="A156" s="287" t="str">
        <f>'Unit Savings Calculations'!C152</f>
        <v>Bus - SB Assessments</v>
      </c>
      <c r="B156" s="287" t="str">
        <f>'Unit Savings Calculations'!D152</f>
        <v>Thermostat - Programmable</v>
      </c>
      <c r="C156" s="288">
        <f t="shared" ref="C156" si="89">IF(D156="Custom",0,1)</f>
        <v>1</v>
      </c>
      <c r="D156" s="287" t="str">
        <f>'Unit Savings Calculations'!T152</f>
        <v>4.4.18</v>
      </c>
      <c r="E156" s="287">
        <f>INDEX('Unit Savings Calculations'!$H$4:$H$421,MATCH('Measure-Level Adjustments Tab'!$A156&amp;"_"&amp;'Measure-Level Adjustments Tab'!$B156,'Unit Savings Calculations'!$A$4:$A$421,0))</f>
        <v>4</v>
      </c>
      <c r="F156" s="287">
        <f>INDEX('Unit Savings Calculations'!$I$4:$I$421,MATCH('Measure-Level Adjustments Tab'!A156&amp;"_"&amp;'Measure-Level Adjustments Tab'!B156,'Unit Savings Calculations'!$A$4:$A$421,0))</f>
        <v>4</v>
      </c>
      <c r="G156" s="287" t="str">
        <f>'Unit Savings Calculations'!E152</f>
        <v>each</v>
      </c>
      <c r="H156" s="289">
        <f>'Unit Savings Calculations'!$F152*'Unit Savings Calculations'!J152</f>
        <v>10</v>
      </c>
      <c r="I156" s="289">
        <f>'Unit Savings Calculations'!$F152*'Unit Savings Calculations'!K152</f>
        <v>10</v>
      </c>
      <c r="J156" s="289">
        <f>'Unit Savings Calculations'!$F152*'Unit Savings Calculations'!L152</f>
        <v>10</v>
      </c>
      <c r="K156" s="289">
        <f>'Unit Savings Calculations'!$F152*'Unit Savings Calculations'!M152</f>
        <v>10</v>
      </c>
      <c r="L156" s="287" t="str">
        <f>'Unit Savings Calculations'!U152</f>
        <v>CI-HVC-PROG-V02-150601</v>
      </c>
      <c r="M156" s="363" t="s">
        <v>829</v>
      </c>
      <c r="N156" s="290">
        <v>124.68584320000001</v>
      </c>
      <c r="O156" s="290">
        <v>124.68584320000001</v>
      </c>
      <c r="P156" s="290">
        <v>124.68584320000001</v>
      </c>
      <c r="Q156" s="290">
        <v>124.68584320000001</v>
      </c>
      <c r="R156" s="291">
        <f>'Unit Savings Calculations'!$G152</f>
        <v>0.92</v>
      </c>
      <c r="S156" s="291">
        <f>'Unit Savings Calculations'!$G152</f>
        <v>0.92</v>
      </c>
      <c r="T156" s="291">
        <f>'Unit Savings Calculations'!$G152</f>
        <v>0.92</v>
      </c>
      <c r="U156" s="291">
        <f>'Unit Savings Calculations'!$G152</f>
        <v>0.92</v>
      </c>
      <c r="V156" s="292">
        <f t="shared" ref="V156" si="90">H156*N156*R156</f>
        <v>1147.1097574400001</v>
      </c>
      <c r="W156" s="292">
        <f t="shared" ref="W156" si="91">I156*O156*S156</f>
        <v>1147.1097574400001</v>
      </c>
      <c r="X156" s="292">
        <f t="shared" ref="X156" si="92">J156*P156*T156</f>
        <v>1147.1097574400001</v>
      </c>
      <c r="Y156" s="292">
        <f t="shared" ref="Y156" si="93">K156*Q156*U156</f>
        <v>1147.1097574400001</v>
      </c>
      <c r="Z156" s="292">
        <f t="shared" ref="Z156" si="94">V156+W156+X156+Y156</f>
        <v>4588.4390297600003</v>
      </c>
      <c r="AA156" s="287"/>
      <c r="AB156" s="287"/>
      <c r="AC156" s="293">
        <f>'Unit Savings Calculations'!N152</f>
        <v>124.68584320000001</v>
      </c>
      <c r="AD156" s="287"/>
      <c r="AE156" s="292">
        <f t="shared" ref="AE156" si="95">H156*AC156*R156</f>
        <v>1147.1097574400001</v>
      </c>
      <c r="AF156" s="289">
        <f t="shared" ref="AF156" si="96">AE156-V156</f>
        <v>0</v>
      </c>
      <c r="AG156" s="287"/>
      <c r="AH156" s="287">
        <f t="shared" ref="AH156" si="97">AB156</f>
        <v>0</v>
      </c>
      <c r="AI156" s="290">
        <f>'Unit Savings Calculations'!O152</f>
        <v>124.68584320000001</v>
      </c>
      <c r="AJ156" s="287" t="s">
        <v>872</v>
      </c>
      <c r="AK156" s="292">
        <f t="shared" ref="AK156" si="98">I156*AI156*S156</f>
        <v>1147.1097574400001</v>
      </c>
      <c r="AL156" s="289">
        <f t="shared" ref="AL156" si="99">AK156-W156</f>
        <v>0</v>
      </c>
      <c r="AM156" s="287"/>
      <c r="AN156" s="287"/>
      <c r="AO156" s="290">
        <f>'Unit Savings Calculations'!P152</f>
        <v>124.68584320000001</v>
      </c>
      <c r="AP156" s="287" t="s">
        <v>764</v>
      </c>
      <c r="AQ156" s="292">
        <f t="shared" ref="AQ156" si="100">J156*AO156*T156</f>
        <v>1147.1097574400001</v>
      </c>
      <c r="AR156" s="289">
        <f t="shared" ref="AR156" si="101">AQ156-X156</f>
        <v>0</v>
      </c>
      <c r="AS156" s="287"/>
      <c r="AT156" s="287"/>
      <c r="AU156" s="290">
        <f>'Unit Savings Calculations'!Q152</f>
        <v>124.68584320000001</v>
      </c>
      <c r="AV156" s="287" t="str">
        <f t="shared" si="79"/>
        <v>n/a</v>
      </c>
      <c r="AW156" s="292">
        <f t="shared" ref="AW156" si="102">K156*AU156*U156</f>
        <v>1147.1097574400001</v>
      </c>
      <c r="AX156" s="289">
        <f t="shared" ref="AX156" si="103">AW156-Y156</f>
        <v>0</v>
      </c>
      <c r="AY156" s="292">
        <f t="shared" si="82"/>
        <v>1147.1097574400001</v>
      </c>
      <c r="AZ156" s="292">
        <f t="shared" si="83"/>
        <v>1147.1097574400001</v>
      </c>
      <c r="BA156" s="292">
        <f t="shared" si="84"/>
        <v>1147.1097574400001</v>
      </c>
      <c r="BB156" s="292">
        <f t="shared" si="85"/>
        <v>1147.1097574400001</v>
      </c>
      <c r="BC156" s="294">
        <f t="shared" si="86"/>
        <v>4588.4390297600003</v>
      </c>
      <c r="BD156" s="287" t="s">
        <v>764</v>
      </c>
      <c r="BE156" s="295" t="str">
        <f t="shared" si="87"/>
        <v>Exhibit 1.5B_R Peoples Gas EEPS_Adjustable_Savings_Goal_Template.xlsx, Thermostat Detail Tab</v>
      </c>
      <c r="BF156" s="297"/>
    </row>
    <row r="157" spans="1:58" ht="13.5" customHeight="1">
      <c r="A157" s="287" t="str">
        <f>'Unit Savings Calculations'!C153</f>
        <v>Bus - CI Assessments</v>
      </c>
      <c r="B157" s="287" t="str">
        <f>'Unit Savings Calculations'!D153</f>
        <v>Gas Optimization</v>
      </c>
      <c r="C157" s="288">
        <f t="shared" si="88"/>
        <v>0</v>
      </c>
      <c r="D157" s="287" t="str">
        <f>'Unit Savings Calculations'!T153</f>
        <v>Custom</v>
      </c>
      <c r="E157" s="287">
        <f>INDEX('Unit Savings Calculations'!$H$4:$H$421,MATCH('Measure-Level Adjustments Tab'!$A157&amp;"_"&amp;'Measure-Level Adjustments Tab'!$B157,'Unit Savings Calculations'!$A$4:$A$421,0))</f>
        <v>15</v>
      </c>
      <c r="F157" s="287">
        <f>INDEX('Unit Savings Calculations'!$I$4:$I$421,MATCH('Measure-Level Adjustments Tab'!A157&amp;"_"&amp;'Measure-Level Adjustments Tab'!B157,'Unit Savings Calculations'!$A$4:$A$421,0))</f>
        <v>15</v>
      </c>
      <c r="G157" s="287" t="str">
        <f>'Unit Savings Calculations'!E153</f>
        <v>each</v>
      </c>
      <c r="H157" s="289">
        <f>'Unit Savings Calculations'!$F153*'Unit Savings Calculations'!J153</f>
        <v>7</v>
      </c>
      <c r="I157" s="289">
        <f>'Unit Savings Calculations'!$F153*'Unit Savings Calculations'!K153</f>
        <v>7</v>
      </c>
      <c r="J157" s="289">
        <f>'Unit Savings Calculations'!$F153*'Unit Savings Calculations'!L153</f>
        <v>7</v>
      </c>
      <c r="K157" s="289">
        <f>'Unit Savings Calculations'!$F153*'Unit Savings Calculations'!M153</f>
        <v>7</v>
      </c>
      <c r="L157" s="287" t="str">
        <f>'Unit Savings Calculations'!U153</f>
        <v>Custom</v>
      </c>
      <c r="M157" s="287" t="str">
        <f>'Unit Savings Calculations'!S153</f>
        <v>Custom</v>
      </c>
      <c r="N157" s="290">
        <v>83100</v>
      </c>
      <c r="O157" s="290">
        <v>83100</v>
      </c>
      <c r="P157" s="290">
        <v>83100</v>
      </c>
      <c r="Q157" s="290">
        <v>83100</v>
      </c>
      <c r="R157" s="291">
        <f>'Unit Savings Calculations'!$G153</f>
        <v>1.02</v>
      </c>
      <c r="S157" s="291">
        <f>'Unit Savings Calculations'!$G153</f>
        <v>1.02</v>
      </c>
      <c r="T157" s="291">
        <f>'Unit Savings Calculations'!$G153</f>
        <v>1.02</v>
      </c>
      <c r="U157" s="291">
        <f>'Unit Savings Calculations'!$G153</f>
        <v>1.02</v>
      </c>
      <c r="V157" s="292">
        <f>H157*N157*R157</f>
        <v>593334</v>
      </c>
      <c r="W157" s="292">
        <f t="shared" si="68"/>
        <v>593334</v>
      </c>
      <c r="X157" s="292">
        <f t="shared" si="69"/>
        <v>593334</v>
      </c>
      <c r="Y157" s="292">
        <f t="shared" si="70"/>
        <v>593334</v>
      </c>
      <c r="Z157" s="292">
        <f t="shared" si="71"/>
        <v>2373336</v>
      </c>
      <c r="AA157" s="364"/>
      <c r="AB157" s="364"/>
      <c r="AC157" s="365">
        <f>'Unit Savings Calculations'!N153</f>
        <v>83100</v>
      </c>
      <c r="AD157" s="364"/>
      <c r="AE157" s="366">
        <f t="shared" si="72"/>
        <v>593334</v>
      </c>
      <c r="AF157" s="367">
        <f t="shared" si="73"/>
        <v>0</v>
      </c>
      <c r="AG157" s="364"/>
      <c r="AH157" s="364">
        <f t="shared" si="74"/>
        <v>0</v>
      </c>
      <c r="AI157" s="368">
        <f>'Unit Savings Calculations'!O153</f>
        <v>83100</v>
      </c>
      <c r="AJ157" s="364" t="s">
        <v>872</v>
      </c>
      <c r="AK157" s="366">
        <f t="shared" si="75"/>
        <v>593334</v>
      </c>
      <c r="AL157" s="367">
        <f t="shared" si="76"/>
        <v>0</v>
      </c>
      <c r="AM157" s="364"/>
      <c r="AN157" s="364"/>
      <c r="AO157" s="368">
        <f>'Unit Savings Calculations'!P153</f>
        <v>83100</v>
      </c>
      <c r="AP157" s="364" t="s">
        <v>764</v>
      </c>
      <c r="AQ157" s="366">
        <f t="shared" si="77"/>
        <v>593334</v>
      </c>
      <c r="AR157" s="367">
        <f t="shared" si="78"/>
        <v>0</v>
      </c>
      <c r="AS157" s="364"/>
      <c r="AT157" s="364"/>
      <c r="AU157" s="368">
        <f>'Unit Savings Calculations'!Q153</f>
        <v>83100</v>
      </c>
      <c r="AV157" s="364" t="str">
        <f t="shared" si="79"/>
        <v>n/a</v>
      </c>
      <c r="AW157" s="366">
        <f t="shared" si="80"/>
        <v>593334</v>
      </c>
      <c r="AX157" s="367">
        <f t="shared" si="81"/>
        <v>0</v>
      </c>
      <c r="AY157" s="292">
        <f t="shared" si="82"/>
        <v>593334</v>
      </c>
      <c r="AZ157" s="292">
        <f t="shared" si="83"/>
        <v>593334</v>
      </c>
      <c r="BA157" s="292">
        <f t="shared" si="84"/>
        <v>593334</v>
      </c>
      <c r="BB157" s="292">
        <f t="shared" si="85"/>
        <v>593334</v>
      </c>
      <c r="BC157" s="294">
        <f t="shared" si="86"/>
        <v>2373336</v>
      </c>
      <c r="BD157" s="287" t="s">
        <v>764</v>
      </c>
      <c r="BE157" s="295" t="str">
        <f t="shared" si="87"/>
        <v>Custom</v>
      </c>
      <c r="BF157" s="297"/>
    </row>
    <row r="158" spans="1:58" ht="13.5" customHeight="1">
      <c r="A158" s="287" t="str">
        <f>'Unit Savings Calculations'!C154</f>
        <v>Bus - CI Assessments</v>
      </c>
      <c r="B158" s="287" t="str">
        <f>'Unit Savings Calculations'!D154</f>
        <v>Retrocommissioning</v>
      </c>
      <c r="C158" s="288">
        <f t="shared" si="88"/>
        <v>0</v>
      </c>
      <c r="D158" s="287" t="str">
        <f>'Unit Savings Calculations'!T154</f>
        <v>Custom</v>
      </c>
      <c r="E158" s="287">
        <f>INDEX('Unit Savings Calculations'!$H$4:$H$421,MATCH('Measure-Level Adjustments Tab'!$A158&amp;"_"&amp;'Measure-Level Adjustments Tab'!$B158,'Unit Savings Calculations'!$A$4:$A$421,0))</f>
        <v>15</v>
      </c>
      <c r="F158" s="287">
        <f>INDEX('Unit Savings Calculations'!$I$4:$I$421,MATCH('Measure-Level Adjustments Tab'!A158&amp;"_"&amp;'Measure-Level Adjustments Tab'!B158,'Unit Savings Calculations'!$A$4:$A$421,0))</f>
        <v>15</v>
      </c>
      <c r="G158" s="287" t="str">
        <f>'Unit Savings Calculations'!E154</f>
        <v>each</v>
      </c>
      <c r="H158" s="289">
        <f>'Unit Savings Calculations'!$F154*'Unit Savings Calculations'!J154</f>
        <v>6</v>
      </c>
      <c r="I158" s="289">
        <f>'Unit Savings Calculations'!$F154*'Unit Savings Calculations'!K154</f>
        <v>6</v>
      </c>
      <c r="J158" s="289">
        <f>'Unit Savings Calculations'!$F154*'Unit Savings Calculations'!L154</f>
        <v>6</v>
      </c>
      <c r="K158" s="289">
        <f>'Unit Savings Calculations'!$F154*'Unit Savings Calculations'!M154</f>
        <v>6</v>
      </c>
      <c r="L158" s="287" t="str">
        <f>'Unit Savings Calculations'!U154</f>
        <v>Custom</v>
      </c>
      <c r="M158" s="287" t="str">
        <f>'Unit Savings Calculations'!S154</f>
        <v>Custom</v>
      </c>
      <c r="N158" s="290">
        <v>59000</v>
      </c>
      <c r="O158" s="290">
        <v>59000</v>
      </c>
      <c r="P158" s="290">
        <v>59000</v>
      </c>
      <c r="Q158" s="290">
        <v>59000</v>
      </c>
      <c r="R158" s="291">
        <f>'Unit Savings Calculations'!$G154</f>
        <v>1.02</v>
      </c>
      <c r="S158" s="291">
        <f>'Unit Savings Calculations'!$G154</f>
        <v>1.02</v>
      </c>
      <c r="T158" s="291">
        <f>'Unit Savings Calculations'!$G154</f>
        <v>1.02</v>
      </c>
      <c r="U158" s="291">
        <f>'Unit Savings Calculations'!$G154</f>
        <v>1.02</v>
      </c>
      <c r="V158" s="292">
        <f t="shared" ref="V158:V221" si="104">H158*N158*R158</f>
        <v>361080</v>
      </c>
      <c r="W158" s="292">
        <f t="shared" ref="W158:W221" si="105">I158*O158*S158</f>
        <v>361080</v>
      </c>
      <c r="X158" s="292">
        <f t="shared" ref="X158:X221" si="106">J158*P158*T158</f>
        <v>361080</v>
      </c>
      <c r="Y158" s="292">
        <f t="shared" ref="Y158:Y221" si="107">K158*Q158*U158</f>
        <v>361080</v>
      </c>
      <c r="Z158" s="292">
        <f t="shared" ref="Z158:Z221" si="108">V158+W158+X158+Y158</f>
        <v>1444320</v>
      </c>
      <c r="AA158" s="364"/>
      <c r="AB158" s="364"/>
      <c r="AC158" s="365">
        <f>'Unit Savings Calculations'!N154</f>
        <v>59000</v>
      </c>
      <c r="AD158" s="364"/>
      <c r="AE158" s="366">
        <f t="shared" si="72"/>
        <v>361080</v>
      </c>
      <c r="AF158" s="367">
        <f t="shared" si="73"/>
        <v>0</v>
      </c>
      <c r="AG158" s="364"/>
      <c r="AH158" s="364">
        <f t="shared" si="74"/>
        <v>0</v>
      </c>
      <c r="AI158" s="368">
        <f>'Unit Savings Calculations'!O154</f>
        <v>59000</v>
      </c>
      <c r="AJ158" s="364" t="s">
        <v>872</v>
      </c>
      <c r="AK158" s="366">
        <f t="shared" si="75"/>
        <v>361080</v>
      </c>
      <c r="AL158" s="367">
        <f t="shared" si="76"/>
        <v>0</v>
      </c>
      <c r="AM158" s="364"/>
      <c r="AN158" s="364"/>
      <c r="AO158" s="368">
        <f>'Unit Savings Calculations'!P154</f>
        <v>59000</v>
      </c>
      <c r="AP158" s="364" t="s">
        <v>764</v>
      </c>
      <c r="AQ158" s="366">
        <f t="shared" si="77"/>
        <v>361080</v>
      </c>
      <c r="AR158" s="367">
        <f t="shared" si="78"/>
        <v>0</v>
      </c>
      <c r="AS158" s="364"/>
      <c r="AT158" s="364"/>
      <c r="AU158" s="368">
        <f>'Unit Savings Calculations'!Q154</f>
        <v>59000</v>
      </c>
      <c r="AV158" s="364" t="str">
        <f t="shared" si="79"/>
        <v>n/a</v>
      </c>
      <c r="AW158" s="366">
        <f t="shared" si="80"/>
        <v>361080</v>
      </c>
      <c r="AX158" s="367">
        <f t="shared" si="81"/>
        <v>0</v>
      </c>
      <c r="AY158" s="292">
        <f t="shared" si="82"/>
        <v>361080</v>
      </c>
      <c r="AZ158" s="292">
        <f t="shared" si="83"/>
        <v>361080</v>
      </c>
      <c r="BA158" s="292">
        <f t="shared" si="84"/>
        <v>361080</v>
      </c>
      <c r="BB158" s="292">
        <f t="shared" si="85"/>
        <v>361080</v>
      </c>
      <c r="BC158" s="294">
        <f t="shared" si="86"/>
        <v>1444320</v>
      </c>
      <c r="BD158" s="287" t="s">
        <v>764</v>
      </c>
      <c r="BE158" s="295" t="str">
        <f t="shared" si="87"/>
        <v>Custom</v>
      </c>
      <c r="BF158" s="297"/>
    </row>
    <row r="159" spans="1:58" ht="13.5" customHeight="1">
      <c r="A159" s="287" t="str">
        <f>'Unit Savings Calculations'!C155</f>
        <v>Bus - CI Assessments</v>
      </c>
      <c r="B159" s="287" t="str">
        <f>'Unit Savings Calculations'!D155</f>
        <v>Engineering Study</v>
      </c>
      <c r="C159" s="288">
        <f t="shared" si="88"/>
        <v>0</v>
      </c>
      <c r="D159" s="287" t="str">
        <f>'Unit Savings Calculations'!T155</f>
        <v>Custom</v>
      </c>
      <c r="E159" s="287">
        <f>INDEX('Unit Savings Calculations'!$H$4:$H$421,MATCH('Measure-Level Adjustments Tab'!$A159&amp;"_"&amp;'Measure-Level Adjustments Tab'!$B159,'Unit Savings Calculations'!$A$4:$A$421,0))</f>
        <v>0</v>
      </c>
      <c r="F159" s="287">
        <f>INDEX('Unit Savings Calculations'!$I$4:$I$421,MATCH('Measure-Level Adjustments Tab'!A159&amp;"_"&amp;'Measure-Level Adjustments Tab'!B159,'Unit Savings Calculations'!$A$4:$A$421,0))</f>
        <v>0</v>
      </c>
      <c r="G159" s="287" t="str">
        <f>'Unit Savings Calculations'!E155</f>
        <v>each</v>
      </c>
      <c r="H159" s="289">
        <f>'Unit Savings Calculations'!$F155*'Unit Savings Calculations'!J155</f>
        <v>0</v>
      </c>
      <c r="I159" s="289">
        <f>'Unit Savings Calculations'!$F155*'Unit Savings Calculations'!K155</f>
        <v>0</v>
      </c>
      <c r="J159" s="289">
        <f>'Unit Savings Calculations'!$F155*'Unit Savings Calculations'!L155</f>
        <v>0</v>
      </c>
      <c r="K159" s="289">
        <f>'Unit Savings Calculations'!$F155*'Unit Savings Calculations'!M155</f>
        <v>0</v>
      </c>
      <c r="L159" s="287" t="str">
        <f>'Unit Savings Calculations'!U155</f>
        <v>Custom</v>
      </c>
      <c r="M159" s="287" t="str">
        <f>'Unit Savings Calculations'!S155</f>
        <v>Custom</v>
      </c>
      <c r="N159" s="290">
        <v>1</v>
      </c>
      <c r="O159" s="290">
        <v>1</v>
      </c>
      <c r="P159" s="290">
        <v>1</v>
      </c>
      <c r="Q159" s="290">
        <v>1</v>
      </c>
      <c r="R159" s="291">
        <f>'Unit Savings Calculations'!$G155</f>
        <v>1.02</v>
      </c>
      <c r="S159" s="291">
        <f>'Unit Savings Calculations'!$G155</f>
        <v>1.02</v>
      </c>
      <c r="T159" s="291">
        <f>'Unit Savings Calculations'!$G155</f>
        <v>1.02</v>
      </c>
      <c r="U159" s="291">
        <f>'Unit Savings Calculations'!$G155</f>
        <v>1.02</v>
      </c>
      <c r="V159" s="292">
        <f t="shared" si="104"/>
        <v>0</v>
      </c>
      <c r="W159" s="292">
        <f t="shared" si="105"/>
        <v>0</v>
      </c>
      <c r="X159" s="292">
        <f t="shared" si="106"/>
        <v>0</v>
      </c>
      <c r="Y159" s="292">
        <f t="shared" si="107"/>
        <v>0</v>
      </c>
      <c r="Z159" s="292">
        <f t="shared" si="108"/>
        <v>0</v>
      </c>
      <c r="AA159" s="364"/>
      <c r="AB159" s="364"/>
      <c r="AC159" s="365">
        <f>'Unit Savings Calculations'!N155</f>
        <v>1</v>
      </c>
      <c r="AD159" s="364"/>
      <c r="AE159" s="366">
        <f t="shared" si="72"/>
        <v>0</v>
      </c>
      <c r="AF159" s="367">
        <f t="shared" si="73"/>
        <v>0</v>
      </c>
      <c r="AG159" s="364"/>
      <c r="AH159" s="364">
        <f t="shared" si="74"/>
        <v>0</v>
      </c>
      <c r="AI159" s="368">
        <f>'Unit Savings Calculations'!O155</f>
        <v>1</v>
      </c>
      <c r="AJ159" s="364" t="s">
        <v>872</v>
      </c>
      <c r="AK159" s="366">
        <f t="shared" si="75"/>
        <v>0</v>
      </c>
      <c r="AL159" s="367">
        <f t="shared" si="76"/>
        <v>0</v>
      </c>
      <c r="AM159" s="364"/>
      <c r="AN159" s="364"/>
      <c r="AO159" s="368">
        <f>'Unit Savings Calculations'!P155</f>
        <v>1</v>
      </c>
      <c r="AP159" s="364" t="s">
        <v>764</v>
      </c>
      <c r="AQ159" s="366">
        <f t="shared" si="77"/>
        <v>0</v>
      </c>
      <c r="AR159" s="367">
        <f t="shared" si="78"/>
        <v>0</v>
      </c>
      <c r="AS159" s="364"/>
      <c r="AT159" s="364"/>
      <c r="AU159" s="368">
        <f>'Unit Savings Calculations'!Q155</f>
        <v>1</v>
      </c>
      <c r="AV159" s="364" t="str">
        <f t="shared" si="79"/>
        <v>n/a</v>
      </c>
      <c r="AW159" s="366">
        <f t="shared" si="80"/>
        <v>0</v>
      </c>
      <c r="AX159" s="367">
        <f t="shared" si="81"/>
        <v>0</v>
      </c>
      <c r="AY159" s="292">
        <f t="shared" si="82"/>
        <v>0</v>
      </c>
      <c r="AZ159" s="292">
        <f t="shared" si="83"/>
        <v>0</v>
      </c>
      <c r="BA159" s="292">
        <f t="shared" si="84"/>
        <v>0</v>
      </c>
      <c r="BB159" s="292">
        <f t="shared" si="85"/>
        <v>0</v>
      </c>
      <c r="BC159" s="294">
        <f t="shared" si="86"/>
        <v>0</v>
      </c>
      <c r="BD159" s="287" t="s">
        <v>764</v>
      </c>
      <c r="BE159" s="295" t="str">
        <f t="shared" si="87"/>
        <v>Custom</v>
      </c>
      <c r="BF159" s="297"/>
    </row>
    <row r="160" spans="1:58" ht="13.5" customHeight="1">
      <c r="A160" s="287" t="str">
        <f>'Unit Savings Calculations'!C156</f>
        <v>Bus - CI Rebates</v>
      </c>
      <c r="B160" s="287" t="str">
        <f>'Unit Savings Calculations'!D156</f>
        <v>Staffing</v>
      </c>
      <c r="C160" s="288">
        <f t="shared" si="88"/>
        <v>0</v>
      </c>
      <c r="D160" s="287" t="str">
        <f>'Unit Savings Calculations'!T156</f>
        <v>Custom</v>
      </c>
      <c r="E160" s="287">
        <f>INDEX('Unit Savings Calculations'!$H$4:$H$421,MATCH('Measure-Level Adjustments Tab'!$A160&amp;"_"&amp;'Measure-Level Adjustments Tab'!$B160,'Unit Savings Calculations'!$A$4:$A$421,0))</f>
        <v>0</v>
      </c>
      <c r="F160" s="287">
        <f>INDEX('Unit Savings Calculations'!$I$4:$I$421,MATCH('Measure-Level Adjustments Tab'!A160&amp;"_"&amp;'Measure-Level Adjustments Tab'!B160,'Unit Savings Calculations'!$A$4:$A$421,0))</f>
        <v>0</v>
      </c>
      <c r="G160" s="287" t="str">
        <f>'Unit Savings Calculations'!E156</f>
        <v>each</v>
      </c>
      <c r="H160" s="289">
        <f>'Unit Savings Calculations'!$F156*'Unit Savings Calculations'!J156</f>
        <v>0</v>
      </c>
      <c r="I160" s="289">
        <f>'Unit Savings Calculations'!$F156*'Unit Savings Calculations'!K156</f>
        <v>0</v>
      </c>
      <c r="J160" s="289">
        <f>'Unit Savings Calculations'!$F156*'Unit Savings Calculations'!L156</f>
        <v>0</v>
      </c>
      <c r="K160" s="289">
        <f>'Unit Savings Calculations'!$F156*'Unit Savings Calculations'!M156</f>
        <v>0</v>
      </c>
      <c r="L160" s="287" t="str">
        <f>'Unit Savings Calculations'!U156</f>
        <v>Custom</v>
      </c>
      <c r="M160" s="287" t="str">
        <f>'Unit Savings Calculations'!S156</f>
        <v>Custom</v>
      </c>
      <c r="N160" s="290">
        <v>1</v>
      </c>
      <c r="O160" s="290">
        <v>1</v>
      </c>
      <c r="P160" s="290">
        <v>1</v>
      </c>
      <c r="Q160" s="290">
        <v>1</v>
      </c>
      <c r="R160" s="291">
        <f>'Unit Savings Calculations'!$G156</f>
        <v>1.02</v>
      </c>
      <c r="S160" s="291">
        <f>'Unit Savings Calculations'!$G156</f>
        <v>1.02</v>
      </c>
      <c r="T160" s="291">
        <f>'Unit Savings Calculations'!$G156</f>
        <v>1.02</v>
      </c>
      <c r="U160" s="291">
        <f>'Unit Savings Calculations'!$G156</f>
        <v>1.02</v>
      </c>
      <c r="V160" s="292">
        <f t="shared" si="104"/>
        <v>0</v>
      </c>
      <c r="W160" s="292">
        <f t="shared" si="105"/>
        <v>0</v>
      </c>
      <c r="X160" s="292">
        <f t="shared" si="106"/>
        <v>0</v>
      </c>
      <c r="Y160" s="292">
        <f t="shared" si="107"/>
        <v>0</v>
      </c>
      <c r="Z160" s="292">
        <f t="shared" si="108"/>
        <v>0</v>
      </c>
      <c r="AA160" s="364"/>
      <c r="AB160" s="364"/>
      <c r="AC160" s="365">
        <f>'Unit Savings Calculations'!N156</f>
        <v>1</v>
      </c>
      <c r="AD160" s="364"/>
      <c r="AE160" s="366">
        <f t="shared" si="72"/>
        <v>0</v>
      </c>
      <c r="AF160" s="367">
        <f t="shared" si="73"/>
        <v>0</v>
      </c>
      <c r="AG160" s="364"/>
      <c r="AH160" s="364">
        <f t="shared" si="74"/>
        <v>0</v>
      </c>
      <c r="AI160" s="368">
        <f>'Unit Savings Calculations'!O156</f>
        <v>1</v>
      </c>
      <c r="AJ160" s="364" t="s">
        <v>872</v>
      </c>
      <c r="AK160" s="366">
        <f t="shared" si="75"/>
        <v>0</v>
      </c>
      <c r="AL160" s="367">
        <f t="shared" si="76"/>
        <v>0</v>
      </c>
      <c r="AM160" s="364"/>
      <c r="AN160" s="364"/>
      <c r="AO160" s="368">
        <f>'Unit Savings Calculations'!P156</f>
        <v>1</v>
      </c>
      <c r="AP160" s="364" t="s">
        <v>764</v>
      </c>
      <c r="AQ160" s="366">
        <f t="shared" si="77"/>
        <v>0</v>
      </c>
      <c r="AR160" s="367">
        <f t="shared" si="78"/>
        <v>0</v>
      </c>
      <c r="AS160" s="364"/>
      <c r="AT160" s="364"/>
      <c r="AU160" s="368">
        <f>'Unit Savings Calculations'!Q156</f>
        <v>1</v>
      </c>
      <c r="AV160" s="364" t="str">
        <f t="shared" si="79"/>
        <v>n/a</v>
      </c>
      <c r="AW160" s="366">
        <f t="shared" si="80"/>
        <v>0</v>
      </c>
      <c r="AX160" s="367">
        <f t="shared" si="81"/>
        <v>0</v>
      </c>
      <c r="AY160" s="292">
        <f t="shared" si="82"/>
        <v>0</v>
      </c>
      <c r="AZ160" s="292">
        <f t="shared" si="83"/>
        <v>0</v>
      </c>
      <c r="BA160" s="292">
        <f t="shared" si="84"/>
        <v>0</v>
      </c>
      <c r="BB160" s="292">
        <f t="shared" si="85"/>
        <v>0</v>
      </c>
      <c r="BC160" s="294">
        <f t="shared" si="86"/>
        <v>0</v>
      </c>
      <c r="BD160" s="287" t="s">
        <v>764</v>
      </c>
      <c r="BE160" s="295" t="str">
        <f t="shared" si="87"/>
        <v>Custom</v>
      </c>
      <c r="BF160" s="297"/>
    </row>
    <row r="161" spans="1:58" ht="13.5" customHeight="1">
      <c r="A161" s="287" t="str">
        <f>'Unit Savings Calculations'!C157</f>
        <v>Bus - SB Rebates</v>
      </c>
      <c r="B161" s="287" t="str">
        <f>'Unit Savings Calculations'!D157</f>
        <v>Boiler ≥88% AFUE, &lt;300MBh</v>
      </c>
      <c r="C161" s="288">
        <f t="shared" si="88"/>
        <v>1</v>
      </c>
      <c r="D161" s="287" t="str">
        <f>'Unit Savings Calculations'!T157</f>
        <v>4.4.10</v>
      </c>
      <c r="E161" s="287">
        <f>INDEX('Unit Savings Calculations'!$H$4:$H$421,MATCH('Measure-Level Adjustments Tab'!$A161&amp;"_"&amp;'Measure-Level Adjustments Tab'!$B161,'Unit Savings Calculations'!$A$4:$A$421,0))</f>
        <v>20</v>
      </c>
      <c r="F161" s="287">
        <f>INDEX('Unit Savings Calculations'!$I$4:$I$421,MATCH('Measure-Level Adjustments Tab'!A161&amp;"_"&amp;'Measure-Level Adjustments Tab'!B161,'Unit Savings Calculations'!$A$4:$A$421,0))</f>
        <v>20</v>
      </c>
      <c r="G161" s="287" t="str">
        <f>'Unit Savings Calculations'!E157</f>
        <v>MBH</v>
      </c>
      <c r="H161" s="289">
        <f>'Unit Savings Calculations'!$F157*'Unit Savings Calculations'!J157</f>
        <v>0</v>
      </c>
      <c r="I161" s="289">
        <f>'Unit Savings Calculations'!$F157*'Unit Savings Calculations'!K157</f>
        <v>0</v>
      </c>
      <c r="J161" s="289">
        <f>'Unit Savings Calculations'!$F157*'Unit Savings Calculations'!L157</f>
        <v>0</v>
      </c>
      <c r="K161" s="289">
        <f>'Unit Savings Calculations'!$F157*'Unit Savings Calculations'!M157</f>
        <v>0</v>
      </c>
      <c r="L161" s="287" t="str">
        <f>'Unit Savings Calculations'!U157</f>
        <v>CI-HVC-BOIL-V05-150601</v>
      </c>
      <c r="M161" s="363" t="s">
        <v>830</v>
      </c>
      <c r="N161" s="290">
        <v>1.161219512195123</v>
      </c>
      <c r="O161" s="290">
        <v>1.161219512195123</v>
      </c>
      <c r="P161" s="290">
        <v>1.161219512195123</v>
      </c>
      <c r="Q161" s="290">
        <v>1.161219512195123</v>
      </c>
      <c r="R161" s="291">
        <f>'Unit Savings Calculations'!$G157</f>
        <v>0.92</v>
      </c>
      <c r="S161" s="291">
        <f>'Unit Savings Calculations'!$G157</f>
        <v>0.92</v>
      </c>
      <c r="T161" s="291">
        <f>'Unit Savings Calculations'!$G157</f>
        <v>0.92</v>
      </c>
      <c r="U161" s="291">
        <f>'Unit Savings Calculations'!$G157</f>
        <v>0.92</v>
      </c>
      <c r="V161" s="292">
        <f t="shared" si="104"/>
        <v>0</v>
      </c>
      <c r="W161" s="292">
        <f t="shared" si="105"/>
        <v>0</v>
      </c>
      <c r="X161" s="292">
        <f t="shared" si="106"/>
        <v>0</v>
      </c>
      <c r="Y161" s="292">
        <f t="shared" si="107"/>
        <v>0</v>
      </c>
      <c r="Z161" s="292">
        <f t="shared" si="108"/>
        <v>0</v>
      </c>
      <c r="AA161" s="287"/>
      <c r="AB161" s="287"/>
      <c r="AC161" s="293">
        <f>'Unit Savings Calculations'!N157</f>
        <v>1.1919512195121962</v>
      </c>
      <c r="AD161" s="287"/>
      <c r="AE161" s="292">
        <f t="shared" si="72"/>
        <v>0</v>
      </c>
      <c r="AF161" s="289">
        <f t="shared" si="73"/>
        <v>0</v>
      </c>
      <c r="AG161" s="287"/>
      <c r="AH161" s="287">
        <f t="shared" si="74"/>
        <v>0</v>
      </c>
      <c r="AI161" s="290">
        <f>'Unit Savings Calculations'!O157</f>
        <v>1.1919512195121962</v>
      </c>
      <c r="AJ161" s="287" t="s">
        <v>872</v>
      </c>
      <c r="AK161" s="292">
        <f t="shared" si="75"/>
        <v>0</v>
      </c>
      <c r="AL161" s="289">
        <f t="shared" si="76"/>
        <v>0</v>
      </c>
      <c r="AM161" s="287"/>
      <c r="AN161" s="287"/>
      <c r="AO161" s="290">
        <f>'Unit Savings Calculations'!P157</f>
        <v>1.1919512195121962</v>
      </c>
      <c r="AP161" s="287" t="s">
        <v>1450</v>
      </c>
      <c r="AQ161" s="292">
        <f t="shared" si="77"/>
        <v>0</v>
      </c>
      <c r="AR161" s="289">
        <f t="shared" si="78"/>
        <v>0</v>
      </c>
      <c r="AS161" s="287"/>
      <c r="AT161" s="287"/>
      <c r="AU161" s="290">
        <f>'Unit Savings Calculations'!Q157</f>
        <v>1.1919512195121962</v>
      </c>
      <c r="AV161" s="287" t="str">
        <f t="shared" si="79"/>
        <v>Updated heating EFLH</v>
      </c>
      <c r="AW161" s="292">
        <f t="shared" si="80"/>
        <v>0</v>
      </c>
      <c r="AX161" s="289">
        <f t="shared" si="81"/>
        <v>0</v>
      </c>
      <c r="AY161" s="292">
        <f t="shared" si="82"/>
        <v>0</v>
      </c>
      <c r="AZ161" s="292">
        <f t="shared" si="83"/>
        <v>0</v>
      </c>
      <c r="BA161" s="292">
        <f t="shared" si="84"/>
        <v>0</v>
      </c>
      <c r="BB161" s="292">
        <f t="shared" si="85"/>
        <v>0</v>
      </c>
      <c r="BC161" s="294">
        <f t="shared" si="86"/>
        <v>0</v>
      </c>
      <c r="BD161" s="287" t="s">
        <v>764</v>
      </c>
      <c r="BE161" s="295" t="str">
        <f t="shared" si="87"/>
        <v>Exhibit 1.5B_R Peoples Gas EEPS_Adjustable_Savings_Goal_Template.xlsx, Unit Savings Calculations Tab</v>
      </c>
      <c r="BF161" s="297"/>
    </row>
    <row r="162" spans="1:58" ht="13.5" customHeight="1">
      <c r="A162" s="287" t="str">
        <f>'Unit Savings Calculations'!C158</f>
        <v>Bus - SB Rebates</v>
      </c>
      <c r="B162" s="287" t="str">
        <f>'Unit Savings Calculations'!D158</f>
        <v>Boiler ≥88% AFUE, ≥300MBh TE</v>
      </c>
      <c r="C162" s="288">
        <f t="shared" si="88"/>
        <v>1</v>
      </c>
      <c r="D162" s="287" t="str">
        <f>'Unit Savings Calculations'!T158</f>
        <v>4.4.10</v>
      </c>
      <c r="E162" s="287">
        <f>INDEX('Unit Savings Calculations'!$H$4:$H$421,MATCH('Measure-Level Adjustments Tab'!$A162&amp;"_"&amp;'Measure-Level Adjustments Tab'!$B162,'Unit Savings Calculations'!$A$4:$A$421,0))</f>
        <v>20</v>
      </c>
      <c r="F162" s="287">
        <f>INDEX('Unit Savings Calculations'!$I$4:$I$421,MATCH('Measure-Level Adjustments Tab'!A162&amp;"_"&amp;'Measure-Level Adjustments Tab'!B162,'Unit Savings Calculations'!$A$4:$A$421,0))</f>
        <v>20</v>
      </c>
      <c r="G162" s="287" t="str">
        <f>'Unit Savings Calculations'!E158</f>
        <v>MBH</v>
      </c>
      <c r="H162" s="289">
        <f>'Unit Savings Calculations'!$F158*'Unit Savings Calculations'!J158</f>
        <v>700</v>
      </c>
      <c r="I162" s="289">
        <f>'Unit Savings Calculations'!$F158*'Unit Savings Calculations'!K158</f>
        <v>700</v>
      </c>
      <c r="J162" s="289">
        <f>'Unit Savings Calculations'!$F158*'Unit Savings Calculations'!L158</f>
        <v>700</v>
      </c>
      <c r="K162" s="289">
        <f>'Unit Savings Calculations'!$F158*'Unit Savings Calculations'!M158</f>
        <v>700</v>
      </c>
      <c r="L162" s="287" t="str">
        <f>'Unit Savings Calculations'!U158</f>
        <v>CI-HVC-BOIL-V05-150601</v>
      </c>
      <c r="M162" s="363" t="s">
        <v>830</v>
      </c>
      <c r="N162" s="290">
        <v>1.5869999999999991</v>
      </c>
      <c r="O162" s="290">
        <v>1.5869999999999991</v>
      </c>
      <c r="P162" s="290">
        <v>1.5869999999999991</v>
      </c>
      <c r="Q162" s="290">
        <v>1.5869999999999991</v>
      </c>
      <c r="R162" s="291">
        <f>'Unit Savings Calculations'!$G158</f>
        <v>0.92</v>
      </c>
      <c r="S162" s="291">
        <f>'Unit Savings Calculations'!$G158</f>
        <v>0.92</v>
      </c>
      <c r="T162" s="291">
        <f>'Unit Savings Calculations'!$G158</f>
        <v>0.92</v>
      </c>
      <c r="U162" s="291">
        <f>'Unit Savings Calculations'!$G158</f>
        <v>0.92</v>
      </c>
      <c r="V162" s="292">
        <f t="shared" si="104"/>
        <v>1022.0279999999995</v>
      </c>
      <c r="W162" s="292">
        <f t="shared" si="105"/>
        <v>1022.0279999999995</v>
      </c>
      <c r="X162" s="292">
        <f t="shared" si="106"/>
        <v>1022.0279999999995</v>
      </c>
      <c r="Y162" s="292">
        <f t="shared" si="107"/>
        <v>1022.0279999999995</v>
      </c>
      <c r="Z162" s="292">
        <f t="shared" si="108"/>
        <v>4088.1119999999978</v>
      </c>
      <c r="AA162" s="287"/>
      <c r="AB162" s="287"/>
      <c r="AC162" s="293">
        <f>'Unit Savings Calculations'!N158</f>
        <v>1.6289999999999993</v>
      </c>
      <c r="AD162" s="287"/>
      <c r="AE162" s="292">
        <f t="shared" si="72"/>
        <v>1049.0759999999996</v>
      </c>
      <c r="AF162" s="289">
        <f t="shared" si="73"/>
        <v>27.048000000000116</v>
      </c>
      <c r="AG162" s="287"/>
      <c r="AH162" s="287">
        <f t="shared" si="74"/>
        <v>0</v>
      </c>
      <c r="AI162" s="290">
        <f>'Unit Savings Calculations'!O158</f>
        <v>1.6289999999999993</v>
      </c>
      <c r="AJ162" s="287" t="s">
        <v>872</v>
      </c>
      <c r="AK162" s="292">
        <f t="shared" si="75"/>
        <v>1049.0759999999996</v>
      </c>
      <c r="AL162" s="289">
        <f t="shared" si="76"/>
        <v>27.048000000000116</v>
      </c>
      <c r="AM162" s="287"/>
      <c r="AN162" s="287"/>
      <c r="AO162" s="290">
        <f>'Unit Savings Calculations'!P158</f>
        <v>1.6289999999999993</v>
      </c>
      <c r="AP162" s="287" t="s">
        <v>1450</v>
      </c>
      <c r="AQ162" s="292">
        <f t="shared" si="77"/>
        <v>1049.0759999999996</v>
      </c>
      <c r="AR162" s="289">
        <f t="shared" si="78"/>
        <v>27.048000000000116</v>
      </c>
      <c r="AS162" s="287"/>
      <c r="AT162" s="287"/>
      <c r="AU162" s="290">
        <f>'Unit Savings Calculations'!Q158</f>
        <v>1.6289999999999993</v>
      </c>
      <c r="AV162" s="287" t="str">
        <f t="shared" si="79"/>
        <v>Updated heating EFLH</v>
      </c>
      <c r="AW162" s="292">
        <f t="shared" si="80"/>
        <v>1049.0759999999996</v>
      </c>
      <c r="AX162" s="289">
        <f t="shared" si="81"/>
        <v>27.048000000000116</v>
      </c>
      <c r="AY162" s="292">
        <f t="shared" si="82"/>
        <v>1049.0759999999996</v>
      </c>
      <c r="AZ162" s="292">
        <f t="shared" si="83"/>
        <v>1049.0759999999996</v>
      </c>
      <c r="BA162" s="292">
        <f t="shared" si="84"/>
        <v>1049.0759999999996</v>
      </c>
      <c r="BB162" s="292">
        <f t="shared" si="85"/>
        <v>1049.0759999999996</v>
      </c>
      <c r="BC162" s="294">
        <f t="shared" si="86"/>
        <v>4196.3039999999983</v>
      </c>
      <c r="BD162" s="287" t="s">
        <v>764</v>
      </c>
      <c r="BE162" s="295" t="str">
        <f t="shared" si="87"/>
        <v>Exhibit 1.5B_R Peoples Gas EEPS_Adjustable_Savings_Goal_Template.xlsx, Unit Savings Calculations Tab</v>
      </c>
      <c r="BF162" s="297"/>
    </row>
    <row r="163" spans="1:58" ht="13.5" customHeight="1">
      <c r="A163" s="287" t="str">
        <f>'Unit Savings Calculations'!C159</f>
        <v>Bus - SB Rebates</v>
      </c>
      <c r="B163" s="287" t="str">
        <f>'Unit Savings Calculations'!D159</f>
        <v>Boiler Reset Controls</v>
      </c>
      <c r="C163" s="288">
        <f t="shared" si="88"/>
        <v>1</v>
      </c>
      <c r="D163" s="287" t="str">
        <f>'Unit Savings Calculations'!T159</f>
        <v>4.4.4</v>
      </c>
      <c r="E163" s="287">
        <f>INDEX('Unit Savings Calculations'!$H$4:$H$421,MATCH('Measure-Level Adjustments Tab'!$A163&amp;"_"&amp;'Measure-Level Adjustments Tab'!$B163,'Unit Savings Calculations'!$A$4:$A$421,0))</f>
        <v>20</v>
      </c>
      <c r="F163" s="287">
        <f>INDEX('Unit Savings Calculations'!$I$4:$I$421,MATCH('Measure-Level Adjustments Tab'!A163&amp;"_"&amp;'Measure-Level Adjustments Tab'!B163,'Unit Savings Calculations'!$A$4:$A$421,0))</f>
        <v>20</v>
      </c>
      <c r="G163" s="287" t="str">
        <f>'Unit Savings Calculations'!E159</f>
        <v>each</v>
      </c>
      <c r="H163" s="289">
        <f>'Unit Savings Calculations'!$F159*'Unit Savings Calculations'!J159</f>
        <v>1000</v>
      </c>
      <c r="I163" s="289">
        <f>'Unit Savings Calculations'!$F159*'Unit Savings Calculations'!K159</f>
        <v>1000</v>
      </c>
      <c r="J163" s="289">
        <f>'Unit Savings Calculations'!$F159*'Unit Savings Calculations'!L159</f>
        <v>1000</v>
      </c>
      <c r="K163" s="289">
        <f>'Unit Savings Calculations'!$F159*'Unit Savings Calculations'!M159</f>
        <v>1000</v>
      </c>
      <c r="L163" s="287" t="str">
        <f>'Unit Savings Calculations'!U159</f>
        <v>CI-HVC-BLRC-V03-150601</v>
      </c>
      <c r="M163" s="363" t="s">
        <v>830</v>
      </c>
      <c r="N163" s="290">
        <v>1.2696000000000001</v>
      </c>
      <c r="O163" s="290">
        <v>1.2696000000000001</v>
      </c>
      <c r="P163" s="290">
        <v>1.2696000000000001</v>
      </c>
      <c r="Q163" s="290">
        <v>1.2696000000000001</v>
      </c>
      <c r="R163" s="291">
        <f>'Unit Savings Calculations'!$G159</f>
        <v>0.92</v>
      </c>
      <c r="S163" s="291">
        <f>'Unit Savings Calculations'!$G159</f>
        <v>0.92</v>
      </c>
      <c r="T163" s="291">
        <f>'Unit Savings Calculations'!$G159</f>
        <v>0.92</v>
      </c>
      <c r="U163" s="291">
        <f>'Unit Savings Calculations'!$G159</f>
        <v>0.92</v>
      </c>
      <c r="V163" s="292">
        <f t="shared" si="104"/>
        <v>1168.0320000000002</v>
      </c>
      <c r="W163" s="292">
        <f t="shared" si="105"/>
        <v>1168.0320000000002</v>
      </c>
      <c r="X163" s="292">
        <f t="shared" si="106"/>
        <v>1168.0320000000002</v>
      </c>
      <c r="Y163" s="292">
        <f t="shared" si="107"/>
        <v>1168.0320000000002</v>
      </c>
      <c r="Z163" s="292">
        <f t="shared" si="108"/>
        <v>4672.1280000000006</v>
      </c>
      <c r="AA163" s="287"/>
      <c r="AB163" s="287"/>
      <c r="AC163" s="293">
        <f>'Unit Savings Calculations'!N159</f>
        <v>1.3031999999999999</v>
      </c>
      <c r="AD163" s="287"/>
      <c r="AE163" s="292">
        <f t="shared" si="72"/>
        <v>1198.944</v>
      </c>
      <c r="AF163" s="289">
        <f t="shared" si="73"/>
        <v>30.911999999999807</v>
      </c>
      <c r="AG163" s="287"/>
      <c r="AH163" s="287">
        <f t="shared" si="74"/>
        <v>0</v>
      </c>
      <c r="AI163" s="290">
        <f>'Unit Savings Calculations'!O159</f>
        <v>1.3031999999999999</v>
      </c>
      <c r="AJ163" s="287" t="s">
        <v>872</v>
      </c>
      <c r="AK163" s="292">
        <f t="shared" si="75"/>
        <v>1198.944</v>
      </c>
      <c r="AL163" s="289">
        <f t="shared" si="76"/>
        <v>30.911999999999807</v>
      </c>
      <c r="AM163" s="287"/>
      <c r="AN163" s="287"/>
      <c r="AO163" s="290">
        <f>'Unit Savings Calculations'!P159</f>
        <v>1.3031999999999999</v>
      </c>
      <c r="AP163" s="287" t="s">
        <v>1450</v>
      </c>
      <c r="AQ163" s="292">
        <f t="shared" si="77"/>
        <v>1198.944</v>
      </c>
      <c r="AR163" s="289">
        <f t="shared" si="78"/>
        <v>30.911999999999807</v>
      </c>
      <c r="AS163" s="287"/>
      <c r="AT163" s="287"/>
      <c r="AU163" s="290">
        <f>'Unit Savings Calculations'!Q159</f>
        <v>1.3031999999999999</v>
      </c>
      <c r="AV163" s="287" t="str">
        <f t="shared" si="79"/>
        <v>Updated heating EFLH</v>
      </c>
      <c r="AW163" s="292">
        <f t="shared" si="80"/>
        <v>1198.944</v>
      </c>
      <c r="AX163" s="289">
        <f t="shared" si="81"/>
        <v>30.911999999999807</v>
      </c>
      <c r="AY163" s="292">
        <f t="shared" si="82"/>
        <v>1198.944</v>
      </c>
      <c r="AZ163" s="292">
        <f t="shared" si="83"/>
        <v>1198.944</v>
      </c>
      <c r="BA163" s="292">
        <f t="shared" si="84"/>
        <v>1198.944</v>
      </c>
      <c r="BB163" s="292">
        <f t="shared" si="85"/>
        <v>1198.944</v>
      </c>
      <c r="BC163" s="294">
        <f t="shared" si="86"/>
        <v>4795.7759999999998</v>
      </c>
      <c r="BD163" s="287" t="s">
        <v>764</v>
      </c>
      <c r="BE163" s="295" t="str">
        <f t="shared" si="87"/>
        <v>Exhibit 1.5B_R Peoples Gas EEPS_Adjustable_Savings_Goal_Template.xlsx, Unit Savings Calculations Tab</v>
      </c>
      <c r="BF163" s="297"/>
    </row>
    <row r="164" spans="1:58" ht="13.5" customHeight="1">
      <c r="A164" s="287" t="str">
        <f>'Unit Savings Calculations'!C160</f>
        <v>Bus - SB Rebates</v>
      </c>
      <c r="B164" s="287" t="str">
        <f>'Unit Savings Calculations'!D160</f>
        <v>Boiler Tune Up - Process</v>
      </c>
      <c r="C164" s="288">
        <f t="shared" si="88"/>
        <v>1</v>
      </c>
      <c r="D164" s="287" t="str">
        <f>'Unit Savings Calculations'!T160</f>
        <v>4.4.3</v>
      </c>
      <c r="E164" s="287">
        <f>INDEX('Unit Savings Calculations'!$H$4:$H$421,MATCH('Measure-Level Adjustments Tab'!$A164&amp;"_"&amp;'Measure-Level Adjustments Tab'!$B164,'Unit Savings Calculations'!$A$4:$A$421,0))</f>
        <v>3</v>
      </c>
      <c r="F164" s="287">
        <f>INDEX('Unit Savings Calculations'!$I$4:$I$421,MATCH('Measure-Level Adjustments Tab'!A164&amp;"_"&amp;'Measure-Level Adjustments Tab'!B164,'Unit Savings Calculations'!$A$4:$A$421,0))</f>
        <v>3</v>
      </c>
      <c r="G164" s="287" t="str">
        <f>'Unit Savings Calculations'!E160</f>
        <v>MBH</v>
      </c>
      <c r="H164" s="289">
        <f>'Unit Savings Calculations'!$F160*'Unit Savings Calculations'!J160</f>
        <v>0</v>
      </c>
      <c r="I164" s="289">
        <f>'Unit Savings Calculations'!$F160*'Unit Savings Calculations'!K160</f>
        <v>0</v>
      </c>
      <c r="J164" s="289">
        <f>'Unit Savings Calculations'!$F160*'Unit Savings Calculations'!L160</f>
        <v>0</v>
      </c>
      <c r="K164" s="289">
        <f>'Unit Savings Calculations'!$F160*'Unit Savings Calculations'!M160</f>
        <v>0</v>
      </c>
      <c r="L164" s="287" t="str">
        <f>'Unit Savings Calculations'!U160</f>
        <v>CI-HVC-PBTU-V05-160601</v>
      </c>
      <c r="M164" s="363" t="s">
        <v>830</v>
      </c>
      <c r="N164" s="290">
        <v>0.83823507428978783</v>
      </c>
      <c r="O164" s="290">
        <v>0.83823507428978783</v>
      </c>
      <c r="P164" s="290">
        <v>0.83823507428978783</v>
      </c>
      <c r="Q164" s="290">
        <v>0.83823507428978783</v>
      </c>
      <c r="R164" s="291">
        <f>'Unit Savings Calculations'!$G160</f>
        <v>0.92</v>
      </c>
      <c r="S164" s="291">
        <f>'Unit Savings Calculations'!$G160</f>
        <v>0.92</v>
      </c>
      <c r="T164" s="291">
        <f>'Unit Savings Calculations'!$G160</f>
        <v>0.92</v>
      </c>
      <c r="U164" s="291">
        <f>'Unit Savings Calculations'!$G160</f>
        <v>0.92</v>
      </c>
      <c r="V164" s="292">
        <f t="shared" si="104"/>
        <v>0</v>
      </c>
      <c r="W164" s="292">
        <f t="shared" si="105"/>
        <v>0</v>
      </c>
      <c r="X164" s="292">
        <f t="shared" si="106"/>
        <v>0</v>
      </c>
      <c r="Y164" s="292">
        <f t="shared" si="107"/>
        <v>0</v>
      </c>
      <c r="Z164" s="292">
        <f t="shared" si="108"/>
        <v>0</v>
      </c>
      <c r="AA164" s="287"/>
      <c r="AB164" s="287"/>
      <c r="AC164" s="293">
        <f>'Unit Savings Calculations'!N160</f>
        <v>0.83823507428978783</v>
      </c>
      <c r="AD164" s="287"/>
      <c r="AE164" s="292">
        <f t="shared" si="72"/>
        <v>0</v>
      </c>
      <c r="AF164" s="289">
        <f t="shared" si="73"/>
        <v>0</v>
      </c>
      <c r="AG164" s="287"/>
      <c r="AH164" s="287">
        <f t="shared" si="74"/>
        <v>0</v>
      </c>
      <c r="AI164" s="290">
        <f>'Unit Savings Calculations'!O160</f>
        <v>0.83823507428978783</v>
      </c>
      <c r="AJ164" s="287" t="s">
        <v>872</v>
      </c>
      <c r="AK164" s="292">
        <f t="shared" si="75"/>
        <v>0</v>
      </c>
      <c r="AL164" s="289">
        <f t="shared" si="76"/>
        <v>0</v>
      </c>
      <c r="AM164" s="287"/>
      <c r="AN164" s="287"/>
      <c r="AO164" s="290">
        <f>'Unit Savings Calculations'!P160</f>
        <v>0.83823507428978783</v>
      </c>
      <c r="AP164" s="287" t="s">
        <v>764</v>
      </c>
      <c r="AQ164" s="292">
        <f t="shared" si="77"/>
        <v>0</v>
      </c>
      <c r="AR164" s="289">
        <f t="shared" si="78"/>
        <v>0</v>
      </c>
      <c r="AS164" s="287"/>
      <c r="AT164" s="287"/>
      <c r="AU164" s="290">
        <f>'Unit Savings Calculations'!Q160</f>
        <v>0.83823507428978783</v>
      </c>
      <c r="AV164" s="287" t="str">
        <f t="shared" si="79"/>
        <v>n/a</v>
      </c>
      <c r="AW164" s="292">
        <f t="shared" si="80"/>
        <v>0</v>
      </c>
      <c r="AX164" s="289">
        <f t="shared" si="81"/>
        <v>0</v>
      </c>
      <c r="AY164" s="292">
        <f t="shared" si="82"/>
        <v>0</v>
      </c>
      <c r="AZ164" s="292">
        <f t="shared" si="83"/>
        <v>0</v>
      </c>
      <c r="BA164" s="292">
        <f t="shared" si="84"/>
        <v>0</v>
      </c>
      <c r="BB164" s="292">
        <f t="shared" si="85"/>
        <v>0</v>
      </c>
      <c r="BC164" s="294">
        <f t="shared" si="86"/>
        <v>0</v>
      </c>
      <c r="BD164" s="287" t="s">
        <v>764</v>
      </c>
      <c r="BE164" s="295" t="str">
        <f t="shared" si="87"/>
        <v>Exhibit 1.5B_R Peoples Gas EEPS_Adjustable_Savings_Goal_Template.xlsx, Unit Savings Calculations Tab</v>
      </c>
      <c r="BF164" s="297"/>
    </row>
    <row r="165" spans="1:58" ht="13.5" customHeight="1">
      <c r="A165" s="287" t="str">
        <f>'Unit Savings Calculations'!C161</f>
        <v>Bus - SB Rebates</v>
      </c>
      <c r="B165" s="287" t="str">
        <f>'Unit Savings Calculations'!D161</f>
        <v>Boiler Tune Up - Space Heating</v>
      </c>
      <c r="C165" s="288">
        <f t="shared" si="88"/>
        <v>1</v>
      </c>
      <c r="D165" s="287" t="str">
        <f>'Unit Savings Calculations'!T161</f>
        <v>4.4.2</v>
      </c>
      <c r="E165" s="287">
        <f>INDEX('Unit Savings Calculations'!$H$4:$H$421,MATCH('Measure-Level Adjustments Tab'!$A165&amp;"_"&amp;'Measure-Level Adjustments Tab'!$B165,'Unit Savings Calculations'!$A$4:$A$421,0))</f>
        <v>3</v>
      </c>
      <c r="F165" s="287">
        <f>INDEX('Unit Savings Calculations'!$I$4:$I$421,MATCH('Measure-Level Adjustments Tab'!A165&amp;"_"&amp;'Measure-Level Adjustments Tab'!B165,'Unit Savings Calculations'!$A$4:$A$421,0))</f>
        <v>3</v>
      </c>
      <c r="G165" s="287" t="str">
        <f>'Unit Savings Calculations'!E161</f>
        <v>MBH</v>
      </c>
      <c r="H165" s="289">
        <f>'Unit Savings Calculations'!$F161*'Unit Savings Calculations'!J161</f>
        <v>0</v>
      </c>
      <c r="I165" s="289">
        <f>'Unit Savings Calculations'!$F161*'Unit Savings Calculations'!K161</f>
        <v>0</v>
      </c>
      <c r="J165" s="289">
        <f>'Unit Savings Calculations'!$F161*'Unit Savings Calculations'!L161</f>
        <v>0</v>
      </c>
      <c r="K165" s="289">
        <f>'Unit Savings Calculations'!$F161*'Unit Savings Calculations'!M161</f>
        <v>0</v>
      </c>
      <c r="L165" s="287" t="str">
        <f>'Unit Savings Calculations'!U161</f>
        <v>CI-HVC-BLRT-V06-160601</v>
      </c>
      <c r="M165" s="363" t="s">
        <v>830</v>
      </c>
      <c r="N165" s="290">
        <v>0.37064104123585789</v>
      </c>
      <c r="O165" s="290">
        <v>0.37064104123585789</v>
      </c>
      <c r="P165" s="290">
        <v>0.37064104123585789</v>
      </c>
      <c r="Q165" s="290">
        <v>0.37064104123585789</v>
      </c>
      <c r="R165" s="291">
        <f>'Unit Savings Calculations'!$G161</f>
        <v>0.92</v>
      </c>
      <c r="S165" s="291">
        <f>'Unit Savings Calculations'!$G161</f>
        <v>0.92</v>
      </c>
      <c r="T165" s="291">
        <f>'Unit Savings Calculations'!$G161</f>
        <v>0.92</v>
      </c>
      <c r="U165" s="291">
        <f>'Unit Savings Calculations'!$G161</f>
        <v>0.92</v>
      </c>
      <c r="V165" s="292">
        <f t="shared" si="104"/>
        <v>0</v>
      </c>
      <c r="W165" s="292">
        <f t="shared" si="105"/>
        <v>0</v>
      </c>
      <c r="X165" s="292">
        <f t="shared" si="106"/>
        <v>0</v>
      </c>
      <c r="Y165" s="292">
        <f t="shared" si="107"/>
        <v>0</v>
      </c>
      <c r="Z165" s="292">
        <f t="shared" si="108"/>
        <v>0</v>
      </c>
      <c r="AA165" s="287"/>
      <c r="AB165" s="287"/>
      <c r="AC165" s="293">
        <f>'Unit Savings Calculations'!N161</f>
        <v>0.38045006690183525</v>
      </c>
      <c r="AD165" s="287"/>
      <c r="AE165" s="292">
        <f t="shared" si="72"/>
        <v>0</v>
      </c>
      <c r="AF165" s="289">
        <f t="shared" si="73"/>
        <v>0</v>
      </c>
      <c r="AG165" s="287"/>
      <c r="AH165" s="287">
        <f t="shared" si="74"/>
        <v>0</v>
      </c>
      <c r="AI165" s="290">
        <f>'Unit Savings Calculations'!O161</f>
        <v>0.38045006690183525</v>
      </c>
      <c r="AJ165" s="287" t="s">
        <v>872</v>
      </c>
      <c r="AK165" s="292">
        <f t="shared" si="75"/>
        <v>0</v>
      </c>
      <c r="AL165" s="289">
        <f t="shared" si="76"/>
        <v>0</v>
      </c>
      <c r="AM165" s="287"/>
      <c r="AN165" s="287"/>
      <c r="AO165" s="290">
        <f>'Unit Savings Calculations'!P161</f>
        <v>0.38045006690183525</v>
      </c>
      <c r="AP165" s="287" t="s">
        <v>1450</v>
      </c>
      <c r="AQ165" s="292">
        <f t="shared" si="77"/>
        <v>0</v>
      </c>
      <c r="AR165" s="289">
        <f t="shared" si="78"/>
        <v>0</v>
      </c>
      <c r="AS165" s="287"/>
      <c r="AT165" s="287"/>
      <c r="AU165" s="290">
        <f>'Unit Savings Calculations'!Q161</f>
        <v>0.38045006690183525</v>
      </c>
      <c r="AV165" s="287" t="str">
        <f t="shared" si="79"/>
        <v>Updated heating EFLH</v>
      </c>
      <c r="AW165" s="292">
        <f t="shared" si="80"/>
        <v>0</v>
      </c>
      <c r="AX165" s="289">
        <f t="shared" si="81"/>
        <v>0</v>
      </c>
      <c r="AY165" s="292">
        <f t="shared" si="82"/>
        <v>0</v>
      </c>
      <c r="AZ165" s="292">
        <f t="shared" si="83"/>
        <v>0</v>
      </c>
      <c r="BA165" s="292">
        <f t="shared" si="84"/>
        <v>0</v>
      </c>
      <c r="BB165" s="292">
        <f t="shared" si="85"/>
        <v>0</v>
      </c>
      <c r="BC165" s="294">
        <f t="shared" si="86"/>
        <v>0</v>
      </c>
      <c r="BD165" s="287" t="s">
        <v>764</v>
      </c>
      <c r="BE165" s="295" t="str">
        <f t="shared" si="87"/>
        <v>Exhibit 1.5B_R Peoples Gas EEPS_Adjustable_Savings_Goal_Template.xlsx, Unit Savings Calculations Tab</v>
      </c>
      <c r="BF165" s="297"/>
    </row>
    <row r="166" spans="1:58" ht="13.5" customHeight="1">
      <c r="A166" s="287" t="str">
        <f>'Unit Savings Calculations'!C162</f>
        <v>Bus - SB Rebates</v>
      </c>
      <c r="B166" s="287" t="str">
        <f>'Unit Savings Calculations'!D162</f>
        <v>Condensing Unit Heater</v>
      </c>
      <c r="C166" s="288">
        <f t="shared" si="88"/>
        <v>1</v>
      </c>
      <c r="D166" s="287" t="str">
        <f>'Unit Savings Calculations'!T162</f>
        <v>4.4.5</v>
      </c>
      <c r="E166" s="287">
        <f>INDEX('Unit Savings Calculations'!$H$4:$H$421,MATCH('Measure-Level Adjustments Tab'!$A166&amp;"_"&amp;'Measure-Level Adjustments Tab'!$B166,'Unit Savings Calculations'!$A$4:$A$421,0))</f>
        <v>12</v>
      </c>
      <c r="F166" s="287">
        <f>INDEX('Unit Savings Calculations'!$I$4:$I$421,MATCH('Measure-Level Adjustments Tab'!A166&amp;"_"&amp;'Measure-Level Adjustments Tab'!B166,'Unit Savings Calculations'!$A$4:$A$421,0))</f>
        <v>12</v>
      </c>
      <c r="G166" s="287" t="str">
        <f>'Unit Savings Calculations'!E162</f>
        <v>MBH</v>
      </c>
      <c r="H166" s="289">
        <f>'Unit Savings Calculations'!$F162*'Unit Savings Calculations'!J162</f>
        <v>0</v>
      </c>
      <c r="I166" s="289">
        <f>'Unit Savings Calculations'!$F162*'Unit Savings Calculations'!K162</f>
        <v>0</v>
      </c>
      <c r="J166" s="289">
        <f>'Unit Savings Calculations'!$F162*'Unit Savings Calculations'!L162</f>
        <v>0</v>
      </c>
      <c r="K166" s="289">
        <f>'Unit Savings Calculations'!$F162*'Unit Savings Calculations'!M162</f>
        <v>0</v>
      </c>
      <c r="L166" s="287" t="str">
        <f>'Unit Savings Calculations'!U162</f>
        <v>CI-HVC-CUHT-V01-120601</v>
      </c>
      <c r="M166" s="363" t="s">
        <v>830</v>
      </c>
      <c r="N166" s="290">
        <v>1.7733333333333334</v>
      </c>
      <c r="O166" s="290">
        <v>1.7733333333333334</v>
      </c>
      <c r="P166" s="290">
        <v>1.7733333333333334</v>
      </c>
      <c r="Q166" s="290">
        <v>1.7733333333333334</v>
      </c>
      <c r="R166" s="291">
        <f>'Unit Savings Calculations'!$G162</f>
        <v>0.92</v>
      </c>
      <c r="S166" s="291">
        <f>'Unit Savings Calculations'!$G162</f>
        <v>0.92</v>
      </c>
      <c r="T166" s="291">
        <f>'Unit Savings Calculations'!$G162</f>
        <v>0.92</v>
      </c>
      <c r="U166" s="291">
        <f>'Unit Savings Calculations'!$G162</f>
        <v>0.92</v>
      </c>
      <c r="V166" s="292">
        <f t="shared" si="104"/>
        <v>0</v>
      </c>
      <c r="W166" s="292">
        <f t="shared" si="105"/>
        <v>0</v>
      </c>
      <c r="X166" s="292">
        <f t="shared" si="106"/>
        <v>0</v>
      </c>
      <c r="Y166" s="292">
        <f t="shared" si="107"/>
        <v>0</v>
      </c>
      <c r="Z166" s="292">
        <f t="shared" si="108"/>
        <v>0</v>
      </c>
      <c r="AA166" s="287"/>
      <c r="AB166" s="287"/>
      <c r="AC166" s="293">
        <f>'Unit Savings Calculations'!N162</f>
        <v>1.7733333333333334</v>
      </c>
      <c r="AD166" s="287"/>
      <c r="AE166" s="292">
        <f t="shared" si="72"/>
        <v>0</v>
      </c>
      <c r="AF166" s="289">
        <f t="shared" si="73"/>
        <v>0</v>
      </c>
      <c r="AG166" s="287"/>
      <c r="AH166" s="287">
        <f t="shared" si="74"/>
        <v>0</v>
      </c>
      <c r="AI166" s="290">
        <f>'Unit Savings Calculations'!O162</f>
        <v>1.7733333333333334</v>
      </c>
      <c r="AJ166" s="287" t="s">
        <v>872</v>
      </c>
      <c r="AK166" s="292">
        <f t="shared" si="75"/>
        <v>0</v>
      </c>
      <c r="AL166" s="289">
        <f t="shared" si="76"/>
        <v>0</v>
      </c>
      <c r="AM166" s="287"/>
      <c r="AN166" s="287"/>
      <c r="AO166" s="290">
        <f>'Unit Savings Calculations'!P162</f>
        <v>1.7733333333333334</v>
      </c>
      <c r="AP166" s="287" t="s">
        <v>764</v>
      </c>
      <c r="AQ166" s="292">
        <f t="shared" si="77"/>
        <v>0</v>
      </c>
      <c r="AR166" s="289">
        <f t="shared" si="78"/>
        <v>0</v>
      </c>
      <c r="AS166" s="287"/>
      <c r="AT166" s="287"/>
      <c r="AU166" s="290">
        <f>'Unit Savings Calculations'!Q162</f>
        <v>1.7733333333333334</v>
      </c>
      <c r="AV166" s="287" t="str">
        <f t="shared" si="79"/>
        <v>n/a</v>
      </c>
      <c r="AW166" s="292">
        <f t="shared" si="80"/>
        <v>0</v>
      </c>
      <c r="AX166" s="289">
        <f t="shared" si="81"/>
        <v>0</v>
      </c>
      <c r="AY166" s="292">
        <f t="shared" si="82"/>
        <v>0</v>
      </c>
      <c r="AZ166" s="292">
        <f t="shared" si="83"/>
        <v>0</v>
      </c>
      <c r="BA166" s="292">
        <f t="shared" si="84"/>
        <v>0</v>
      </c>
      <c r="BB166" s="292">
        <f t="shared" si="85"/>
        <v>0</v>
      </c>
      <c r="BC166" s="294">
        <f t="shared" si="86"/>
        <v>0</v>
      </c>
      <c r="BD166" s="287" t="s">
        <v>764</v>
      </c>
      <c r="BE166" s="295" t="str">
        <f t="shared" si="87"/>
        <v>Exhibit 1.5B_R Peoples Gas EEPS_Adjustable_Savings_Goal_Template.xlsx, Unit Savings Calculations Tab</v>
      </c>
      <c r="BF166" s="297"/>
    </row>
    <row r="167" spans="1:58" ht="13.5" customHeight="1">
      <c r="A167" s="287" t="str">
        <f>'Unit Savings Calculations'!C163</f>
        <v>Bus - SB Rebates</v>
      </c>
      <c r="B167" s="287" t="str">
        <f>'Unit Savings Calculations'!D163</f>
        <v>DCV - Kitchen</v>
      </c>
      <c r="C167" s="288">
        <f t="shared" si="88"/>
        <v>1</v>
      </c>
      <c r="D167" s="287" t="str">
        <f>'Unit Savings Calculations'!T163</f>
        <v>4.2.16</v>
      </c>
      <c r="E167" s="287">
        <f>INDEX('Unit Savings Calculations'!$H$4:$H$421,MATCH('Measure-Level Adjustments Tab'!$A167&amp;"_"&amp;'Measure-Level Adjustments Tab'!$B167,'Unit Savings Calculations'!$A$4:$A$421,0))</f>
        <v>15</v>
      </c>
      <c r="F167" s="287">
        <f>INDEX('Unit Savings Calculations'!$I$4:$I$421,MATCH('Measure-Level Adjustments Tab'!A167&amp;"_"&amp;'Measure-Level Adjustments Tab'!B167,'Unit Savings Calculations'!$A$4:$A$421,0))</f>
        <v>15</v>
      </c>
      <c r="G167" s="287" t="str">
        <f>'Unit Savings Calculations'!E163</f>
        <v>each</v>
      </c>
      <c r="H167" s="289">
        <f>'Unit Savings Calculations'!$F163*'Unit Savings Calculations'!J163</f>
        <v>0</v>
      </c>
      <c r="I167" s="289">
        <f>'Unit Savings Calculations'!$F163*'Unit Savings Calculations'!K163</f>
        <v>0</v>
      </c>
      <c r="J167" s="289">
        <f>'Unit Savings Calculations'!$F163*'Unit Savings Calculations'!L163</f>
        <v>0</v>
      </c>
      <c r="K167" s="289">
        <f>'Unit Savings Calculations'!$F163*'Unit Savings Calculations'!M163</f>
        <v>0</v>
      </c>
      <c r="L167" s="287" t="str">
        <f>'Unit Savings Calculations'!U163</f>
        <v>CI-FSE-VENT-V03-160601</v>
      </c>
      <c r="M167" s="363" t="s">
        <v>830</v>
      </c>
      <c r="N167" s="290">
        <v>5998.5</v>
      </c>
      <c r="O167" s="290">
        <v>5998.5</v>
      </c>
      <c r="P167" s="290">
        <v>5998.5</v>
      </c>
      <c r="Q167" s="290">
        <v>5998.5</v>
      </c>
      <c r="R167" s="291">
        <f>'Unit Savings Calculations'!$G163</f>
        <v>0.92</v>
      </c>
      <c r="S167" s="291">
        <f>'Unit Savings Calculations'!$G163</f>
        <v>0.92</v>
      </c>
      <c r="T167" s="291">
        <f>'Unit Savings Calculations'!$G163</f>
        <v>0.92</v>
      </c>
      <c r="U167" s="291">
        <f>'Unit Savings Calculations'!$G163</f>
        <v>0.92</v>
      </c>
      <c r="V167" s="292">
        <f t="shared" si="104"/>
        <v>0</v>
      </c>
      <c r="W167" s="292">
        <f t="shared" si="105"/>
        <v>0</v>
      </c>
      <c r="X167" s="292">
        <f t="shared" si="106"/>
        <v>0</v>
      </c>
      <c r="Y167" s="292">
        <f t="shared" si="107"/>
        <v>0</v>
      </c>
      <c r="Z167" s="292">
        <f t="shared" si="108"/>
        <v>0</v>
      </c>
      <c r="AA167" s="287"/>
      <c r="AB167" s="287"/>
      <c r="AC167" s="293">
        <f>'Unit Savings Calculations'!N163</f>
        <v>5998.5</v>
      </c>
      <c r="AD167" s="287"/>
      <c r="AE167" s="292">
        <f t="shared" si="72"/>
        <v>0</v>
      </c>
      <c r="AF167" s="289">
        <f t="shared" si="73"/>
        <v>0</v>
      </c>
      <c r="AG167" s="287"/>
      <c r="AH167" s="287">
        <f t="shared" si="74"/>
        <v>0</v>
      </c>
      <c r="AI167" s="290">
        <f>'Unit Savings Calculations'!O163</f>
        <v>5998.5</v>
      </c>
      <c r="AJ167" s="287" t="s">
        <v>872</v>
      </c>
      <c r="AK167" s="292">
        <f t="shared" si="75"/>
        <v>0</v>
      </c>
      <c r="AL167" s="289">
        <f t="shared" si="76"/>
        <v>0</v>
      </c>
      <c r="AM167" s="287"/>
      <c r="AN167" s="287"/>
      <c r="AO167" s="290">
        <f>'Unit Savings Calculations'!P163</f>
        <v>5998.5</v>
      </c>
      <c r="AP167" s="287" t="s">
        <v>764</v>
      </c>
      <c r="AQ167" s="292">
        <f t="shared" si="77"/>
        <v>0</v>
      </c>
      <c r="AR167" s="289">
        <f t="shared" si="78"/>
        <v>0</v>
      </c>
      <c r="AS167" s="287"/>
      <c r="AT167" s="287"/>
      <c r="AU167" s="290">
        <f>'Unit Savings Calculations'!Q163</f>
        <v>5998.5</v>
      </c>
      <c r="AV167" s="287" t="str">
        <f t="shared" si="79"/>
        <v>n/a</v>
      </c>
      <c r="AW167" s="292">
        <f t="shared" si="80"/>
        <v>0</v>
      </c>
      <c r="AX167" s="289">
        <f t="shared" si="81"/>
        <v>0</v>
      </c>
      <c r="AY167" s="292">
        <f t="shared" si="82"/>
        <v>0</v>
      </c>
      <c r="AZ167" s="292">
        <f t="shared" si="83"/>
        <v>0</v>
      </c>
      <c r="BA167" s="292">
        <f t="shared" si="84"/>
        <v>0</v>
      </c>
      <c r="BB167" s="292">
        <f t="shared" si="85"/>
        <v>0</v>
      </c>
      <c r="BC167" s="294">
        <f t="shared" si="86"/>
        <v>0</v>
      </c>
      <c r="BD167" s="287" t="s">
        <v>764</v>
      </c>
      <c r="BE167" s="295" t="str">
        <f t="shared" si="87"/>
        <v>Exhibit 1.5B_R Peoples Gas EEPS_Adjustable_Savings_Goal_Template.xlsx, Unit Savings Calculations Tab</v>
      </c>
      <c r="BF167" s="297"/>
    </row>
    <row r="168" spans="1:58" ht="13.5" customHeight="1">
      <c r="A168" s="287" t="str">
        <f>'Unit Savings Calculations'!C164</f>
        <v>Bus - SB Rebates</v>
      </c>
      <c r="B168" s="287" t="str">
        <f>'Unit Savings Calculations'!D164</f>
        <v>Direct Fired Heaters</v>
      </c>
      <c r="C168" s="288">
        <f t="shared" si="88"/>
        <v>0</v>
      </c>
      <c r="D168" s="287" t="str">
        <f>'Unit Savings Calculations'!T164</f>
        <v>Custom</v>
      </c>
      <c r="E168" s="287">
        <f>INDEX('Unit Savings Calculations'!$H$4:$H$421,MATCH('Measure-Level Adjustments Tab'!$A168&amp;"_"&amp;'Measure-Level Adjustments Tab'!$B168,'Unit Savings Calculations'!$A$4:$A$421,0))</f>
        <v>20</v>
      </c>
      <c r="F168" s="287">
        <f>INDEX('Unit Savings Calculations'!$I$4:$I$421,MATCH('Measure-Level Adjustments Tab'!A168&amp;"_"&amp;'Measure-Level Adjustments Tab'!B168,'Unit Savings Calculations'!$A$4:$A$421,0))</f>
        <v>20</v>
      </c>
      <c r="G168" s="287" t="str">
        <f>'Unit Savings Calculations'!E164</f>
        <v>MBH</v>
      </c>
      <c r="H168" s="289">
        <f>'Unit Savings Calculations'!$F164*'Unit Savings Calculations'!J164</f>
        <v>0</v>
      </c>
      <c r="I168" s="289">
        <f>'Unit Savings Calculations'!$F164*'Unit Savings Calculations'!K164</f>
        <v>0</v>
      </c>
      <c r="J168" s="289">
        <f>'Unit Savings Calculations'!$F164*'Unit Savings Calculations'!L164</f>
        <v>0</v>
      </c>
      <c r="K168" s="289">
        <f>'Unit Savings Calculations'!$F164*'Unit Savings Calculations'!M164</f>
        <v>0</v>
      </c>
      <c r="L168" s="287" t="str">
        <f>'Unit Savings Calculations'!U164</f>
        <v>Custom</v>
      </c>
      <c r="M168" s="287" t="str">
        <f>'Unit Savings Calculations'!S164</f>
        <v>Custom</v>
      </c>
      <c r="N168" s="290">
        <v>2.3084999999999987</v>
      </c>
      <c r="O168" s="290">
        <v>2.3084999999999987</v>
      </c>
      <c r="P168" s="290">
        <v>2.3084999999999987</v>
      </c>
      <c r="Q168" s="290">
        <v>2.3084999999999987</v>
      </c>
      <c r="R168" s="291">
        <f>'Unit Savings Calculations'!$G164</f>
        <v>0.92</v>
      </c>
      <c r="S168" s="291">
        <f>'Unit Savings Calculations'!$G164</f>
        <v>0.92</v>
      </c>
      <c r="T168" s="291">
        <f>'Unit Savings Calculations'!$G164</f>
        <v>0.92</v>
      </c>
      <c r="U168" s="291">
        <f>'Unit Savings Calculations'!$G164</f>
        <v>0.92</v>
      </c>
      <c r="V168" s="292">
        <f t="shared" si="104"/>
        <v>0</v>
      </c>
      <c r="W168" s="292">
        <f t="shared" si="105"/>
        <v>0</v>
      </c>
      <c r="X168" s="292">
        <f t="shared" si="106"/>
        <v>0</v>
      </c>
      <c r="Y168" s="292">
        <f t="shared" si="107"/>
        <v>0</v>
      </c>
      <c r="Z168" s="292">
        <f t="shared" si="108"/>
        <v>0</v>
      </c>
      <c r="AA168" s="364"/>
      <c r="AB168" s="364"/>
      <c r="AC168" s="365">
        <f>'Unit Savings Calculations'!N164</f>
        <v>2.5169999999999986</v>
      </c>
      <c r="AD168" s="364"/>
      <c r="AE168" s="366">
        <f t="shared" si="72"/>
        <v>0</v>
      </c>
      <c r="AF168" s="367">
        <f t="shared" si="73"/>
        <v>0</v>
      </c>
      <c r="AG168" s="364"/>
      <c r="AH168" s="364">
        <f t="shared" si="74"/>
        <v>0</v>
      </c>
      <c r="AI168" s="368">
        <f>'Unit Savings Calculations'!O164</f>
        <v>2.5169999999999986</v>
      </c>
      <c r="AJ168" s="364" t="s">
        <v>872</v>
      </c>
      <c r="AK168" s="366">
        <f t="shared" si="75"/>
        <v>0</v>
      </c>
      <c r="AL168" s="367">
        <f t="shared" si="76"/>
        <v>0</v>
      </c>
      <c r="AM168" s="364"/>
      <c r="AN168" s="364"/>
      <c r="AO168" s="368">
        <f>'Unit Savings Calculations'!P164</f>
        <v>2.5169999999999986</v>
      </c>
      <c r="AP168" s="364" t="s">
        <v>1450</v>
      </c>
      <c r="AQ168" s="366">
        <f t="shared" si="77"/>
        <v>0</v>
      </c>
      <c r="AR168" s="367">
        <f t="shared" si="78"/>
        <v>0</v>
      </c>
      <c r="AS168" s="364"/>
      <c r="AT168" s="364"/>
      <c r="AU168" s="368">
        <f>'Unit Savings Calculations'!Q164</f>
        <v>2.5169999999999986</v>
      </c>
      <c r="AV168" s="364" t="str">
        <f t="shared" si="79"/>
        <v>Updated heating EFLH</v>
      </c>
      <c r="AW168" s="366">
        <f t="shared" si="80"/>
        <v>0</v>
      </c>
      <c r="AX168" s="367">
        <f t="shared" si="81"/>
        <v>0</v>
      </c>
      <c r="AY168" s="292">
        <f t="shared" si="82"/>
        <v>0</v>
      </c>
      <c r="AZ168" s="292">
        <f t="shared" si="83"/>
        <v>0</v>
      </c>
      <c r="BA168" s="292">
        <f t="shared" si="84"/>
        <v>0</v>
      </c>
      <c r="BB168" s="292">
        <f t="shared" si="85"/>
        <v>0</v>
      </c>
      <c r="BC168" s="294">
        <f t="shared" si="86"/>
        <v>0</v>
      </c>
      <c r="BD168" s="287" t="s">
        <v>764</v>
      </c>
      <c r="BE168" s="295" t="str">
        <f t="shared" si="87"/>
        <v>Custom</v>
      </c>
      <c r="BF168" s="297"/>
    </row>
    <row r="169" spans="1:58" ht="13.5" customHeight="1">
      <c r="A169" s="287" t="str">
        <f>'Unit Savings Calculations'!C165</f>
        <v>Bus - SB Rebates</v>
      </c>
      <c r="B169" s="287" t="str">
        <f>'Unit Savings Calculations'!D165</f>
        <v>Double Rack Oven</v>
      </c>
      <c r="C169" s="288">
        <f t="shared" si="88"/>
        <v>1</v>
      </c>
      <c r="D169" s="287" t="str">
        <f>'Unit Savings Calculations'!T165</f>
        <v>4.2.18</v>
      </c>
      <c r="E169" s="287">
        <f>INDEX('Unit Savings Calculations'!$H$4:$H$421,MATCH('Measure-Level Adjustments Tab'!$A169&amp;"_"&amp;'Measure-Level Adjustments Tab'!$B169,'Unit Savings Calculations'!$A$4:$A$421,0))</f>
        <v>12</v>
      </c>
      <c r="F169" s="287">
        <f>INDEX('Unit Savings Calculations'!$I$4:$I$421,MATCH('Measure-Level Adjustments Tab'!A169&amp;"_"&amp;'Measure-Level Adjustments Tab'!B169,'Unit Savings Calculations'!$A$4:$A$421,0))</f>
        <v>12</v>
      </c>
      <c r="G169" s="287" t="str">
        <f>'Unit Savings Calculations'!E165</f>
        <v>each</v>
      </c>
      <c r="H169" s="289">
        <f>'Unit Savings Calculations'!$F165*'Unit Savings Calculations'!J165</f>
        <v>5</v>
      </c>
      <c r="I169" s="289">
        <f>'Unit Savings Calculations'!$F165*'Unit Savings Calculations'!K165</f>
        <v>5</v>
      </c>
      <c r="J169" s="289">
        <f>'Unit Savings Calculations'!$F165*'Unit Savings Calculations'!L165</f>
        <v>5</v>
      </c>
      <c r="K169" s="289">
        <f>'Unit Savings Calculations'!$F165*'Unit Savings Calculations'!M165</f>
        <v>5</v>
      </c>
      <c r="L169" s="287" t="str">
        <f>'Unit Savings Calculations'!U165</f>
        <v>CI-FSE-RKOV-VO2-180101</v>
      </c>
      <c r="M169" s="363" t="s">
        <v>830</v>
      </c>
      <c r="N169" s="290">
        <v>1930</v>
      </c>
      <c r="O169" s="290">
        <v>1930</v>
      </c>
      <c r="P169" s="290">
        <v>1930</v>
      </c>
      <c r="Q169" s="290">
        <v>1930</v>
      </c>
      <c r="R169" s="291">
        <f>'Unit Savings Calculations'!$G165</f>
        <v>0.92</v>
      </c>
      <c r="S169" s="291">
        <f>'Unit Savings Calculations'!$G165</f>
        <v>0.92</v>
      </c>
      <c r="T169" s="291">
        <f>'Unit Savings Calculations'!$G165</f>
        <v>0.92</v>
      </c>
      <c r="U169" s="291">
        <f>'Unit Savings Calculations'!$G165</f>
        <v>0.92</v>
      </c>
      <c r="V169" s="292">
        <f t="shared" si="104"/>
        <v>8878</v>
      </c>
      <c r="W169" s="292">
        <f t="shared" si="105"/>
        <v>8878</v>
      </c>
      <c r="X169" s="292">
        <f t="shared" si="106"/>
        <v>8878</v>
      </c>
      <c r="Y169" s="292">
        <f t="shared" si="107"/>
        <v>8878</v>
      </c>
      <c r="Z169" s="292">
        <f t="shared" si="108"/>
        <v>35512</v>
      </c>
      <c r="AA169" s="287"/>
      <c r="AB169" s="287"/>
      <c r="AC169" s="293">
        <f>'Unit Savings Calculations'!N165</f>
        <v>1930</v>
      </c>
      <c r="AD169" s="287"/>
      <c r="AE169" s="292">
        <f t="shared" si="72"/>
        <v>8878</v>
      </c>
      <c r="AF169" s="289">
        <f t="shared" si="73"/>
        <v>0</v>
      </c>
      <c r="AG169" s="287"/>
      <c r="AH169" s="287">
        <f t="shared" si="74"/>
        <v>0</v>
      </c>
      <c r="AI169" s="290">
        <f>'Unit Savings Calculations'!O165</f>
        <v>1930</v>
      </c>
      <c r="AJ169" s="287" t="s">
        <v>872</v>
      </c>
      <c r="AK169" s="292">
        <f t="shared" si="75"/>
        <v>8878</v>
      </c>
      <c r="AL169" s="289">
        <f t="shared" si="76"/>
        <v>0</v>
      </c>
      <c r="AM169" s="287"/>
      <c r="AN169" s="287"/>
      <c r="AO169" s="290">
        <f>'Unit Savings Calculations'!P165</f>
        <v>1930</v>
      </c>
      <c r="AP169" s="287" t="s">
        <v>764</v>
      </c>
      <c r="AQ169" s="292">
        <f t="shared" si="77"/>
        <v>8878</v>
      </c>
      <c r="AR169" s="289">
        <f t="shared" si="78"/>
        <v>0</v>
      </c>
      <c r="AS169" s="287"/>
      <c r="AT169" s="287"/>
      <c r="AU169" s="290">
        <f>'Unit Savings Calculations'!Q165</f>
        <v>1930</v>
      </c>
      <c r="AV169" s="287" t="str">
        <f t="shared" si="79"/>
        <v>n/a</v>
      </c>
      <c r="AW169" s="292">
        <f t="shared" si="80"/>
        <v>8878</v>
      </c>
      <c r="AX169" s="289">
        <f t="shared" si="81"/>
        <v>0</v>
      </c>
      <c r="AY169" s="292">
        <f t="shared" si="82"/>
        <v>8878</v>
      </c>
      <c r="AZ169" s="292">
        <f t="shared" si="83"/>
        <v>8878</v>
      </c>
      <c r="BA169" s="292">
        <f t="shared" si="84"/>
        <v>8878</v>
      </c>
      <c r="BB169" s="292">
        <f t="shared" si="85"/>
        <v>8878</v>
      </c>
      <c r="BC169" s="294">
        <f t="shared" si="86"/>
        <v>35512</v>
      </c>
      <c r="BD169" s="287" t="s">
        <v>764</v>
      </c>
      <c r="BE169" s="295" t="str">
        <f t="shared" si="87"/>
        <v>Exhibit 1.5B_R Peoples Gas EEPS_Adjustable_Savings_Goal_Template.xlsx, Unit Savings Calculations Tab</v>
      </c>
      <c r="BF169" s="297"/>
    </row>
    <row r="170" spans="1:58" ht="13.5" customHeight="1">
      <c r="A170" s="287" t="str">
        <f>'Unit Savings Calculations'!C166</f>
        <v>Bus - SB Rebates</v>
      </c>
      <c r="B170" s="287" t="str">
        <f>'Unit Savings Calculations'!D166</f>
        <v>Energy Star Convection Oven</v>
      </c>
      <c r="C170" s="288">
        <f t="shared" si="88"/>
        <v>1</v>
      </c>
      <c r="D170" s="287" t="str">
        <f>'Unit Savings Calculations'!T166</f>
        <v>4.2.5</v>
      </c>
      <c r="E170" s="287">
        <f>INDEX('Unit Savings Calculations'!$H$4:$H$421,MATCH('Measure-Level Adjustments Tab'!$A170&amp;"_"&amp;'Measure-Level Adjustments Tab'!$B170,'Unit Savings Calculations'!$A$4:$A$421,0))</f>
        <v>12</v>
      </c>
      <c r="F170" s="287">
        <f>INDEX('Unit Savings Calculations'!$I$4:$I$421,MATCH('Measure-Level Adjustments Tab'!A170&amp;"_"&amp;'Measure-Level Adjustments Tab'!B170,'Unit Savings Calculations'!$A$4:$A$421,0))</f>
        <v>12</v>
      </c>
      <c r="G170" s="287" t="str">
        <f>'Unit Savings Calculations'!E166</f>
        <v>each</v>
      </c>
      <c r="H170" s="289">
        <f>'Unit Savings Calculations'!$F166*'Unit Savings Calculations'!J166</f>
        <v>60</v>
      </c>
      <c r="I170" s="289">
        <f>'Unit Savings Calculations'!$F166*'Unit Savings Calculations'!K166</f>
        <v>60</v>
      </c>
      <c r="J170" s="289">
        <f>'Unit Savings Calculations'!$F166*'Unit Savings Calculations'!L166</f>
        <v>60</v>
      </c>
      <c r="K170" s="289">
        <f>'Unit Savings Calculations'!$F166*'Unit Savings Calculations'!M166</f>
        <v>60</v>
      </c>
      <c r="L170" s="287" t="str">
        <f>'Unit Savings Calculations'!U166</f>
        <v>CI-FSE-ESCV-V02-180101</v>
      </c>
      <c r="M170" s="363" t="s">
        <v>830</v>
      </c>
      <c r="N170" s="290">
        <v>352.14445072463781</v>
      </c>
      <c r="O170" s="290">
        <v>352.14445072463781</v>
      </c>
      <c r="P170" s="290">
        <v>352.14445072463781</v>
      </c>
      <c r="Q170" s="290">
        <v>352.14445072463781</v>
      </c>
      <c r="R170" s="291">
        <f>'Unit Savings Calculations'!$G166</f>
        <v>0.92</v>
      </c>
      <c r="S170" s="291">
        <f>'Unit Savings Calculations'!$G166</f>
        <v>0.92</v>
      </c>
      <c r="T170" s="291">
        <f>'Unit Savings Calculations'!$G166</f>
        <v>0.92</v>
      </c>
      <c r="U170" s="291">
        <f>'Unit Savings Calculations'!$G166</f>
        <v>0.92</v>
      </c>
      <c r="V170" s="292">
        <f t="shared" si="104"/>
        <v>19438.373680000008</v>
      </c>
      <c r="W170" s="292">
        <f t="shared" si="105"/>
        <v>19438.373680000008</v>
      </c>
      <c r="X170" s="292">
        <f t="shared" si="106"/>
        <v>19438.373680000008</v>
      </c>
      <c r="Y170" s="292">
        <f t="shared" si="107"/>
        <v>19438.373680000008</v>
      </c>
      <c r="Z170" s="292">
        <f t="shared" si="108"/>
        <v>77753.494720000032</v>
      </c>
      <c r="AA170" s="287"/>
      <c r="AB170" s="287"/>
      <c r="AC170" s="293">
        <f>'Unit Savings Calculations'!N166</f>
        <v>352.14445072463781</v>
      </c>
      <c r="AD170" s="287"/>
      <c r="AE170" s="292">
        <f t="shared" si="72"/>
        <v>19438.373680000008</v>
      </c>
      <c r="AF170" s="289">
        <f t="shared" si="73"/>
        <v>0</v>
      </c>
      <c r="AG170" s="287"/>
      <c r="AH170" s="287">
        <f t="shared" si="74"/>
        <v>0</v>
      </c>
      <c r="AI170" s="290">
        <f>'Unit Savings Calculations'!O166</f>
        <v>352.14445072463781</v>
      </c>
      <c r="AJ170" s="287" t="s">
        <v>872</v>
      </c>
      <c r="AK170" s="292">
        <f t="shared" si="75"/>
        <v>19438.373680000008</v>
      </c>
      <c r="AL170" s="289">
        <f t="shared" si="76"/>
        <v>0</v>
      </c>
      <c r="AM170" s="287"/>
      <c r="AN170" s="287"/>
      <c r="AO170" s="290">
        <f>'Unit Savings Calculations'!P166</f>
        <v>352.14445072463781</v>
      </c>
      <c r="AP170" s="287" t="s">
        <v>764</v>
      </c>
      <c r="AQ170" s="292">
        <f t="shared" si="77"/>
        <v>19438.373680000008</v>
      </c>
      <c r="AR170" s="289">
        <f t="shared" si="78"/>
        <v>0</v>
      </c>
      <c r="AS170" s="287"/>
      <c r="AT170" s="287"/>
      <c r="AU170" s="290">
        <f>'Unit Savings Calculations'!Q166</f>
        <v>352.14445072463781</v>
      </c>
      <c r="AV170" s="287" t="str">
        <f t="shared" si="79"/>
        <v>n/a</v>
      </c>
      <c r="AW170" s="292">
        <f t="shared" si="80"/>
        <v>19438.373680000008</v>
      </c>
      <c r="AX170" s="289">
        <f t="shared" si="81"/>
        <v>0</v>
      </c>
      <c r="AY170" s="292">
        <f t="shared" si="82"/>
        <v>19438.373680000008</v>
      </c>
      <c r="AZ170" s="292">
        <f t="shared" si="83"/>
        <v>19438.373680000008</v>
      </c>
      <c r="BA170" s="292">
        <f t="shared" si="84"/>
        <v>19438.373680000008</v>
      </c>
      <c r="BB170" s="292">
        <f t="shared" si="85"/>
        <v>19438.373680000008</v>
      </c>
      <c r="BC170" s="294">
        <f t="shared" si="86"/>
        <v>77753.494720000032</v>
      </c>
      <c r="BD170" s="287" t="s">
        <v>764</v>
      </c>
      <c r="BE170" s="295" t="str">
        <f t="shared" si="87"/>
        <v>Exhibit 1.5B_R Peoples Gas EEPS_Adjustable_Savings_Goal_Template.xlsx, Unit Savings Calculations Tab</v>
      </c>
      <c r="BF170" s="297"/>
    </row>
    <row r="171" spans="1:58" ht="13.5" customHeight="1">
      <c r="A171" s="287" t="str">
        <f>'Unit Savings Calculations'!C167</f>
        <v>Bus - SB Rebates</v>
      </c>
      <c r="B171" s="287" t="str">
        <f>'Unit Savings Calculations'!D167</f>
        <v>Energy Star Conveyer Oven</v>
      </c>
      <c r="C171" s="288">
        <f t="shared" si="88"/>
        <v>1</v>
      </c>
      <c r="D171" s="287" t="str">
        <f>'Unit Savings Calculations'!T167</f>
        <v>4.2.4</v>
      </c>
      <c r="E171" s="287">
        <f>INDEX('Unit Savings Calculations'!$H$4:$H$421,MATCH('Measure-Level Adjustments Tab'!$A171&amp;"_"&amp;'Measure-Level Adjustments Tab'!$B171,'Unit Savings Calculations'!$A$4:$A$421,0))</f>
        <v>17</v>
      </c>
      <c r="F171" s="287">
        <f>INDEX('Unit Savings Calculations'!$I$4:$I$421,MATCH('Measure-Level Adjustments Tab'!A171&amp;"_"&amp;'Measure-Level Adjustments Tab'!B171,'Unit Savings Calculations'!$A$4:$A$421,0))</f>
        <v>17</v>
      </c>
      <c r="G171" s="287" t="str">
        <f>'Unit Savings Calculations'!E167</f>
        <v>each</v>
      </c>
      <c r="H171" s="289">
        <f>'Unit Savings Calculations'!$F167*'Unit Savings Calculations'!J167</f>
        <v>50</v>
      </c>
      <c r="I171" s="289">
        <f>'Unit Savings Calculations'!$F167*'Unit Savings Calculations'!K167</f>
        <v>50</v>
      </c>
      <c r="J171" s="289">
        <f>'Unit Savings Calculations'!$F167*'Unit Savings Calculations'!L167</f>
        <v>50</v>
      </c>
      <c r="K171" s="289">
        <f>'Unit Savings Calculations'!$F167*'Unit Savings Calculations'!M167</f>
        <v>50</v>
      </c>
      <c r="L171" s="287" t="str">
        <f>'Unit Savings Calculations'!U167</f>
        <v>CI-FSE-CVOV-V02-180101</v>
      </c>
      <c r="M171" s="363" t="s">
        <v>830</v>
      </c>
      <c r="N171" s="290">
        <v>884</v>
      </c>
      <c r="O171" s="290">
        <v>884</v>
      </c>
      <c r="P171" s="290">
        <v>884</v>
      </c>
      <c r="Q171" s="290">
        <v>884</v>
      </c>
      <c r="R171" s="291">
        <f>'Unit Savings Calculations'!$G167</f>
        <v>0.92</v>
      </c>
      <c r="S171" s="291">
        <f>'Unit Savings Calculations'!$G167</f>
        <v>0.92</v>
      </c>
      <c r="T171" s="291">
        <f>'Unit Savings Calculations'!$G167</f>
        <v>0.92</v>
      </c>
      <c r="U171" s="291">
        <f>'Unit Savings Calculations'!$G167</f>
        <v>0.92</v>
      </c>
      <c r="V171" s="292">
        <f t="shared" si="104"/>
        <v>40664</v>
      </c>
      <c r="W171" s="292">
        <f t="shared" si="105"/>
        <v>40664</v>
      </c>
      <c r="X171" s="292">
        <f t="shared" si="106"/>
        <v>40664</v>
      </c>
      <c r="Y171" s="292">
        <f t="shared" si="107"/>
        <v>40664</v>
      </c>
      <c r="Z171" s="292">
        <f t="shared" si="108"/>
        <v>162656</v>
      </c>
      <c r="AA171" s="287"/>
      <c r="AB171" s="287"/>
      <c r="AC171" s="293">
        <f>'Unit Savings Calculations'!N167</f>
        <v>884</v>
      </c>
      <c r="AD171" s="287"/>
      <c r="AE171" s="292">
        <f t="shared" si="72"/>
        <v>40664</v>
      </c>
      <c r="AF171" s="289">
        <f t="shared" si="73"/>
        <v>0</v>
      </c>
      <c r="AG171" s="287"/>
      <c r="AH171" s="287">
        <f t="shared" si="74"/>
        <v>0</v>
      </c>
      <c r="AI171" s="290">
        <f>'Unit Savings Calculations'!O167</f>
        <v>884</v>
      </c>
      <c r="AJ171" s="287" t="s">
        <v>872</v>
      </c>
      <c r="AK171" s="292">
        <f t="shared" si="75"/>
        <v>40664</v>
      </c>
      <c r="AL171" s="289">
        <f t="shared" si="76"/>
        <v>0</v>
      </c>
      <c r="AM171" s="287"/>
      <c r="AN171" s="287"/>
      <c r="AO171" s="290">
        <f>'Unit Savings Calculations'!P167</f>
        <v>884</v>
      </c>
      <c r="AP171" s="287" t="s">
        <v>764</v>
      </c>
      <c r="AQ171" s="292">
        <f t="shared" si="77"/>
        <v>40664</v>
      </c>
      <c r="AR171" s="289">
        <f t="shared" si="78"/>
        <v>0</v>
      </c>
      <c r="AS171" s="287"/>
      <c r="AT171" s="287"/>
      <c r="AU171" s="290">
        <f>'Unit Savings Calculations'!Q167</f>
        <v>884</v>
      </c>
      <c r="AV171" s="287" t="str">
        <f t="shared" si="79"/>
        <v>n/a</v>
      </c>
      <c r="AW171" s="292">
        <f t="shared" si="80"/>
        <v>40664</v>
      </c>
      <c r="AX171" s="289">
        <f t="shared" si="81"/>
        <v>0</v>
      </c>
      <c r="AY171" s="292">
        <f t="shared" si="82"/>
        <v>40664</v>
      </c>
      <c r="AZ171" s="292">
        <f t="shared" si="83"/>
        <v>40664</v>
      </c>
      <c r="BA171" s="292">
        <f t="shared" si="84"/>
        <v>40664</v>
      </c>
      <c r="BB171" s="292">
        <f t="shared" si="85"/>
        <v>40664</v>
      </c>
      <c r="BC171" s="294">
        <f t="shared" si="86"/>
        <v>162656</v>
      </c>
      <c r="BD171" s="287" t="s">
        <v>764</v>
      </c>
      <c r="BE171" s="295" t="str">
        <f t="shared" si="87"/>
        <v>Exhibit 1.5B_R Peoples Gas EEPS_Adjustable_Savings_Goal_Template.xlsx, Unit Savings Calculations Tab</v>
      </c>
      <c r="BF171" s="297"/>
    </row>
    <row r="172" spans="1:58" ht="13.5" customHeight="1">
      <c r="A172" s="287" t="str">
        <f>'Unit Savings Calculations'!C168</f>
        <v>Bus - SB Rebates</v>
      </c>
      <c r="B172" s="287" t="str">
        <f>'Unit Savings Calculations'!D168</f>
        <v>Energy Star Fryer</v>
      </c>
      <c r="C172" s="288">
        <f t="shared" si="88"/>
        <v>1</v>
      </c>
      <c r="D172" s="287" t="str">
        <f>'Unit Savings Calculations'!T168</f>
        <v>4.2.7</v>
      </c>
      <c r="E172" s="287">
        <f>INDEX('Unit Savings Calculations'!$H$4:$H$421,MATCH('Measure-Level Adjustments Tab'!$A172&amp;"_"&amp;'Measure-Level Adjustments Tab'!$B172,'Unit Savings Calculations'!$A$4:$A$421,0))</f>
        <v>15</v>
      </c>
      <c r="F172" s="287">
        <f>INDEX('Unit Savings Calculations'!$I$4:$I$421,MATCH('Measure-Level Adjustments Tab'!A172&amp;"_"&amp;'Measure-Level Adjustments Tab'!B172,'Unit Savings Calculations'!$A$4:$A$421,0))</f>
        <v>12</v>
      </c>
      <c r="G172" s="287" t="str">
        <f>'Unit Savings Calculations'!E168</f>
        <v>each</v>
      </c>
      <c r="H172" s="289">
        <f>'Unit Savings Calculations'!$F168*'Unit Savings Calculations'!J168</f>
        <v>60</v>
      </c>
      <c r="I172" s="289">
        <f>'Unit Savings Calculations'!$F168*'Unit Savings Calculations'!K168</f>
        <v>60</v>
      </c>
      <c r="J172" s="289">
        <f>'Unit Savings Calculations'!$F168*'Unit Savings Calculations'!L168</f>
        <v>60</v>
      </c>
      <c r="K172" s="289">
        <f>'Unit Savings Calculations'!$F168*'Unit Savings Calculations'!M168</f>
        <v>60</v>
      </c>
      <c r="L172" s="287" t="str">
        <f>'Unit Savings Calculations'!U168</f>
        <v>CI-FSE-ESFR-V01-120601</v>
      </c>
      <c r="M172" s="363" t="s">
        <v>830</v>
      </c>
      <c r="N172" s="290">
        <v>505.37299714285717</v>
      </c>
      <c r="O172" s="290">
        <v>505.37299714285717</v>
      </c>
      <c r="P172" s="290">
        <v>505.37299714285717</v>
      </c>
      <c r="Q172" s="290">
        <v>505.37299714285717</v>
      </c>
      <c r="R172" s="291">
        <f>'Unit Savings Calculations'!$G168</f>
        <v>0.92</v>
      </c>
      <c r="S172" s="291">
        <f>'Unit Savings Calculations'!$G168</f>
        <v>0.92</v>
      </c>
      <c r="T172" s="291">
        <f>'Unit Savings Calculations'!$G168</f>
        <v>0.92</v>
      </c>
      <c r="U172" s="291">
        <f>'Unit Savings Calculations'!$G168</f>
        <v>0.92</v>
      </c>
      <c r="V172" s="292">
        <f t="shared" si="104"/>
        <v>27896.589442285716</v>
      </c>
      <c r="W172" s="292">
        <f t="shared" si="105"/>
        <v>27896.589442285716</v>
      </c>
      <c r="X172" s="292">
        <f t="shared" si="106"/>
        <v>27896.589442285716</v>
      </c>
      <c r="Y172" s="292">
        <f t="shared" si="107"/>
        <v>27896.589442285716</v>
      </c>
      <c r="Z172" s="292">
        <f t="shared" si="108"/>
        <v>111586.35776914287</v>
      </c>
      <c r="AA172" s="287"/>
      <c r="AB172" s="287"/>
      <c r="AC172" s="293">
        <f>'Unit Savings Calculations'!N168</f>
        <v>505.37299714285717</v>
      </c>
      <c r="AD172" s="287"/>
      <c r="AE172" s="292">
        <f t="shared" si="72"/>
        <v>27896.589442285716</v>
      </c>
      <c r="AF172" s="289">
        <f t="shared" si="73"/>
        <v>0</v>
      </c>
      <c r="AG172" s="287"/>
      <c r="AH172" s="287">
        <f t="shared" si="74"/>
        <v>0</v>
      </c>
      <c r="AI172" s="290">
        <f>'Unit Savings Calculations'!O168</f>
        <v>505.37299714285717</v>
      </c>
      <c r="AJ172" s="287" t="s">
        <v>872</v>
      </c>
      <c r="AK172" s="292">
        <f t="shared" si="75"/>
        <v>27896.589442285716</v>
      </c>
      <c r="AL172" s="289">
        <f t="shared" si="76"/>
        <v>0</v>
      </c>
      <c r="AM172" s="287"/>
      <c r="AN172" s="287"/>
      <c r="AO172" s="290">
        <f>'Unit Savings Calculations'!P168</f>
        <v>505.37299714285717</v>
      </c>
      <c r="AP172" s="287" t="s">
        <v>764</v>
      </c>
      <c r="AQ172" s="292">
        <f t="shared" si="77"/>
        <v>27896.589442285716</v>
      </c>
      <c r="AR172" s="289">
        <f t="shared" si="78"/>
        <v>0</v>
      </c>
      <c r="AS172" s="287"/>
      <c r="AT172" s="287"/>
      <c r="AU172" s="290">
        <f>'Unit Savings Calculations'!Q168</f>
        <v>505.37299714285717</v>
      </c>
      <c r="AV172" s="287" t="str">
        <f t="shared" si="79"/>
        <v>n/a</v>
      </c>
      <c r="AW172" s="292">
        <f t="shared" si="80"/>
        <v>27896.589442285716</v>
      </c>
      <c r="AX172" s="289">
        <f t="shared" si="81"/>
        <v>0</v>
      </c>
      <c r="AY172" s="292">
        <f t="shared" si="82"/>
        <v>27896.589442285716</v>
      </c>
      <c r="AZ172" s="292">
        <f t="shared" si="83"/>
        <v>27896.589442285716</v>
      </c>
      <c r="BA172" s="292">
        <f t="shared" si="84"/>
        <v>27896.589442285716</v>
      </c>
      <c r="BB172" s="292">
        <f t="shared" si="85"/>
        <v>27896.589442285716</v>
      </c>
      <c r="BC172" s="294">
        <f t="shared" si="86"/>
        <v>111586.35776914287</v>
      </c>
      <c r="BD172" s="287" t="s">
        <v>764</v>
      </c>
      <c r="BE172" s="295" t="str">
        <f t="shared" si="87"/>
        <v>Exhibit 1.5B_R Peoples Gas EEPS_Adjustable_Savings_Goal_Template.xlsx, Unit Savings Calculations Tab</v>
      </c>
      <c r="BF172" s="297"/>
    </row>
    <row r="173" spans="1:58" ht="13.5" customHeight="1">
      <c r="A173" s="287" t="str">
        <f>'Unit Savings Calculations'!C169</f>
        <v>Bus - SB Rebates</v>
      </c>
      <c r="B173" s="287" t="str">
        <f>'Unit Savings Calculations'!D169</f>
        <v>Energy Star Steamer - 3 Pans</v>
      </c>
      <c r="C173" s="288">
        <f t="shared" si="88"/>
        <v>1</v>
      </c>
      <c r="D173" s="287" t="str">
        <f>'Unit Savings Calculations'!T169</f>
        <v>4.2.3</v>
      </c>
      <c r="E173" s="287">
        <f>INDEX('Unit Savings Calculations'!$H$4:$H$421,MATCH('Measure-Level Adjustments Tab'!$A173&amp;"_"&amp;'Measure-Level Adjustments Tab'!$B173,'Unit Savings Calculations'!$A$4:$A$421,0))</f>
        <v>12</v>
      </c>
      <c r="F173" s="287">
        <f>INDEX('Unit Savings Calculations'!$I$4:$I$421,MATCH('Measure-Level Adjustments Tab'!A173&amp;"_"&amp;'Measure-Level Adjustments Tab'!B173,'Unit Savings Calculations'!$A$4:$A$421,0))</f>
        <v>12</v>
      </c>
      <c r="G173" s="287" t="str">
        <f>'Unit Savings Calculations'!E169</f>
        <v>each</v>
      </c>
      <c r="H173" s="289">
        <f>'Unit Savings Calculations'!$F169*'Unit Savings Calculations'!J169</f>
        <v>12</v>
      </c>
      <c r="I173" s="289">
        <f>'Unit Savings Calculations'!$F169*'Unit Savings Calculations'!K169</f>
        <v>12</v>
      </c>
      <c r="J173" s="289">
        <f>'Unit Savings Calculations'!$F169*'Unit Savings Calculations'!L169</f>
        <v>12</v>
      </c>
      <c r="K173" s="289">
        <f>'Unit Savings Calculations'!$F169*'Unit Savings Calculations'!M169</f>
        <v>12</v>
      </c>
      <c r="L173" s="287" t="str">
        <f>'Unit Savings Calculations'!U169</f>
        <v>CI-FSE-STMC-V04-160601</v>
      </c>
      <c r="M173" s="363" t="s">
        <v>827</v>
      </c>
      <c r="N173" s="290">
        <v>752.01231086676478</v>
      </c>
      <c r="O173" s="290">
        <v>752.01231086676478</v>
      </c>
      <c r="P173" s="290">
        <v>752.01231086676478</v>
      </c>
      <c r="Q173" s="290">
        <v>752.01231086676478</v>
      </c>
      <c r="R173" s="291">
        <f>'Unit Savings Calculations'!$G169</f>
        <v>0.92</v>
      </c>
      <c r="S173" s="291">
        <f>'Unit Savings Calculations'!$G169</f>
        <v>0.92</v>
      </c>
      <c r="T173" s="291">
        <f>'Unit Savings Calculations'!$G169</f>
        <v>0.92</v>
      </c>
      <c r="U173" s="291">
        <f>'Unit Savings Calculations'!$G169</f>
        <v>0.92</v>
      </c>
      <c r="V173" s="292">
        <f t="shared" si="104"/>
        <v>8302.2159119690823</v>
      </c>
      <c r="W173" s="292">
        <f t="shared" si="105"/>
        <v>8302.2159119690823</v>
      </c>
      <c r="X173" s="292">
        <f t="shared" si="106"/>
        <v>8302.2159119690823</v>
      </c>
      <c r="Y173" s="292">
        <f t="shared" si="107"/>
        <v>8302.2159119690823</v>
      </c>
      <c r="Z173" s="292">
        <f t="shared" si="108"/>
        <v>33208.863647876329</v>
      </c>
      <c r="AA173" s="287"/>
      <c r="AB173" s="287"/>
      <c r="AC173" s="293">
        <f>'Unit Savings Calculations'!N169</f>
        <v>921.04270586676478</v>
      </c>
      <c r="AD173" s="287"/>
      <c r="AE173" s="292">
        <f t="shared" si="72"/>
        <v>10168.311472769085</v>
      </c>
      <c r="AF173" s="289">
        <f t="shared" si="73"/>
        <v>1866.0955608000022</v>
      </c>
      <c r="AG173" s="287"/>
      <c r="AH173" s="287">
        <f t="shared" si="74"/>
        <v>0</v>
      </c>
      <c r="AI173" s="290">
        <f>'Unit Savings Calculations'!O169</f>
        <v>921.04270586676478</v>
      </c>
      <c r="AJ173" s="287" t="s">
        <v>872</v>
      </c>
      <c r="AK173" s="292">
        <f t="shared" si="75"/>
        <v>10168.311472769085</v>
      </c>
      <c r="AL173" s="289">
        <f t="shared" si="76"/>
        <v>1866.0955608000022</v>
      </c>
      <c r="AM173" s="287"/>
      <c r="AN173" s="287"/>
      <c r="AO173" s="290">
        <f>'Unit Savings Calculations'!P169</f>
        <v>921.04270586676478</v>
      </c>
      <c r="AP173" s="287" t="s">
        <v>764</v>
      </c>
      <c r="AQ173" s="292">
        <f t="shared" si="77"/>
        <v>10168.311472769085</v>
      </c>
      <c r="AR173" s="289">
        <f t="shared" si="78"/>
        <v>1866.0955608000022</v>
      </c>
      <c r="AS173" s="287"/>
      <c r="AT173" s="287"/>
      <c r="AU173" s="290">
        <f>'Unit Savings Calculations'!Q169</f>
        <v>921.04270586676478</v>
      </c>
      <c r="AV173" s="287" t="str">
        <f t="shared" si="79"/>
        <v>n/a</v>
      </c>
      <c r="AW173" s="292">
        <f t="shared" si="80"/>
        <v>10168.311472769085</v>
      </c>
      <c r="AX173" s="289">
        <f t="shared" si="81"/>
        <v>1866.0955608000022</v>
      </c>
      <c r="AY173" s="292">
        <f t="shared" si="82"/>
        <v>10168.311472769085</v>
      </c>
      <c r="AZ173" s="292">
        <f t="shared" si="83"/>
        <v>10168.311472769085</v>
      </c>
      <c r="BA173" s="292">
        <f t="shared" si="84"/>
        <v>10168.311472769085</v>
      </c>
      <c r="BB173" s="292">
        <f t="shared" si="85"/>
        <v>10168.311472769085</v>
      </c>
      <c r="BC173" s="294">
        <f t="shared" si="86"/>
        <v>40673.245891076338</v>
      </c>
      <c r="BD173" s="287" t="s">
        <v>764</v>
      </c>
      <c r="BE173" s="295" t="str">
        <f t="shared" si="87"/>
        <v>Exhibit 1.5B_R Peoples Gas EEPS_Adjustable_Savings_Goal_Template.xlsx, Food Equipment Tab</v>
      </c>
      <c r="BF173" s="297"/>
    </row>
    <row r="174" spans="1:58" ht="13.5" customHeight="1">
      <c r="A174" s="287" t="str">
        <f>'Unit Savings Calculations'!C170</f>
        <v>Bus - SB Rebates</v>
      </c>
      <c r="B174" s="287" t="str">
        <f>'Unit Savings Calculations'!D170</f>
        <v>Energy Star Steamer - 4 Pans</v>
      </c>
      <c r="C174" s="288">
        <f t="shared" si="88"/>
        <v>1</v>
      </c>
      <c r="D174" s="287" t="str">
        <f>'Unit Savings Calculations'!T170</f>
        <v>4.2.3</v>
      </c>
      <c r="E174" s="287">
        <f>INDEX('Unit Savings Calculations'!$H$4:$H$421,MATCH('Measure-Level Adjustments Tab'!$A174&amp;"_"&amp;'Measure-Level Adjustments Tab'!$B174,'Unit Savings Calculations'!$A$4:$A$421,0))</f>
        <v>12</v>
      </c>
      <c r="F174" s="287">
        <f>INDEX('Unit Savings Calculations'!$I$4:$I$421,MATCH('Measure-Level Adjustments Tab'!A174&amp;"_"&amp;'Measure-Level Adjustments Tab'!B174,'Unit Savings Calculations'!$A$4:$A$421,0))</f>
        <v>12</v>
      </c>
      <c r="G174" s="287" t="str">
        <f>'Unit Savings Calculations'!E170</f>
        <v>each</v>
      </c>
      <c r="H174" s="289">
        <f>'Unit Savings Calculations'!$F170*'Unit Savings Calculations'!J170</f>
        <v>30</v>
      </c>
      <c r="I174" s="289">
        <f>'Unit Savings Calculations'!$F170*'Unit Savings Calculations'!K170</f>
        <v>30</v>
      </c>
      <c r="J174" s="289">
        <f>'Unit Savings Calculations'!$F170*'Unit Savings Calculations'!L170</f>
        <v>30</v>
      </c>
      <c r="K174" s="289">
        <f>'Unit Savings Calculations'!$F170*'Unit Savings Calculations'!M170</f>
        <v>30</v>
      </c>
      <c r="L174" s="287" t="str">
        <f>'Unit Savings Calculations'!U170</f>
        <v>CI-FSE-STMC-V04-160601</v>
      </c>
      <c r="M174" s="363" t="s">
        <v>827</v>
      </c>
      <c r="N174" s="290">
        <v>1007.2641787965732</v>
      </c>
      <c r="O174" s="290">
        <v>1007.2641787965732</v>
      </c>
      <c r="P174" s="290">
        <v>1007.2641787965732</v>
      </c>
      <c r="Q174" s="290">
        <v>1007.2641787965732</v>
      </c>
      <c r="R174" s="291">
        <f>'Unit Savings Calculations'!$G170</f>
        <v>0.92</v>
      </c>
      <c r="S174" s="291">
        <f>'Unit Savings Calculations'!$G170</f>
        <v>0.92</v>
      </c>
      <c r="T174" s="291">
        <f>'Unit Savings Calculations'!$G170</f>
        <v>0.92</v>
      </c>
      <c r="U174" s="291">
        <f>'Unit Savings Calculations'!$G170</f>
        <v>0.92</v>
      </c>
      <c r="V174" s="292">
        <f t="shared" si="104"/>
        <v>27800.491334785424</v>
      </c>
      <c r="W174" s="292">
        <f t="shared" si="105"/>
        <v>27800.491334785424</v>
      </c>
      <c r="X174" s="292">
        <f t="shared" si="106"/>
        <v>27800.491334785424</v>
      </c>
      <c r="Y174" s="292">
        <f t="shared" si="107"/>
        <v>27800.491334785424</v>
      </c>
      <c r="Z174" s="292">
        <f t="shared" si="108"/>
        <v>111201.96533914169</v>
      </c>
      <c r="AA174" s="287"/>
      <c r="AB174" s="287"/>
      <c r="AC174" s="293">
        <f>'Unit Savings Calculations'!N170</f>
        <v>1176.2945737965733</v>
      </c>
      <c r="AD174" s="287"/>
      <c r="AE174" s="292">
        <f t="shared" si="72"/>
        <v>32465.730236785424</v>
      </c>
      <c r="AF174" s="289">
        <f t="shared" si="73"/>
        <v>4665.238902000001</v>
      </c>
      <c r="AG174" s="287"/>
      <c r="AH174" s="287">
        <f t="shared" si="74"/>
        <v>0</v>
      </c>
      <c r="AI174" s="290">
        <f>'Unit Savings Calculations'!O170</f>
        <v>1176.2945737965733</v>
      </c>
      <c r="AJ174" s="287" t="s">
        <v>872</v>
      </c>
      <c r="AK174" s="292">
        <f t="shared" si="75"/>
        <v>32465.730236785424</v>
      </c>
      <c r="AL174" s="289">
        <f t="shared" si="76"/>
        <v>4665.238902000001</v>
      </c>
      <c r="AM174" s="287"/>
      <c r="AN174" s="287"/>
      <c r="AO174" s="290">
        <f>'Unit Savings Calculations'!P170</f>
        <v>1176.2945737965733</v>
      </c>
      <c r="AP174" s="287" t="s">
        <v>764</v>
      </c>
      <c r="AQ174" s="292">
        <f t="shared" si="77"/>
        <v>32465.730236785424</v>
      </c>
      <c r="AR174" s="289">
        <f t="shared" si="78"/>
        <v>4665.238902000001</v>
      </c>
      <c r="AS174" s="287"/>
      <c r="AT174" s="287"/>
      <c r="AU174" s="290">
        <f>'Unit Savings Calculations'!Q170</f>
        <v>1176.2945737965733</v>
      </c>
      <c r="AV174" s="287" t="str">
        <f t="shared" si="79"/>
        <v>n/a</v>
      </c>
      <c r="AW174" s="292">
        <f t="shared" si="80"/>
        <v>32465.730236785424</v>
      </c>
      <c r="AX174" s="289">
        <f t="shared" si="81"/>
        <v>4665.238902000001</v>
      </c>
      <c r="AY174" s="292">
        <f t="shared" si="82"/>
        <v>32465.730236785424</v>
      </c>
      <c r="AZ174" s="292">
        <f t="shared" si="83"/>
        <v>32465.730236785424</v>
      </c>
      <c r="BA174" s="292">
        <f t="shared" si="84"/>
        <v>32465.730236785424</v>
      </c>
      <c r="BB174" s="292">
        <f t="shared" si="85"/>
        <v>32465.730236785424</v>
      </c>
      <c r="BC174" s="294">
        <f t="shared" si="86"/>
        <v>129862.9209471417</v>
      </c>
      <c r="BD174" s="287" t="s">
        <v>764</v>
      </c>
      <c r="BE174" s="295" t="str">
        <f t="shared" si="87"/>
        <v>Exhibit 1.5B_R Peoples Gas EEPS_Adjustable_Savings_Goal_Template.xlsx, Food Equipment Tab</v>
      </c>
      <c r="BF174" s="297"/>
    </row>
    <row r="175" spans="1:58" ht="13.5" customHeight="1">
      <c r="A175" s="287" t="str">
        <f>'Unit Savings Calculations'!C171</f>
        <v>Bus - SB Rebates</v>
      </c>
      <c r="B175" s="287" t="str">
        <f>'Unit Savings Calculations'!D171</f>
        <v>Energy Star Steamer - 5 Pans</v>
      </c>
      <c r="C175" s="288">
        <f t="shared" si="88"/>
        <v>1</v>
      </c>
      <c r="D175" s="287" t="str">
        <f>'Unit Savings Calculations'!T171</f>
        <v>4.2.3</v>
      </c>
      <c r="E175" s="287">
        <f>INDEX('Unit Savings Calculations'!$H$4:$H$421,MATCH('Measure-Level Adjustments Tab'!$A175&amp;"_"&amp;'Measure-Level Adjustments Tab'!$B175,'Unit Savings Calculations'!$A$4:$A$421,0))</f>
        <v>12</v>
      </c>
      <c r="F175" s="287">
        <f>INDEX('Unit Savings Calculations'!$I$4:$I$421,MATCH('Measure-Level Adjustments Tab'!A175&amp;"_"&amp;'Measure-Level Adjustments Tab'!B175,'Unit Savings Calculations'!$A$4:$A$421,0))</f>
        <v>12</v>
      </c>
      <c r="G175" s="287" t="str">
        <f>'Unit Savings Calculations'!E171</f>
        <v>each</v>
      </c>
      <c r="H175" s="289">
        <f>'Unit Savings Calculations'!$F171*'Unit Savings Calculations'!J171</f>
        <v>0</v>
      </c>
      <c r="I175" s="289">
        <f>'Unit Savings Calculations'!$F171*'Unit Savings Calculations'!K171</f>
        <v>0</v>
      </c>
      <c r="J175" s="289">
        <f>'Unit Savings Calculations'!$F171*'Unit Savings Calculations'!L171</f>
        <v>0</v>
      </c>
      <c r="K175" s="289">
        <f>'Unit Savings Calculations'!$F171*'Unit Savings Calculations'!M171</f>
        <v>0</v>
      </c>
      <c r="L175" s="287" t="str">
        <f>'Unit Savings Calculations'!U171</f>
        <v>CI-FSE-STMC-V04-160601</v>
      </c>
      <c r="M175" s="363" t="s">
        <v>827</v>
      </c>
      <c r="N175" s="290">
        <v>1248.6709419898457</v>
      </c>
      <c r="O175" s="290">
        <v>1248.6709419898457</v>
      </c>
      <c r="P175" s="290">
        <v>1248.6709419898457</v>
      </c>
      <c r="Q175" s="290">
        <v>1248.6709419898457</v>
      </c>
      <c r="R175" s="291">
        <f>'Unit Savings Calculations'!$G171</f>
        <v>0.92</v>
      </c>
      <c r="S175" s="291">
        <f>'Unit Savings Calculations'!$G171</f>
        <v>0.92</v>
      </c>
      <c r="T175" s="291">
        <f>'Unit Savings Calculations'!$G171</f>
        <v>0.92</v>
      </c>
      <c r="U175" s="291">
        <f>'Unit Savings Calculations'!$G171</f>
        <v>0.92</v>
      </c>
      <c r="V175" s="292">
        <f t="shared" si="104"/>
        <v>0</v>
      </c>
      <c r="W175" s="292">
        <f t="shared" si="105"/>
        <v>0</v>
      </c>
      <c r="X175" s="292">
        <f t="shared" si="106"/>
        <v>0</v>
      </c>
      <c r="Y175" s="292">
        <f t="shared" si="107"/>
        <v>0</v>
      </c>
      <c r="Z175" s="292">
        <f t="shared" si="108"/>
        <v>0</v>
      </c>
      <c r="AA175" s="287"/>
      <c r="AB175" s="287"/>
      <c r="AC175" s="293">
        <f>'Unit Savings Calculations'!N171</f>
        <v>1417.7013369898457</v>
      </c>
      <c r="AD175" s="287"/>
      <c r="AE175" s="292">
        <f t="shared" si="72"/>
        <v>0</v>
      </c>
      <c r="AF175" s="289">
        <f t="shared" si="73"/>
        <v>0</v>
      </c>
      <c r="AG175" s="287"/>
      <c r="AH175" s="287">
        <f t="shared" si="74"/>
        <v>0</v>
      </c>
      <c r="AI175" s="290">
        <f>'Unit Savings Calculations'!O171</f>
        <v>1417.7013369898457</v>
      </c>
      <c r="AJ175" s="287" t="s">
        <v>872</v>
      </c>
      <c r="AK175" s="292">
        <f t="shared" si="75"/>
        <v>0</v>
      </c>
      <c r="AL175" s="289">
        <f t="shared" si="76"/>
        <v>0</v>
      </c>
      <c r="AM175" s="287"/>
      <c r="AN175" s="287"/>
      <c r="AO175" s="290">
        <f>'Unit Savings Calculations'!P171</f>
        <v>1417.7013369898457</v>
      </c>
      <c r="AP175" s="287" t="s">
        <v>764</v>
      </c>
      <c r="AQ175" s="292">
        <f t="shared" si="77"/>
        <v>0</v>
      </c>
      <c r="AR175" s="289">
        <f t="shared" si="78"/>
        <v>0</v>
      </c>
      <c r="AS175" s="287"/>
      <c r="AT175" s="287"/>
      <c r="AU175" s="290">
        <f>'Unit Savings Calculations'!Q171</f>
        <v>1417.7013369898457</v>
      </c>
      <c r="AV175" s="287" t="str">
        <f t="shared" si="79"/>
        <v>n/a</v>
      </c>
      <c r="AW175" s="292">
        <f t="shared" si="80"/>
        <v>0</v>
      </c>
      <c r="AX175" s="289">
        <f t="shared" si="81"/>
        <v>0</v>
      </c>
      <c r="AY175" s="292">
        <f t="shared" si="82"/>
        <v>0</v>
      </c>
      <c r="AZ175" s="292">
        <f t="shared" si="83"/>
        <v>0</v>
      </c>
      <c r="BA175" s="292">
        <f t="shared" si="84"/>
        <v>0</v>
      </c>
      <c r="BB175" s="292">
        <f t="shared" si="85"/>
        <v>0</v>
      </c>
      <c r="BC175" s="294">
        <f t="shared" si="86"/>
        <v>0</v>
      </c>
      <c r="BD175" s="287" t="s">
        <v>764</v>
      </c>
      <c r="BE175" s="295" t="str">
        <f t="shared" si="87"/>
        <v>Exhibit 1.5B_R Peoples Gas EEPS_Adjustable_Savings_Goal_Template.xlsx, Food Equipment Tab</v>
      </c>
      <c r="BF175" s="297"/>
    </row>
    <row r="176" spans="1:58" ht="13.5" customHeight="1">
      <c r="A176" s="287" t="str">
        <f>'Unit Savings Calculations'!C172</f>
        <v>Bus - SB Rebates</v>
      </c>
      <c r="B176" s="287" t="str">
        <f>'Unit Savings Calculations'!D172</f>
        <v>Energy Star Steamer - 6 Pans</v>
      </c>
      <c r="C176" s="288">
        <f t="shared" si="88"/>
        <v>1</v>
      </c>
      <c r="D176" s="287" t="str">
        <f>'Unit Savings Calculations'!T172</f>
        <v>4.2.3</v>
      </c>
      <c r="E176" s="287">
        <f>INDEX('Unit Savings Calculations'!$H$4:$H$421,MATCH('Measure-Level Adjustments Tab'!$A176&amp;"_"&amp;'Measure-Level Adjustments Tab'!$B176,'Unit Savings Calculations'!$A$4:$A$421,0))</f>
        <v>12</v>
      </c>
      <c r="F176" s="287">
        <f>INDEX('Unit Savings Calculations'!$I$4:$I$421,MATCH('Measure-Level Adjustments Tab'!A176&amp;"_"&amp;'Measure-Level Adjustments Tab'!B176,'Unit Savings Calculations'!$A$4:$A$421,0))</f>
        <v>12</v>
      </c>
      <c r="G176" s="287" t="str">
        <f>'Unit Savings Calculations'!E172</f>
        <v>each</v>
      </c>
      <c r="H176" s="289">
        <f>'Unit Savings Calculations'!$F172*'Unit Savings Calculations'!J172</f>
        <v>0</v>
      </c>
      <c r="I176" s="289">
        <f>'Unit Savings Calculations'!$F172*'Unit Savings Calculations'!K172</f>
        <v>0</v>
      </c>
      <c r="J176" s="289">
        <f>'Unit Savings Calculations'!$F172*'Unit Savings Calculations'!L172</f>
        <v>0</v>
      </c>
      <c r="K176" s="289">
        <f>'Unit Savings Calculations'!$F172*'Unit Savings Calculations'!M172</f>
        <v>0</v>
      </c>
      <c r="L176" s="287" t="str">
        <f>'Unit Savings Calculations'!U172</f>
        <v>CI-FSE-STMC-V04-160601</v>
      </c>
      <c r="M176" s="363" t="s">
        <v>827</v>
      </c>
      <c r="N176" s="290">
        <v>1503.8794358667649</v>
      </c>
      <c r="O176" s="290">
        <v>1503.8794358667649</v>
      </c>
      <c r="P176" s="290">
        <v>1503.8794358667649</v>
      </c>
      <c r="Q176" s="290">
        <v>1503.8794358667649</v>
      </c>
      <c r="R176" s="291">
        <f>'Unit Savings Calculations'!$G172</f>
        <v>0.92</v>
      </c>
      <c r="S176" s="291">
        <f>'Unit Savings Calculations'!$G172</f>
        <v>0.92</v>
      </c>
      <c r="T176" s="291">
        <f>'Unit Savings Calculations'!$G172</f>
        <v>0.92</v>
      </c>
      <c r="U176" s="291">
        <f>'Unit Savings Calculations'!$G172</f>
        <v>0.92</v>
      </c>
      <c r="V176" s="292">
        <f t="shared" si="104"/>
        <v>0</v>
      </c>
      <c r="W176" s="292">
        <f t="shared" si="105"/>
        <v>0</v>
      </c>
      <c r="X176" s="292">
        <f t="shared" si="106"/>
        <v>0</v>
      </c>
      <c r="Y176" s="292">
        <f t="shared" si="107"/>
        <v>0</v>
      </c>
      <c r="Z176" s="292">
        <f t="shared" si="108"/>
        <v>0</v>
      </c>
      <c r="AA176" s="287"/>
      <c r="AB176" s="287"/>
      <c r="AC176" s="293">
        <f>'Unit Savings Calculations'!N172</f>
        <v>1672.9098308667649</v>
      </c>
      <c r="AD176" s="287"/>
      <c r="AE176" s="292">
        <f t="shared" si="72"/>
        <v>0</v>
      </c>
      <c r="AF176" s="289">
        <f t="shared" si="73"/>
        <v>0</v>
      </c>
      <c r="AG176" s="287"/>
      <c r="AH176" s="287">
        <f t="shared" si="74"/>
        <v>0</v>
      </c>
      <c r="AI176" s="290">
        <f>'Unit Savings Calculations'!O172</f>
        <v>1672.9098308667649</v>
      </c>
      <c r="AJ176" s="287" t="s">
        <v>872</v>
      </c>
      <c r="AK176" s="292">
        <f t="shared" si="75"/>
        <v>0</v>
      </c>
      <c r="AL176" s="289">
        <f t="shared" si="76"/>
        <v>0</v>
      </c>
      <c r="AM176" s="287"/>
      <c r="AN176" s="287"/>
      <c r="AO176" s="290">
        <f>'Unit Savings Calculations'!P172</f>
        <v>1672.9098308667649</v>
      </c>
      <c r="AP176" s="287" t="s">
        <v>764</v>
      </c>
      <c r="AQ176" s="292">
        <f t="shared" si="77"/>
        <v>0</v>
      </c>
      <c r="AR176" s="289">
        <f t="shared" si="78"/>
        <v>0</v>
      </c>
      <c r="AS176" s="287"/>
      <c r="AT176" s="287"/>
      <c r="AU176" s="290">
        <f>'Unit Savings Calculations'!Q172</f>
        <v>1672.9098308667649</v>
      </c>
      <c r="AV176" s="287" t="str">
        <f t="shared" si="79"/>
        <v>n/a</v>
      </c>
      <c r="AW176" s="292">
        <f t="shared" si="80"/>
        <v>0</v>
      </c>
      <c r="AX176" s="289">
        <f t="shared" si="81"/>
        <v>0</v>
      </c>
      <c r="AY176" s="292">
        <f t="shared" si="82"/>
        <v>0</v>
      </c>
      <c r="AZ176" s="292">
        <f t="shared" si="83"/>
        <v>0</v>
      </c>
      <c r="BA176" s="292">
        <f t="shared" si="84"/>
        <v>0</v>
      </c>
      <c r="BB176" s="292">
        <f t="shared" si="85"/>
        <v>0</v>
      </c>
      <c r="BC176" s="294">
        <f t="shared" si="86"/>
        <v>0</v>
      </c>
      <c r="BD176" s="287" t="s">
        <v>764</v>
      </c>
      <c r="BE176" s="295" t="str">
        <f t="shared" si="87"/>
        <v>Exhibit 1.5B_R Peoples Gas EEPS_Adjustable_Savings_Goal_Template.xlsx, Food Equipment Tab</v>
      </c>
      <c r="BF176" s="297"/>
    </row>
    <row r="177" spans="1:58" ht="13.5" customHeight="1">
      <c r="A177" s="287" t="str">
        <f>'Unit Savings Calculations'!C173</f>
        <v>Bus - SB Rebates</v>
      </c>
      <c r="B177" s="287" t="str">
        <f>'Unit Savings Calculations'!D173</f>
        <v>Heat Recovery Grease Trap Filter</v>
      </c>
      <c r="C177" s="288">
        <f t="shared" si="88"/>
        <v>1</v>
      </c>
      <c r="D177" s="287" t="str">
        <f>'Unit Savings Calculations'!T173</f>
        <v>4.3.9</v>
      </c>
      <c r="E177" s="287">
        <f>INDEX('Unit Savings Calculations'!$H$4:$H$421,MATCH('Measure-Level Adjustments Tab'!$A177&amp;"_"&amp;'Measure-Level Adjustments Tab'!$B177,'Unit Savings Calculations'!$A$4:$A$421,0))</f>
        <v>15</v>
      </c>
      <c r="F177" s="287">
        <f>INDEX('Unit Savings Calculations'!$I$4:$I$421,MATCH('Measure-Level Adjustments Tab'!A177&amp;"_"&amp;'Measure-Level Adjustments Tab'!B177,'Unit Savings Calculations'!$A$4:$A$421,0))</f>
        <v>15</v>
      </c>
      <c r="G177" s="287" t="str">
        <f>'Unit Savings Calculations'!E173</f>
        <v>each</v>
      </c>
      <c r="H177" s="289">
        <f>'Unit Savings Calculations'!$F173*'Unit Savings Calculations'!J173</f>
        <v>50</v>
      </c>
      <c r="I177" s="289">
        <f>'Unit Savings Calculations'!$F173*'Unit Savings Calculations'!K173</f>
        <v>50</v>
      </c>
      <c r="J177" s="289">
        <f>'Unit Savings Calculations'!$F173*'Unit Savings Calculations'!L173</f>
        <v>50</v>
      </c>
      <c r="K177" s="289">
        <f>'Unit Savings Calculations'!$F173*'Unit Savings Calculations'!M173</f>
        <v>50</v>
      </c>
      <c r="L177" s="287" t="str">
        <f>'Unit Savings Calculations'!U173</f>
        <v>CI-HW-GRTF-V01-160601</v>
      </c>
      <c r="M177" s="363" t="s">
        <v>830</v>
      </c>
      <c r="N177" s="290">
        <v>1757.3025600000001</v>
      </c>
      <c r="O177" s="290">
        <v>1757.3025600000001</v>
      </c>
      <c r="P177" s="290">
        <v>1757.3025600000001</v>
      </c>
      <c r="Q177" s="290">
        <v>1757.3025600000001</v>
      </c>
      <c r="R177" s="291">
        <f>'Unit Savings Calculations'!$G173</f>
        <v>0.92</v>
      </c>
      <c r="S177" s="291">
        <f>'Unit Savings Calculations'!$G173</f>
        <v>0.92</v>
      </c>
      <c r="T177" s="291">
        <f>'Unit Savings Calculations'!$G173</f>
        <v>0.92</v>
      </c>
      <c r="U177" s="291">
        <f>'Unit Savings Calculations'!$G173</f>
        <v>0.92</v>
      </c>
      <c r="V177" s="292">
        <f t="shared" si="104"/>
        <v>80835.917759999997</v>
      </c>
      <c r="W177" s="292">
        <f t="shared" si="105"/>
        <v>80835.917759999997</v>
      </c>
      <c r="X177" s="292">
        <f t="shared" si="106"/>
        <v>80835.917759999997</v>
      </c>
      <c r="Y177" s="292">
        <f t="shared" si="107"/>
        <v>80835.917759999997</v>
      </c>
      <c r="Z177" s="292">
        <f t="shared" si="108"/>
        <v>323343.67103999999</v>
      </c>
      <c r="AA177" s="287"/>
      <c r="AB177" s="287"/>
      <c r="AC177" s="293">
        <f>'Unit Savings Calculations'!N173</f>
        <v>1757.3025600000001</v>
      </c>
      <c r="AD177" s="287"/>
      <c r="AE177" s="292">
        <f t="shared" si="72"/>
        <v>80835.917759999997</v>
      </c>
      <c r="AF177" s="289">
        <f t="shared" si="73"/>
        <v>0</v>
      </c>
      <c r="AG177" s="287"/>
      <c r="AH177" s="287">
        <f t="shared" si="74"/>
        <v>0</v>
      </c>
      <c r="AI177" s="290">
        <f>'Unit Savings Calculations'!O173</f>
        <v>1757.3025600000001</v>
      </c>
      <c r="AJ177" s="287" t="s">
        <v>872</v>
      </c>
      <c r="AK177" s="292">
        <f t="shared" si="75"/>
        <v>80835.917759999997</v>
      </c>
      <c r="AL177" s="289">
        <f t="shared" si="76"/>
        <v>0</v>
      </c>
      <c r="AM177" s="287"/>
      <c r="AN177" s="287"/>
      <c r="AO177" s="290">
        <f>'Unit Savings Calculations'!P173</f>
        <v>1757.3025600000001</v>
      </c>
      <c r="AP177" s="287" t="s">
        <v>764</v>
      </c>
      <c r="AQ177" s="292">
        <f t="shared" si="77"/>
        <v>80835.917759999997</v>
      </c>
      <c r="AR177" s="289">
        <f t="shared" si="78"/>
        <v>0</v>
      </c>
      <c r="AS177" s="287"/>
      <c r="AT177" s="287"/>
      <c r="AU177" s="290">
        <f>'Unit Savings Calculations'!Q173</f>
        <v>1757.3025600000001</v>
      </c>
      <c r="AV177" s="287" t="str">
        <f t="shared" si="79"/>
        <v>n/a</v>
      </c>
      <c r="AW177" s="292">
        <f t="shared" si="80"/>
        <v>80835.917759999997</v>
      </c>
      <c r="AX177" s="289">
        <f t="shared" si="81"/>
        <v>0</v>
      </c>
      <c r="AY177" s="292">
        <f t="shared" si="82"/>
        <v>80835.917759999997</v>
      </c>
      <c r="AZ177" s="292">
        <f t="shared" si="83"/>
        <v>80835.917759999997</v>
      </c>
      <c r="BA177" s="292">
        <f t="shared" si="84"/>
        <v>80835.917759999997</v>
      </c>
      <c r="BB177" s="292">
        <f t="shared" si="85"/>
        <v>80835.917759999997</v>
      </c>
      <c r="BC177" s="294">
        <f t="shared" si="86"/>
        <v>323343.67103999999</v>
      </c>
      <c r="BD177" s="287" t="s">
        <v>764</v>
      </c>
      <c r="BE177" s="295" t="str">
        <f t="shared" si="87"/>
        <v>Exhibit 1.5B_R Peoples Gas EEPS_Adjustable_Savings_Goal_Template.xlsx, Unit Savings Calculations Tab</v>
      </c>
      <c r="BF177" s="297"/>
    </row>
    <row r="178" spans="1:58" ht="13.5" customHeight="1">
      <c r="A178" s="287" t="str">
        <f>'Unit Savings Calculations'!C174</f>
        <v>Bus - SB Rebates</v>
      </c>
      <c r="B178" s="287" t="str">
        <f>'Unit Savings Calculations'!D174</f>
        <v>Infrared Charbroiler</v>
      </c>
      <c r="C178" s="288">
        <f t="shared" si="88"/>
        <v>1</v>
      </c>
      <c r="D178" s="287" t="str">
        <f>'Unit Savings Calculations'!T174</f>
        <v>4.2.12</v>
      </c>
      <c r="E178" s="287">
        <f>INDEX('Unit Savings Calculations'!$H$4:$H$421,MATCH('Measure-Level Adjustments Tab'!$A178&amp;"_"&amp;'Measure-Level Adjustments Tab'!$B178,'Unit Savings Calculations'!$A$4:$A$421,0))</f>
        <v>12</v>
      </c>
      <c r="F178" s="287">
        <f>INDEX('Unit Savings Calculations'!$I$4:$I$421,MATCH('Measure-Level Adjustments Tab'!A178&amp;"_"&amp;'Measure-Level Adjustments Tab'!B178,'Unit Savings Calculations'!$A$4:$A$421,0))</f>
        <v>12</v>
      </c>
      <c r="G178" s="287" t="str">
        <f>'Unit Savings Calculations'!E174</f>
        <v>each</v>
      </c>
      <c r="H178" s="289">
        <f>'Unit Savings Calculations'!$F174*'Unit Savings Calculations'!J174</f>
        <v>60</v>
      </c>
      <c r="I178" s="289">
        <f>'Unit Savings Calculations'!$F174*'Unit Savings Calculations'!K174</f>
        <v>60</v>
      </c>
      <c r="J178" s="289">
        <f>'Unit Savings Calculations'!$F174*'Unit Savings Calculations'!L174</f>
        <v>60</v>
      </c>
      <c r="K178" s="289">
        <f>'Unit Savings Calculations'!$F174*'Unit Savings Calculations'!M174</f>
        <v>60</v>
      </c>
      <c r="L178" s="287" t="str">
        <f>'Unit Savings Calculations'!U174</f>
        <v>CI-FSE-IRCB-V02-180101</v>
      </c>
      <c r="M178" s="363" t="s">
        <v>830</v>
      </c>
      <c r="N178" s="290">
        <v>706.68</v>
      </c>
      <c r="O178" s="290">
        <v>706.68</v>
      </c>
      <c r="P178" s="290">
        <v>706.68</v>
      </c>
      <c r="Q178" s="290">
        <v>706.68</v>
      </c>
      <c r="R178" s="291">
        <f>'Unit Savings Calculations'!$G174</f>
        <v>0.92</v>
      </c>
      <c r="S178" s="291">
        <f>'Unit Savings Calculations'!$G174</f>
        <v>0.92</v>
      </c>
      <c r="T178" s="291">
        <f>'Unit Savings Calculations'!$G174</f>
        <v>0.92</v>
      </c>
      <c r="U178" s="291">
        <f>'Unit Savings Calculations'!$G174</f>
        <v>0.92</v>
      </c>
      <c r="V178" s="292">
        <f t="shared" si="104"/>
        <v>39008.735999999997</v>
      </c>
      <c r="W178" s="292">
        <f t="shared" si="105"/>
        <v>39008.735999999997</v>
      </c>
      <c r="X178" s="292">
        <f t="shared" si="106"/>
        <v>39008.735999999997</v>
      </c>
      <c r="Y178" s="292">
        <f t="shared" si="107"/>
        <v>39008.735999999997</v>
      </c>
      <c r="Z178" s="292">
        <f t="shared" si="108"/>
        <v>156034.94399999999</v>
      </c>
      <c r="AA178" s="287"/>
      <c r="AB178" s="287"/>
      <c r="AC178" s="293">
        <f>'Unit Savings Calculations'!N174</f>
        <v>706.68</v>
      </c>
      <c r="AD178" s="287"/>
      <c r="AE178" s="292">
        <f t="shared" si="72"/>
        <v>39008.735999999997</v>
      </c>
      <c r="AF178" s="289">
        <f t="shared" si="73"/>
        <v>0</v>
      </c>
      <c r="AG178" s="287"/>
      <c r="AH178" s="287">
        <f t="shared" si="74"/>
        <v>0</v>
      </c>
      <c r="AI178" s="290">
        <f>'Unit Savings Calculations'!O174</f>
        <v>706.68</v>
      </c>
      <c r="AJ178" s="287" t="s">
        <v>872</v>
      </c>
      <c r="AK178" s="292">
        <f t="shared" si="75"/>
        <v>39008.735999999997</v>
      </c>
      <c r="AL178" s="289">
        <f t="shared" si="76"/>
        <v>0</v>
      </c>
      <c r="AM178" s="287"/>
      <c r="AN178" s="287"/>
      <c r="AO178" s="290">
        <f>'Unit Savings Calculations'!P174</f>
        <v>706.68</v>
      </c>
      <c r="AP178" s="287" t="s">
        <v>764</v>
      </c>
      <c r="AQ178" s="292">
        <f t="shared" si="77"/>
        <v>39008.735999999997</v>
      </c>
      <c r="AR178" s="289">
        <f t="shared" si="78"/>
        <v>0</v>
      </c>
      <c r="AS178" s="287"/>
      <c r="AT178" s="287"/>
      <c r="AU178" s="290">
        <f>'Unit Savings Calculations'!Q174</f>
        <v>706.68</v>
      </c>
      <c r="AV178" s="287" t="str">
        <f t="shared" si="79"/>
        <v>n/a</v>
      </c>
      <c r="AW178" s="292">
        <f t="shared" si="80"/>
        <v>39008.735999999997</v>
      </c>
      <c r="AX178" s="289">
        <f t="shared" si="81"/>
        <v>0</v>
      </c>
      <c r="AY178" s="292">
        <f t="shared" si="82"/>
        <v>39008.735999999997</v>
      </c>
      <c r="AZ178" s="292">
        <f t="shared" si="83"/>
        <v>39008.735999999997</v>
      </c>
      <c r="BA178" s="292">
        <f t="shared" si="84"/>
        <v>39008.735999999997</v>
      </c>
      <c r="BB178" s="292">
        <f t="shared" si="85"/>
        <v>39008.735999999997</v>
      </c>
      <c r="BC178" s="294">
        <f t="shared" si="86"/>
        <v>156034.94399999999</v>
      </c>
      <c r="BD178" s="287" t="s">
        <v>764</v>
      </c>
      <c r="BE178" s="295" t="str">
        <f t="shared" si="87"/>
        <v>Exhibit 1.5B_R Peoples Gas EEPS_Adjustable_Savings_Goal_Template.xlsx, Unit Savings Calculations Tab</v>
      </c>
      <c r="BF178" s="297"/>
    </row>
    <row r="179" spans="1:58" ht="13.5" customHeight="1">
      <c r="A179" s="287" t="str">
        <f>'Unit Savings Calculations'!C175</f>
        <v>Bus - SB Rebates</v>
      </c>
      <c r="B179" s="287" t="str">
        <f>'Unit Savings Calculations'!D175</f>
        <v>Infrared Rotisserie Oven</v>
      </c>
      <c r="C179" s="288">
        <f t="shared" si="88"/>
        <v>1</v>
      </c>
      <c r="D179" s="287" t="str">
        <f>'Unit Savings Calculations'!T175</f>
        <v>4.2.13</v>
      </c>
      <c r="E179" s="287">
        <f>INDEX('Unit Savings Calculations'!$H$4:$H$421,MATCH('Measure-Level Adjustments Tab'!$A179&amp;"_"&amp;'Measure-Level Adjustments Tab'!$B179,'Unit Savings Calculations'!$A$4:$A$421,0))</f>
        <v>12</v>
      </c>
      <c r="F179" s="287">
        <f>INDEX('Unit Savings Calculations'!$I$4:$I$421,MATCH('Measure-Level Adjustments Tab'!A179&amp;"_"&amp;'Measure-Level Adjustments Tab'!B179,'Unit Savings Calculations'!$A$4:$A$421,0))</f>
        <v>12</v>
      </c>
      <c r="G179" s="287" t="str">
        <f>'Unit Savings Calculations'!E175</f>
        <v>each</v>
      </c>
      <c r="H179" s="289">
        <f>'Unit Savings Calculations'!$F175*'Unit Savings Calculations'!J175</f>
        <v>65</v>
      </c>
      <c r="I179" s="289">
        <f>'Unit Savings Calculations'!$F175*'Unit Savings Calculations'!K175</f>
        <v>65</v>
      </c>
      <c r="J179" s="289">
        <f>'Unit Savings Calculations'!$F175*'Unit Savings Calculations'!L175</f>
        <v>65</v>
      </c>
      <c r="K179" s="289">
        <f>'Unit Savings Calculations'!$F175*'Unit Savings Calculations'!M175</f>
        <v>65</v>
      </c>
      <c r="L179" s="287" t="str">
        <f>'Unit Savings Calculations'!U175</f>
        <v>CI-FSE-IROV-V02-180101</v>
      </c>
      <c r="M179" s="363" t="s">
        <v>830</v>
      </c>
      <c r="N179" s="290">
        <v>599.04</v>
      </c>
      <c r="O179" s="290">
        <v>599.04</v>
      </c>
      <c r="P179" s="290">
        <v>599.04</v>
      </c>
      <c r="Q179" s="290">
        <v>599.04</v>
      </c>
      <c r="R179" s="291">
        <f>'Unit Savings Calculations'!$G175</f>
        <v>0.92</v>
      </c>
      <c r="S179" s="291">
        <f>'Unit Savings Calculations'!$G175</f>
        <v>0.92</v>
      </c>
      <c r="T179" s="291">
        <f>'Unit Savings Calculations'!$G175</f>
        <v>0.92</v>
      </c>
      <c r="U179" s="291">
        <f>'Unit Savings Calculations'!$G175</f>
        <v>0.92</v>
      </c>
      <c r="V179" s="292">
        <f t="shared" si="104"/>
        <v>35822.591999999997</v>
      </c>
      <c r="W179" s="292">
        <f t="shared" si="105"/>
        <v>35822.591999999997</v>
      </c>
      <c r="X179" s="292">
        <f t="shared" si="106"/>
        <v>35822.591999999997</v>
      </c>
      <c r="Y179" s="292">
        <f t="shared" si="107"/>
        <v>35822.591999999997</v>
      </c>
      <c r="Z179" s="292">
        <f t="shared" si="108"/>
        <v>143290.36799999999</v>
      </c>
      <c r="AA179" s="287"/>
      <c r="AB179" s="287"/>
      <c r="AC179" s="293">
        <f>'Unit Savings Calculations'!N175</f>
        <v>599.04</v>
      </c>
      <c r="AD179" s="287"/>
      <c r="AE179" s="292">
        <f t="shared" si="72"/>
        <v>35822.591999999997</v>
      </c>
      <c r="AF179" s="289">
        <f t="shared" si="73"/>
        <v>0</v>
      </c>
      <c r="AG179" s="287"/>
      <c r="AH179" s="287">
        <f t="shared" si="74"/>
        <v>0</v>
      </c>
      <c r="AI179" s="290">
        <f>'Unit Savings Calculations'!O175</f>
        <v>599.04</v>
      </c>
      <c r="AJ179" s="287" t="s">
        <v>872</v>
      </c>
      <c r="AK179" s="292">
        <f t="shared" si="75"/>
        <v>35822.591999999997</v>
      </c>
      <c r="AL179" s="289">
        <f t="shared" si="76"/>
        <v>0</v>
      </c>
      <c r="AM179" s="287"/>
      <c r="AN179" s="287"/>
      <c r="AO179" s="290">
        <f>'Unit Savings Calculations'!P175</f>
        <v>599.04</v>
      </c>
      <c r="AP179" s="287" t="s">
        <v>764</v>
      </c>
      <c r="AQ179" s="292">
        <f t="shared" si="77"/>
        <v>35822.591999999997</v>
      </c>
      <c r="AR179" s="289">
        <f t="shared" si="78"/>
        <v>0</v>
      </c>
      <c r="AS179" s="287"/>
      <c r="AT179" s="287"/>
      <c r="AU179" s="290">
        <f>'Unit Savings Calculations'!Q175</f>
        <v>599.04</v>
      </c>
      <c r="AV179" s="287" t="str">
        <f t="shared" si="79"/>
        <v>n/a</v>
      </c>
      <c r="AW179" s="292">
        <f t="shared" si="80"/>
        <v>35822.591999999997</v>
      </c>
      <c r="AX179" s="289">
        <f t="shared" si="81"/>
        <v>0</v>
      </c>
      <c r="AY179" s="292">
        <f t="shared" si="82"/>
        <v>35822.591999999997</v>
      </c>
      <c r="AZ179" s="292">
        <f t="shared" si="83"/>
        <v>35822.591999999997</v>
      </c>
      <c r="BA179" s="292">
        <f t="shared" si="84"/>
        <v>35822.591999999997</v>
      </c>
      <c r="BB179" s="292">
        <f t="shared" si="85"/>
        <v>35822.591999999997</v>
      </c>
      <c r="BC179" s="294">
        <f t="shared" si="86"/>
        <v>143290.36799999999</v>
      </c>
      <c r="BD179" s="287" t="s">
        <v>764</v>
      </c>
      <c r="BE179" s="295" t="str">
        <f t="shared" si="87"/>
        <v>Exhibit 1.5B_R Peoples Gas EEPS_Adjustable_Savings_Goal_Template.xlsx, Unit Savings Calculations Tab</v>
      </c>
      <c r="BF179" s="297"/>
    </row>
    <row r="180" spans="1:58" ht="13.5" customHeight="1">
      <c r="A180" s="287" t="str">
        <f>'Unit Savings Calculations'!C176</f>
        <v>Bus - SB Rebates</v>
      </c>
      <c r="B180" s="287" t="str">
        <f>'Unit Savings Calculations'!D176</f>
        <v>Infrared Salamander Broiler</v>
      </c>
      <c r="C180" s="288">
        <f t="shared" si="88"/>
        <v>1</v>
      </c>
      <c r="D180" s="287" t="str">
        <f>'Unit Savings Calculations'!T176</f>
        <v>4.2.14</v>
      </c>
      <c r="E180" s="287">
        <f>INDEX('Unit Savings Calculations'!$H$4:$H$421,MATCH('Measure-Level Adjustments Tab'!$A180&amp;"_"&amp;'Measure-Level Adjustments Tab'!$B180,'Unit Savings Calculations'!$A$4:$A$421,0))</f>
        <v>12</v>
      </c>
      <c r="F180" s="287">
        <f>INDEX('Unit Savings Calculations'!$I$4:$I$421,MATCH('Measure-Level Adjustments Tab'!A180&amp;"_"&amp;'Measure-Level Adjustments Tab'!B180,'Unit Savings Calculations'!$A$4:$A$421,0))</f>
        <v>12</v>
      </c>
      <c r="G180" s="287" t="str">
        <f>'Unit Savings Calculations'!E176</f>
        <v>each</v>
      </c>
      <c r="H180" s="289">
        <f>'Unit Savings Calculations'!$F176*'Unit Savings Calculations'!J176</f>
        <v>100</v>
      </c>
      <c r="I180" s="289">
        <f>'Unit Savings Calculations'!$F176*'Unit Savings Calculations'!K176</f>
        <v>100</v>
      </c>
      <c r="J180" s="289">
        <f>'Unit Savings Calculations'!$F176*'Unit Savings Calculations'!L176</f>
        <v>100</v>
      </c>
      <c r="K180" s="289">
        <f>'Unit Savings Calculations'!$F176*'Unit Savings Calculations'!M176</f>
        <v>100</v>
      </c>
      <c r="L180" s="287" t="str">
        <f>'Unit Savings Calculations'!U176</f>
        <v>CI-FSE-IRBL-V02-180101</v>
      </c>
      <c r="M180" s="363" t="s">
        <v>830</v>
      </c>
      <c r="N180" s="290">
        <v>240.24</v>
      </c>
      <c r="O180" s="290">
        <v>240.24</v>
      </c>
      <c r="P180" s="290">
        <v>240.24</v>
      </c>
      <c r="Q180" s="290">
        <v>240.24</v>
      </c>
      <c r="R180" s="291">
        <f>'Unit Savings Calculations'!$G176</f>
        <v>0.92</v>
      </c>
      <c r="S180" s="291">
        <f>'Unit Savings Calculations'!$G176</f>
        <v>0.92</v>
      </c>
      <c r="T180" s="291">
        <f>'Unit Savings Calculations'!$G176</f>
        <v>0.92</v>
      </c>
      <c r="U180" s="291">
        <f>'Unit Savings Calculations'!$G176</f>
        <v>0.92</v>
      </c>
      <c r="V180" s="292">
        <f t="shared" si="104"/>
        <v>22102.080000000002</v>
      </c>
      <c r="W180" s="292">
        <f t="shared" si="105"/>
        <v>22102.080000000002</v>
      </c>
      <c r="X180" s="292">
        <f t="shared" si="106"/>
        <v>22102.080000000002</v>
      </c>
      <c r="Y180" s="292">
        <f t="shared" si="107"/>
        <v>22102.080000000002</v>
      </c>
      <c r="Z180" s="292">
        <f t="shared" si="108"/>
        <v>88408.320000000007</v>
      </c>
      <c r="AA180" s="287"/>
      <c r="AB180" s="287"/>
      <c r="AC180" s="293">
        <f>'Unit Savings Calculations'!N176</f>
        <v>240.24</v>
      </c>
      <c r="AD180" s="287"/>
      <c r="AE180" s="292">
        <f t="shared" si="72"/>
        <v>22102.080000000002</v>
      </c>
      <c r="AF180" s="289">
        <f t="shared" si="73"/>
        <v>0</v>
      </c>
      <c r="AG180" s="287"/>
      <c r="AH180" s="287">
        <f t="shared" si="74"/>
        <v>0</v>
      </c>
      <c r="AI180" s="290">
        <f>'Unit Savings Calculations'!O176</f>
        <v>240.24</v>
      </c>
      <c r="AJ180" s="287" t="s">
        <v>872</v>
      </c>
      <c r="AK180" s="292">
        <f t="shared" si="75"/>
        <v>22102.080000000002</v>
      </c>
      <c r="AL180" s="289">
        <f t="shared" si="76"/>
        <v>0</v>
      </c>
      <c r="AM180" s="287"/>
      <c r="AN180" s="287"/>
      <c r="AO180" s="290">
        <f>'Unit Savings Calculations'!P176</f>
        <v>240.24</v>
      </c>
      <c r="AP180" s="287" t="s">
        <v>764</v>
      </c>
      <c r="AQ180" s="292">
        <f t="shared" si="77"/>
        <v>22102.080000000002</v>
      </c>
      <c r="AR180" s="289">
        <f t="shared" si="78"/>
        <v>0</v>
      </c>
      <c r="AS180" s="287"/>
      <c r="AT180" s="287"/>
      <c r="AU180" s="290">
        <f>'Unit Savings Calculations'!Q176</f>
        <v>240.24</v>
      </c>
      <c r="AV180" s="287" t="str">
        <f t="shared" si="79"/>
        <v>n/a</v>
      </c>
      <c r="AW180" s="292">
        <f t="shared" si="80"/>
        <v>22102.080000000002</v>
      </c>
      <c r="AX180" s="289">
        <f t="shared" si="81"/>
        <v>0</v>
      </c>
      <c r="AY180" s="292">
        <f t="shared" si="82"/>
        <v>22102.080000000002</v>
      </c>
      <c r="AZ180" s="292">
        <f t="shared" si="83"/>
        <v>22102.080000000002</v>
      </c>
      <c r="BA180" s="292">
        <f t="shared" si="84"/>
        <v>22102.080000000002</v>
      </c>
      <c r="BB180" s="292">
        <f t="shared" si="85"/>
        <v>22102.080000000002</v>
      </c>
      <c r="BC180" s="294">
        <f t="shared" si="86"/>
        <v>88408.320000000007</v>
      </c>
      <c r="BD180" s="287" t="s">
        <v>764</v>
      </c>
      <c r="BE180" s="295" t="str">
        <f t="shared" si="87"/>
        <v>Exhibit 1.5B_R Peoples Gas EEPS_Adjustable_Savings_Goal_Template.xlsx, Unit Savings Calculations Tab</v>
      </c>
      <c r="BF180" s="297"/>
    </row>
    <row r="181" spans="1:58" ht="13.5" customHeight="1">
      <c r="A181" s="287" t="str">
        <f>'Unit Savings Calculations'!C177</f>
        <v>Bus - SB Rebates</v>
      </c>
      <c r="B181" s="287" t="str">
        <f>'Unit Savings Calculations'!D177</f>
        <v>Infrared Upright Broiler</v>
      </c>
      <c r="C181" s="288">
        <f t="shared" si="88"/>
        <v>1</v>
      </c>
      <c r="D181" s="287" t="str">
        <f>'Unit Savings Calculations'!T177</f>
        <v>4.2.15</v>
      </c>
      <c r="E181" s="287">
        <f>INDEX('Unit Savings Calculations'!$H$4:$H$421,MATCH('Measure-Level Adjustments Tab'!$A181&amp;"_"&amp;'Measure-Level Adjustments Tab'!$B181,'Unit Savings Calculations'!$A$4:$A$421,0))</f>
        <v>12</v>
      </c>
      <c r="F181" s="287">
        <f>INDEX('Unit Savings Calculations'!$I$4:$I$421,MATCH('Measure-Level Adjustments Tab'!A181&amp;"_"&amp;'Measure-Level Adjustments Tab'!B181,'Unit Savings Calculations'!$A$4:$A$421,0))</f>
        <v>12</v>
      </c>
      <c r="G181" s="287" t="str">
        <f>'Unit Savings Calculations'!E177</f>
        <v>each</v>
      </c>
      <c r="H181" s="289">
        <f>'Unit Savings Calculations'!$F177*'Unit Savings Calculations'!J177</f>
        <v>0</v>
      </c>
      <c r="I181" s="289">
        <f>'Unit Savings Calculations'!$F177*'Unit Savings Calculations'!K177</f>
        <v>0</v>
      </c>
      <c r="J181" s="289">
        <f>'Unit Savings Calculations'!$F177*'Unit Savings Calculations'!L177</f>
        <v>0</v>
      </c>
      <c r="K181" s="289">
        <f>'Unit Savings Calculations'!$F177*'Unit Savings Calculations'!M177</f>
        <v>0</v>
      </c>
      <c r="L181" s="287" t="str">
        <f>'Unit Savings Calculations'!U177</f>
        <v>CI-FSE-IRUB-V02-180101</v>
      </c>
      <c r="M181" s="363" t="s">
        <v>830</v>
      </c>
      <c r="N181" s="290">
        <v>943.48800000000006</v>
      </c>
      <c r="O181" s="290">
        <v>943.48800000000006</v>
      </c>
      <c r="P181" s="290">
        <v>943.48800000000006</v>
      </c>
      <c r="Q181" s="290">
        <v>943.48800000000006</v>
      </c>
      <c r="R181" s="291">
        <f>'Unit Savings Calculations'!$G177</f>
        <v>0.92</v>
      </c>
      <c r="S181" s="291">
        <f>'Unit Savings Calculations'!$G177</f>
        <v>0.92</v>
      </c>
      <c r="T181" s="291">
        <f>'Unit Savings Calculations'!$G177</f>
        <v>0.92</v>
      </c>
      <c r="U181" s="291">
        <f>'Unit Savings Calculations'!$G177</f>
        <v>0.92</v>
      </c>
      <c r="V181" s="292">
        <f t="shared" si="104"/>
        <v>0</v>
      </c>
      <c r="W181" s="292">
        <f t="shared" si="105"/>
        <v>0</v>
      </c>
      <c r="X181" s="292">
        <f t="shared" si="106"/>
        <v>0</v>
      </c>
      <c r="Y181" s="292">
        <f t="shared" si="107"/>
        <v>0</v>
      </c>
      <c r="Z181" s="292">
        <f t="shared" si="108"/>
        <v>0</v>
      </c>
      <c r="AA181" s="287"/>
      <c r="AB181" s="287"/>
      <c r="AC181" s="293">
        <f>'Unit Savings Calculations'!N177</f>
        <v>943.48800000000006</v>
      </c>
      <c r="AD181" s="287"/>
      <c r="AE181" s="292">
        <f t="shared" si="72"/>
        <v>0</v>
      </c>
      <c r="AF181" s="289">
        <f t="shared" si="73"/>
        <v>0</v>
      </c>
      <c r="AG181" s="287"/>
      <c r="AH181" s="287">
        <f t="shared" si="74"/>
        <v>0</v>
      </c>
      <c r="AI181" s="290">
        <f>'Unit Savings Calculations'!O177</f>
        <v>943.48800000000006</v>
      </c>
      <c r="AJ181" s="287" t="s">
        <v>872</v>
      </c>
      <c r="AK181" s="292">
        <f t="shared" si="75"/>
        <v>0</v>
      </c>
      <c r="AL181" s="289">
        <f t="shared" si="76"/>
        <v>0</v>
      </c>
      <c r="AM181" s="287"/>
      <c r="AN181" s="287"/>
      <c r="AO181" s="290">
        <f>'Unit Savings Calculations'!P177</f>
        <v>943.48800000000006</v>
      </c>
      <c r="AP181" s="287" t="s">
        <v>764</v>
      </c>
      <c r="AQ181" s="292">
        <f t="shared" si="77"/>
        <v>0</v>
      </c>
      <c r="AR181" s="289">
        <f t="shared" si="78"/>
        <v>0</v>
      </c>
      <c r="AS181" s="287"/>
      <c r="AT181" s="287"/>
      <c r="AU181" s="290">
        <f>'Unit Savings Calculations'!Q177</f>
        <v>943.48800000000006</v>
      </c>
      <c r="AV181" s="287" t="str">
        <f t="shared" si="79"/>
        <v>n/a</v>
      </c>
      <c r="AW181" s="292">
        <f t="shared" si="80"/>
        <v>0</v>
      </c>
      <c r="AX181" s="289">
        <f t="shared" si="81"/>
        <v>0</v>
      </c>
      <c r="AY181" s="292">
        <f t="shared" si="82"/>
        <v>0</v>
      </c>
      <c r="AZ181" s="292">
        <f t="shared" si="83"/>
        <v>0</v>
      </c>
      <c r="BA181" s="292">
        <f t="shared" si="84"/>
        <v>0</v>
      </c>
      <c r="BB181" s="292">
        <f t="shared" si="85"/>
        <v>0</v>
      </c>
      <c r="BC181" s="294">
        <f t="shared" si="86"/>
        <v>0</v>
      </c>
      <c r="BD181" s="287" t="s">
        <v>764</v>
      </c>
      <c r="BE181" s="295" t="str">
        <f t="shared" si="87"/>
        <v>Exhibit 1.5B_R Peoples Gas EEPS_Adjustable_Savings_Goal_Template.xlsx, Unit Savings Calculations Tab</v>
      </c>
      <c r="BF181" s="297"/>
    </row>
    <row r="182" spans="1:58" ht="13.5" customHeight="1">
      <c r="A182" s="287" t="str">
        <f>'Unit Savings Calculations'!C178</f>
        <v>Bus - SB Rebates</v>
      </c>
      <c r="B182" s="287" t="str">
        <f>'Unit Savings Calculations'!D178</f>
        <v>High Speed Washer - Hotel/Motel/Hospital</v>
      </c>
      <c r="C182" s="288">
        <f t="shared" si="88"/>
        <v>1</v>
      </c>
      <c r="D182" s="287" t="str">
        <f>'Unit Savings Calculations'!T178</f>
        <v>4.8.5</v>
      </c>
      <c r="E182" s="287">
        <f>INDEX('Unit Savings Calculations'!$H$4:$H$421,MATCH('Measure-Level Adjustments Tab'!$A182&amp;"_"&amp;'Measure-Level Adjustments Tab'!$B182,'Unit Savings Calculations'!$A$4:$A$421,0))</f>
        <v>7</v>
      </c>
      <c r="F182" s="287">
        <f>INDEX('Unit Savings Calculations'!$I$4:$I$421,MATCH('Measure-Level Adjustments Tab'!A182&amp;"_"&amp;'Measure-Level Adjustments Tab'!B182,'Unit Savings Calculations'!$A$4:$A$421,0))</f>
        <v>7</v>
      </c>
      <c r="G182" s="287" t="str">
        <f>'Unit Savings Calculations'!E178</f>
        <v>lb-capacity</v>
      </c>
      <c r="H182" s="289">
        <f>'Unit Savings Calculations'!$F178*'Unit Savings Calculations'!J178</f>
        <v>3750</v>
      </c>
      <c r="I182" s="289">
        <f>'Unit Savings Calculations'!$F178*'Unit Savings Calculations'!K178</f>
        <v>3750</v>
      </c>
      <c r="J182" s="289">
        <f>'Unit Savings Calculations'!$F178*'Unit Savings Calculations'!L178</f>
        <v>3750</v>
      </c>
      <c r="K182" s="289">
        <f>'Unit Savings Calculations'!$F178*'Unit Savings Calculations'!M178</f>
        <v>3750</v>
      </c>
      <c r="L182" s="287" t="str">
        <f>'Unit Savings Calculations'!U178</f>
        <v>CI-MSC-HSCW-V01-180101</v>
      </c>
      <c r="M182" s="363" t="s">
        <v>830</v>
      </c>
      <c r="N182" s="290">
        <v>11.243232000000003</v>
      </c>
      <c r="O182" s="290">
        <v>11.243232000000003</v>
      </c>
      <c r="P182" s="290">
        <v>11.243232000000003</v>
      </c>
      <c r="Q182" s="290">
        <v>11.243232000000003</v>
      </c>
      <c r="R182" s="291">
        <f>'Unit Savings Calculations'!$G178</f>
        <v>0.92</v>
      </c>
      <c r="S182" s="291">
        <f>'Unit Savings Calculations'!$G178</f>
        <v>0.92</v>
      </c>
      <c r="T182" s="291">
        <f>'Unit Savings Calculations'!$G178</f>
        <v>0.92</v>
      </c>
      <c r="U182" s="291">
        <f>'Unit Savings Calculations'!$G178</f>
        <v>0.92</v>
      </c>
      <c r="V182" s="292">
        <f t="shared" si="104"/>
        <v>38789.150400000013</v>
      </c>
      <c r="W182" s="292">
        <f t="shared" si="105"/>
        <v>38789.150400000013</v>
      </c>
      <c r="X182" s="292">
        <f t="shared" si="106"/>
        <v>38789.150400000013</v>
      </c>
      <c r="Y182" s="292">
        <f t="shared" si="107"/>
        <v>38789.150400000013</v>
      </c>
      <c r="Z182" s="292">
        <f t="shared" si="108"/>
        <v>155156.60160000005</v>
      </c>
      <c r="AA182" s="287"/>
      <c r="AB182" s="287"/>
      <c r="AC182" s="293">
        <f>'Unit Savings Calculations'!N178</f>
        <v>11.243232000000003</v>
      </c>
      <c r="AD182" s="287"/>
      <c r="AE182" s="292">
        <f t="shared" si="72"/>
        <v>38789.150400000013</v>
      </c>
      <c r="AF182" s="289">
        <f t="shared" si="73"/>
        <v>0</v>
      </c>
      <c r="AG182" s="287"/>
      <c r="AH182" s="287">
        <f t="shared" si="74"/>
        <v>0</v>
      </c>
      <c r="AI182" s="290">
        <f>'Unit Savings Calculations'!O178</f>
        <v>11.243232000000003</v>
      </c>
      <c r="AJ182" s="287" t="s">
        <v>872</v>
      </c>
      <c r="AK182" s="292">
        <f t="shared" si="75"/>
        <v>38789.150400000013</v>
      </c>
      <c r="AL182" s="289">
        <f t="shared" si="76"/>
        <v>0</v>
      </c>
      <c r="AM182" s="287"/>
      <c r="AN182" s="287"/>
      <c r="AO182" s="290">
        <f>'Unit Savings Calculations'!P178</f>
        <v>11.243232000000003</v>
      </c>
      <c r="AP182" s="287" t="s">
        <v>764</v>
      </c>
      <c r="AQ182" s="292">
        <f t="shared" si="77"/>
        <v>38789.150400000013</v>
      </c>
      <c r="AR182" s="289">
        <f t="shared" si="78"/>
        <v>0</v>
      </c>
      <c r="AS182" s="287"/>
      <c r="AT182" s="287"/>
      <c r="AU182" s="290">
        <f>'Unit Savings Calculations'!Q178</f>
        <v>11.243232000000003</v>
      </c>
      <c r="AV182" s="287" t="str">
        <f t="shared" si="79"/>
        <v>n/a</v>
      </c>
      <c r="AW182" s="292">
        <f t="shared" si="80"/>
        <v>38789.150400000013</v>
      </c>
      <c r="AX182" s="289">
        <f t="shared" si="81"/>
        <v>0</v>
      </c>
      <c r="AY182" s="292">
        <f t="shared" si="82"/>
        <v>38789.150400000013</v>
      </c>
      <c r="AZ182" s="292">
        <f t="shared" si="83"/>
        <v>38789.150400000013</v>
      </c>
      <c r="BA182" s="292">
        <f t="shared" si="84"/>
        <v>38789.150400000013</v>
      </c>
      <c r="BB182" s="292">
        <f t="shared" si="85"/>
        <v>38789.150400000013</v>
      </c>
      <c r="BC182" s="294">
        <f t="shared" si="86"/>
        <v>155156.60160000005</v>
      </c>
      <c r="BD182" s="287" t="s">
        <v>764</v>
      </c>
      <c r="BE182" s="295" t="str">
        <f t="shared" si="87"/>
        <v>Exhibit 1.5B_R Peoples Gas EEPS_Adjustable_Savings_Goal_Template.xlsx, Unit Savings Calculations Tab</v>
      </c>
      <c r="BF182" s="297"/>
    </row>
    <row r="183" spans="1:58" ht="13.5" customHeight="1">
      <c r="A183" s="287" t="str">
        <f>'Unit Savings Calculations'!C179</f>
        <v>Bus - SB Rebates</v>
      </c>
      <c r="B183" s="287" t="str">
        <f>'Unit Savings Calculations'!D179</f>
        <v>High Speed Washer - Laundromat</v>
      </c>
      <c r="C183" s="288">
        <f t="shared" si="88"/>
        <v>1</v>
      </c>
      <c r="D183" s="287" t="str">
        <f>'Unit Savings Calculations'!T179</f>
        <v>4.8.5</v>
      </c>
      <c r="E183" s="287">
        <f>INDEX('Unit Savings Calculations'!$H$4:$H$421,MATCH('Measure-Level Adjustments Tab'!$A183&amp;"_"&amp;'Measure-Level Adjustments Tab'!$B183,'Unit Savings Calculations'!$A$4:$A$421,0))</f>
        <v>7</v>
      </c>
      <c r="F183" s="287">
        <f>INDEX('Unit Savings Calculations'!$I$4:$I$421,MATCH('Measure-Level Adjustments Tab'!A183&amp;"_"&amp;'Measure-Level Adjustments Tab'!B183,'Unit Savings Calculations'!$A$4:$A$421,0))</f>
        <v>7</v>
      </c>
      <c r="G183" s="287" t="str">
        <f>'Unit Savings Calculations'!E179</f>
        <v>lb-capacity</v>
      </c>
      <c r="H183" s="289">
        <f>'Unit Savings Calculations'!$F179*'Unit Savings Calculations'!J179</f>
        <v>3750</v>
      </c>
      <c r="I183" s="289">
        <f>'Unit Savings Calculations'!$F179*'Unit Savings Calculations'!K179</f>
        <v>3750</v>
      </c>
      <c r="J183" s="289">
        <f>'Unit Savings Calculations'!$F179*'Unit Savings Calculations'!L179</f>
        <v>3750</v>
      </c>
      <c r="K183" s="289">
        <f>'Unit Savings Calculations'!$F179*'Unit Savings Calculations'!M179</f>
        <v>3750</v>
      </c>
      <c r="L183" s="287" t="str">
        <f>'Unit Savings Calculations'!U179</f>
        <v>CI-MSC-HSCW-V01-180101</v>
      </c>
      <c r="M183" s="363" t="s">
        <v>830</v>
      </c>
      <c r="N183" s="290">
        <v>4.648644</v>
      </c>
      <c r="O183" s="290">
        <v>4.648644</v>
      </c>
      <c r="P183" s="290">
        <v>4.648644</v>
      </c>
      <c r="Q183" s="290">
        <v>4.648644</v>
      </c>
      <c r="R183" s="291">
        <f>'Unit Savings Calculations'!$G179</f>
        <v>0.92</v>
      </c>
      <c r="S183" s="291">
        <f>'Unit Savings Calculations'!$G179</f>
        <v>0.92</v>
      </c>
      <c r="T183" s="291">
        <f>'Unit Savings Calculations'!$G179</f>
        <v>0.92</v>
      </c>
      <c r="U183" s="291">
        <f>'Unit Savings Calculations'!$G179</f>
        <v>0.92</v>
      </c>
      <c r="V183" s="292">
        <f t="shared" si="104"/>
        <v>16037.821800000002</v>
      </c>
      <c r="W183" s="292">
        <f t="shared" si="105"/>
        <v>16037.821800000002</v>
      </c>
      <c r="X183" s="292">
        <f t="shared" si="106"/>
        <v>16037.821800000002</v>
      </c>
      <c r="Y183" s="292">
        <f t="shared" si="107"/>
        <v>16037.821800000002</v>
      </c>
      <c r="Z183" s="292">
        <f t="shared" si="108"/>
        <v>64151.287200000006</v>
      </c>
      <c r="AA183" s="287"/>
      <c r="AB183" s="287"/>
      <c r="AC183" s="293">
        <f>'Unit Savings Calculations'!N179</f>
        <v>4.648644</v>
      </c>
      <c r="AD183" s="287"/>
      <c r="AE183" s="292">
        <f t="shared" si="72"/>
        <v>16037.821800000002</v>
      </c>
      <c r="AF183" s="289">
        <f t="shared" si="73"/>
        <v>0</v>
      </c>
      <c r="AG183" s="287"/>
      <c r="AH183" s="287">
        <f t="shared" si="74"/>
        <v>0</v>
      </c>
      <c r="AI183" s="290">
        <f>'Unit Savings Calculations'!O179</f>
        <v>4.648644</v>
      </c>
      <c r="AJ183" s="287" t="s">
        <v>872</v>
      </c>
      <c r="AK183" s="292">
        <f t="shared" si="75"/>
        <v>16037.821800000002</v>
      </c>
      <c r="AL183" s="289">
        <f t="shared" si="76"/>
        <v>0</v>
      </c>
      <c r="AM183" s="287"/>
      <c r="AN183" s="287"/>
      <c r="AO183" s="290">
        <f>'Unit Savings Calculations'!P179</f>
        <v>4.648644</v>
      </c>
      <c r="AP183" s="287" t="s">
        <v>764</v>
      </c>
      <c r="AQ183" s="292">
        <f t="shared" si="77"/>
        <v>16037.821800000002</v>
      </c>
      <c r="AR183" s="289">
        <f t="shared" si="78"/>
        <v>0</v>
      </c>
      <c r="AS183" s="287"/>
      <c r="AT183" s="287"/>
      <c r="AU183" s="290">
        <f>'Unit Savings Calculations'!Q179</f>
        <v>4.648644</v>
      </c>
      <c r="AV183" s="287" t="str">
        <f t="shared" si="79"/>
        <v>n/a</v>
      </c>
      <c r="AW183" s="292">
        <f t="shared" si="80"/>
        <v>16037.821800000002</v>
      </c>
      <c r="AX183" s="289">
        <f t="shared" si="81"/>
        <v>0</v>
      </c>
      <c r="AY183" s="292">
        <f t="shared" si="82"/>
        <v>16037.821800000002</v>
      </c>
      <c r="AZ183" s="292">
        <f t="shared" si="83"/>
        <v>16037.821800000002</v>
      </c>
      <c r="BA183" s="292">
        <f t="shared" si="84"/>
        <v>16037.821800000002</v>
      </c>
      <c r="BB183" s="292">
        <f t="shared" si="85"/>
        <v>16037.821800000002</v>
      </c>
      <c r="BC183" s="294">
        <f t="shared" si="86"/>
        <v>64151.287200000006</v>
      </c>
      <c r="BD183" s="287" t="s">
        <v>764</v>
      </c>
      <c r="BE183" s="295" t="str">
        <f t="shared" si="87"/>
        <v>Exhibit 1.5B_R Peoples Gas EEPS_Adjustable_Savings_Goal_Template.xlsx, Unit Savings Calculations Tab</v>
      </c>
      <c r="BF183" s="297"/>
    </row>
    <row r="184" spans="1:58" ht="13.5" customHeight="1">
      <c r="A184" s="287" t="str">
        <f>'Unit Savings Calculations'!C180</f>
        <v>Bus - SB Rebates</v>
      </c>
      <c r="B184" s="287" t="str">
        <f>'Unit Savings Calculations'!D180</f>
        <v>Infrared Heater</v>
      </c>
      <c r="C184" s="288">
        <f t="shared" si="88"/>
        <v>1</v>
      </c>
      <c r="D184" s="287" t="str">
        <f>'Unit Savings Calculations'!T180</f>
        <v>4.4.12</v>
      </c>
      <c r="E184" s="287">
        <f>INDEX('Unit Savings Calculations'!$H$4:$H$421,MATCH('Measure-Level Adjustments Tab'!$A184&amp;"_"&amp;'Measure-Level Adjustments Tab'!$B184,'Unit Savings Calculations'!$A$4:$A$421,0))</f>
        <v>12</v>
      </c>
      <c r="F184" s="287">
        <f>INDEX('Unit Savings Calculations'!$I$4:$I$421,MATCH('Measure-Level Adjustments Tab'!A184&amp;"_"&amp;'Measure-Level Adjustments Tab'!B184,'Unit Savings Calculations'!$A$4:$A$421,0))</f>
        <v>12</v>
      </c>
      <c r="G184" s="287" t="str">
        <f>'Unit Savings Calculations'!E180</f>
        <v>MBH</v>
      </c>
      <c r="H184" s="289">
        <f>'Unit Savings Calculations'!$F180*'Unit Savings Calculations'!J180</f>
        <v>0</v>
      </c>
      <c r="I184" s="289">
        <f>'Unit Savings Calculations'!$F180*'Unit Savings Calculations'!K180</f>
        <v>0</v>
      </c>
      <c r="J184" s="289">
        <f>'Unit Savings Calculations'!$F180*'Unit Savings Calculations'!L180</f>
        <v>0</v>
      </c>
      <c r="K184" s="289">
        <f>'Unit Savings Calculations'!$F180*'Unit Savings Calculations'!M180</f>
        <v>0</v>
      </c>
      <c r="L184" s="287" t="str">
        <f>'Unit Savings Calculations'!U180</f>
        <v>CI-HVC-IRHT-V01-120601</v>
      </c>
      <c r="M184" s="363" t="s">
        <v>830</v>
      </c>
      <c r="N184" s="290">
        <v>3.0066666666666668</v>
      </c>
      <c r="O184" s="290">
        <v>3.0066666666666668</v>
      </c>
      <c r="P184" s="290">
        <v>3.0066666666666668</v>
      </c>
      <c r="Q184" s="290">
        <v>3.0066666666666668</v>
      </c>
      <c r="R184" s="291">
        <f>'Unit Savings Calculations'!$G180</f>
        <v>0.92</v>
      </c>
      <c r="S184" s="291">
        <f>'Unit Savings Calculations'!$G180</f>
        <v>0.92</v>
      </c>
      <c r="T184" s="291">
        <f>'Unit Savings Calculations'!$G180</f>
        <v>0.92</v>
      </c>
      <c r="U184" s="291">
        <f>'Unit Savings Calculations'!$G180</f>
        <v>0.92</v>
      </c>
      <c r="V184" s="292">
        <f t="shared" si="104"/>
        <v>0</v>
      </c>
      <c r="W184" s="292">
        <f t="shared" si="105"/>
        <v>0</v>
      </c>
      <c r="X184" s="292">
        <f t="shared" si="106"/>
        <v>0</v>
      </c>
      <c r="Y184" s="292">
        <f t="shared" si="107"/>
        <v>0</v>
      </c>
      <c r="Z184" s="292">
        <f t="shared" si="108"/>
        <v>0</v>
      </c>
      <c r="AA184" s="287"/>
      <c r="AB184" s="287"/>
      <c r="AC184" s="293">
        <f>'Unit Savings Calculations'!N180</f>
        <v>3.0066666666666668</v>
      </c>
      <c r="AD184" s="287"/>
      <c r="AE184" s="292">
        <f t="shared" si="72"/>
        <v>0</v>
      </c>
      <c r="AF184" s="289">
        <f t="shared" si="73"/>
        <v>0</v>
      </c>
      <c r="AG184" s="287"/>
      <c r="AH184" s="287">
        <f t="shared" si="74"/>
        <v>0</v>
      </c>
      <c r="AI184" s="290">
        <f>'Unit Savings Calculations'!O180</f>
        <v>3.0066666666666668</v>
      </c>
      <c r="AJ184" s="287" t="s">
        <v>872</v>
      </c>
      <c r="AK184" s="292">
        <f t="shared" si="75"/>
        <v>0</v>
      </c>
      <c r="AL184" s="289">
        <f t="shared" si="76"/>
        <v>0</v>
      </c>
      <c r="AM184" s="287"/>
      <c r="AN184" s="287"/>
      <c r="AO184" s="290">
        <f>'Unit Savings Calculations'!P180</f>
        <v>3.0066666666666668</v>
      </c>
      <c r="AP184" s="287" t="s">
        <v>764</v>
      </c>
      <c r="AQ184" s="292">
        <f t="shared" si="77"/>
        <v>0</v>
      </c>
      <c r="AR184" s="289">
        <f t="shared" si="78"/>
        <v>0</v>
      </c>
      <c r="AS184" s="287"/>
      <c r="AT184" s="287"/>
      <c r="AU184" s="290">
        <f>'Unit Savings Calculations'!Q180</f>
        <v>3.0066666666666668</v>
      </c>
      <c r="AV184" s="287" t="str">
        <f t="shared" si="79"/>
        <v>n/a</v>
      </c>
      <c r="AW184" s="292">
        <f t="shared" si="80"/>
        <v>0</v>
      </c>
      <c r="AX184" s="289">
        <f t="shared" si="81"/>
        <v>0</v>
      </c>
      <c r="AY184" s="292">
        <f t="shared" si="82"/>
        <v>0</v>
      </c>
      <c r="AZ184" s="292">
        <f t="shared" si="83"/>
        <v>0</v>
      </c>
      <c r="BA184" s="292">
        <f t="shared" si="84"/>
        <v>0</v>
      </c>
      <c r="BB184" s="292">
        <f t="shared" si="85"/>
        <v>0</v>
      </c>
      <c r="BC184" s="294">
        <f t="shared" si="86"/>
        <v>0</v>
      </c>
      <c r="BD184" s="287" t="s">
        <v>764</v>
      </c>
      <c r="BE184" s="295" t="str">
        <f t="shared" si="87"/>
        <v>Exhibit 1.5B_R Peoples Gas EEPS_Adjustable_Savings_Goal_Template.xlsx, Unit Savings Calculations Tab</v>
      </c>
      <c r="BF184" s="297"/>
    </row>
    <row r="185" spans="1:58" ht="13.5" customHeight="1">
      <c r="A185" s="287" t="str">
        <f>'Unit Savings Calculations'!C181</f>
        <v>Bus - SB Rebates</v>
      </c>
      <c r="B185" s="287" t="str">
        <f>'Unit Savings Calculations'!D181</f>
        <v>Modulating Commercial Gas Clothes Dryer</v>
      </c>
      <c r="C185" s="288">
        <f t="shared" si="88"/>
        <v>1</v>
      </c>
      <c r="D185" s="287" t="str">
        <f>'Unit Savings Calculations'!T181</f>
        <v>4.8.4</v>
      </c>
      <c r="E185" s="287">
        <f>INDEX('Unit Savings Calculations'!$H$4:$H$421,MATCH('Measure-Level Adjustments Tab'!$A185&amp;"_"&amp;'Measure-Level Adjustments Tab'!$B185,'Unit Savings Calculations'!$A$4:$A$421,0))</f>
        <v>14</v>
      </c>
      <c r="F185" s="287">
        <f>INDEX('Unit Savings Calculations'!$I$4:$I$421,MATCH('Measure-Level Adjustments Tab'!A185&amp;"_"&amp;'Measure-Level Adjustments Tab'!B185,'Unit Savings Calculations'!$A$4:$A$421,0))</f>
        <v>14</v>
      </c>
      <c r="G185" s="287" t="str">
        <f>'Unit Savings Calculations'!E181</f>
        <v>each</v>
      </c>
      <c r="H185" s="289">
        <f>'Unit Savings Calculations'!$F181*'Unit Savings Calculations'!J181</f>
        <v>5</v>
      </c>
      <c r="I185" s="289">
        <f>'Unit Savings Calculations'!$F181*'Unit Savings Calculations'!K181</f>
        <v>5</v>
      </c>
      <c r="J185" s="289">
        <f>'Unit Savings Calculations'!$F181*'Unit Savings Calculations'!L181</f>
        <v>5</v>
      </c>
      <c r="K185" s="289">
        <f>'Unit Savings Calculations'!$F181*'Unit Savings Calculations'!M181</f>
        <v>5</v>
      </c>
      <c r="L185" s="287" t="str">
        <f>'Unit Savings Calculations'!U181</f>
        <v>CI-MSC-MODD-V01-160601</v>
      </c>
      <c r="M185" s="363" t="s">
        <v>830</v>
      </c>
      <c r="N185" s="290">
        <v>266.94</v>
      </c>
      <c r="O185" s="290">
        <v>266.94</v>
      </c>
      <c r="P185" s="290">
        <v>266.94</v>
      </c>
      <c r="Q185" s="290">
        <v>266.94</v>
      </c>
      <c r="R185" s="291">
        <f>'Unit Savings Calculations'!$G181</f>
        <v>0.92</v>
      </c>
      <c r="S185" s="291">
        <f>'Unit Savings Calculations'!$G181</f>
        <v>0.92</v>
      </c>
      <c r="T185" s="291">
        <f>'Unit Savings Calculations'!$G181</f>
        <v>0.92</v>
      </c>
      <c r="U185" s="291">
        <f>'Unit Savings Calculations'!$G181</f>
        <v>0.92</v>
      </c>
      <c r="V185" s="292">
        <f t="shared" si="104"/>
        <v>1227.9240000000002</v>
      </c>
      <c r="W185" s="292">
        <f t="shared" si="105"/>
        <v>1227.9240000000002</v>
      </c>
      <c r="X185" s="292">
        <f t="shared" si="106"/>
        <v>1227.9240000000002</v>
      </c>
      <c r="Y185" s="292">
        <f t="shared" si="107"/>
        <v>1227.9240000000002</v>
      </c>
      <c r="Z185" s="292">
        <f t="shared" si="108"/>
        <v>4911.6960000000008</v>
      </c>
      <c r="AA185" s="287"/>
      <c r="AB185" s="287"/>
      <c r="AC185" s="293">
        <f>'Unit Savings Calculations'!N181</f>
        <v>266.94</v>
      </c>
      <c r="AD185" s="287"/>
      <c r="AE185" s="292">
        <f t="shared" si="72"/>
        <v>1227.9240000000002</v>
      </c>
      <c r="AF185" s="289">
        <f t="shared" si="73"/>
        <v>0</v>
      </c>
      <c r="AG185" s="287"/>
      <c r="AH185" s="287">
        <f t="shared" si="74"/>
        <v>0</v>
      </c>
      <c r="AI185" s="290">
        <f>'Unit Savings Calculations'!O181</f>
        <v>266.94</v>
      </c>
      <c r="AJ185" s="287" t="s">
        <v>872</v>
      </c>
      <c r="AK185" s="292">
        <f t="shared" si="75"/>
        <v>1227.9240000000002</v>
      </c>
      <c r="AL185" s="289">
        <f t="shared" si="76"/>
        <v>0</v>
      </c>
      <c r="AM185" s="287"/>
      <c r="AN185" s="287"/>
      <c r="AO185" s="290">
        <f>'Unit Savings Calculations'!P181</f>
        <v>266.94</v>
      </c>
      <c r="AP185" s="287" t="s">
        <v>764</v>
      </c>
      <c r="AQ185" s="292">
        <f t="shared" si="77"/>
        <v>1227.9240000000002</v>
      </c>
      <c r="AR185" s="289">
        <f t="shared" si="78"/>
        <v>0</v>
      </c>
      <c r="AS185" s="287"/>
      <c r="AT185" s="287"/>
      <c r="AU185" s="290">
        <f>'Unit Savings Calculations'!Q181</f>
        <v>266.94</v>
      </c>
      <c r="AV185" s="287" t="str">
        <f t="shared" si="79"/>
        <v>n/a</v>
      </c>
      <c r="AW185" s="292">
        <f t="shared" si="80"/>
        <v>1227.9240000000002</v>
      </c>
      <c r="AX185" s="289">
        <f t="shared" si="81"/>
        <v>0</v>
      </c>
      <c r="AY185" s="292">
        <f t="shared" si="82"/>
        <v>1227.9240000000002</v>
      </c>
      <c r="AZ185" s="292">
        <f t="shared" si="83"/>
        <v>1227.9240000000002</v>
      </c>
      <c r="BA185" s="292">
        <f t="shared" si="84"/>
        <v>1227.9240000000002</v>
      </c>
      <c r="BB185" s="292">
        <f t="shared" si="85"/>
        <v>1227.9240000000002</v>
      </c>
      <c r="BC185" s="294">
        <f t="shared" si="86"/>
        <v>4911.6960000000008</v>
      </c>
      <c r="BD185" s="287" t="s">
        <v>764</v>
      </c>
      <c r="BE185" s="295" t="str">
        <f t="shared" si="87"/>
        <v>Exhibit 1.5B_R Peoples Gas EEPS_Adjustable_Savings_Goal_Template.xlsx, Unit Savings Calculations Tab</v>
      </c>
      <c r="BF185" s="297"/>
    </row>
    <row r="186" spans="1:58" ht="13.5" customHeight="1">
      <c r="A186" s="287" t="str">
        <f>'Unit Savings Calculations'!C182</f>
        <v>Bus - SB Rebates</v>
      </c>
      <c r="B186" s="287" t="str">
        <f>'Unit Savings Calculations'!D182</f>
        <v>Ozone Laundry</v>
      </c>
      <c r="C186" s="288">
        <f t="shared" si="88"/>
        <v>1</v>
      </c>
      <c r="D186" s="287" t="str">
        <f>'Unit Savings Calculations'!T182</f>
        <v>4.3.6</v>
      </c>
      <c r="E186" s="287">
        <f>INDEX('Unit Savings Calculations'!$H$4:$H$421,MATCH('Measure-Level Adjustments Tab'!$A186&amp;"_"&amp;'Measure-Level Adjustments Tab'!$B186,'Unit Savings Calculations'!$A$4:$A$421,0))</f>
        <v>10</v>
      </c>
      <c r="F186" s="287">
        <f>INDEX('Unit Savings Calculations'!$I$4:$I$421,MATCH('Measure-Level Adjustments Tab'!A186&amp;"_"&amp;'Measure-Level Adjustments Tab'!B186,'Unit Savings Calculations'!$A$4:$A$421,0))</f>
        <v>10</v>
      </c>
      <c r="G186" s="287" t="str">
        <f>'Unit Savings Calculations'!E182</f>
        <v>lb-capacity</v>
      </c>
      <c r="H186" s="289">
        <f>'Unit Savings Calculations'!$F182*'Unit Savings Calculations'!J182</f>
        <v>0</v>
      </c>
      <c r="I186" s="289">
        <f>'Unit Savings Calculations'!$F182*'Unit Savings Calculations'!K182</f>
        <v>0</v>
      </c>
      <c r="J186" s="289">
        <f>'Unit Savings Calculations'!$F182*'Unit Savings Calculations'!L182</f>
        <v>0</v>
      </c>
      <c r="K186" s="289">
        <f>'Unit Savings Calculations'!$F182*'Unit Savings Calculations'!M182</f>
        <v>0</v>
      </c>
      <c r="L186" s="287" t="str">
        <f>'Unit Savings Calculations'!U182</f>
        <v>CI-HW-OZLD-VO1-140601</v>
      </c>
      <c r="M186" s="363" t="s">
        <v>830</v>
      </c>
      <c r="N186" s="290">
        <v>30.722664192350027</v>
      </c>
      <c r="O186" s="290">
        <v>30.722664192350027</v>
      </c>
      <c r="P186" s="290">
        <v>30.722664192350027</v>
      </c>
      <c r="Q186" s="290">
        <v>30.722664192350027</v>
      </c>
      <c r="R186" s="291">
        <f>'Unit Savings Calculations'!$G182</f>
        <v>0.92</v>
      </c>
      <c r="S186" s="291">
        <f>'Unit Savings Calculations'!$G182</f>
        <v>0.92</v>
      </c>
      <c r="T186" s="291">
        <f>'Unit Savings Calculations'!$G182</f>
        <v>0.92</v>
      </c>
      <c r="U186" s="291">
        <f>'Unit Savings Calculations'!$G182</f>
        <v>0.92</v>
      </c>
      <c r="V186" s="292">
        <f t="shared" si="104"/>
        <v>0</v>
      </c>
      <c r="W186" s="292">
        <f t="shared" si="105"/>
        <v>0</v>
      </c>
      <c r="X186" s="292">
        <f t="shared" si="106"/>
        <v>0</v>
      </c>
      <c r="Y186" s="292">
        <f t="shared" si="107"/>
        <v>0</v>
      </c>
      <c r="Z186" s="292">
        <f t="shared" si="108"/>
        <v>0</v>
      </c>
      <c r="AA186" s="287"/>
      <c r="AB186" s="287"/>
      <c r="AC186" s="293">
        <f>'Unit Savings Calculations'!N182</f>
        <v>30.722664192350027</v>
      </c>
      <c r="AD186" s="287"/>
      <c r="AE186" s="292">
        <f t="shared" si="72"/>
        <v>0</v>
      </c>
      <c r="AF186" s="289">
        <f t="shared" si="73"/>
        <v>0</v>
      </c>
      <c r="AG186" s="287"/>
      <c r="AH186" s="287">
        <f t="shared" si="74"/>
        <v>0</v>
      </c>
      <c r="AI186" s="290">
        <f>'Unit Savings Calculations'!O182</f>
        <v>30.722664192350027</v>
      </c>
      <c r="AJ186" s="287" t="s">
        <v>872</v>
      </c>
      <c r="AK186" s="292">
        <f t="shared" si="75"/>
        <v>0</v>
      </c>
      <c r="AL186" s="289">
        <f t="shared" si="76"/>
        <v>0</v>
      </c>
      <c r="AM186" s="287"/>
      <c r="AN186" s="287"/>
      <c r="AO186" s="290">
        <f>'Unit Savings Calculations'!P182</f>
        <v>30.722664192350027</v>
      </c>
      <c r="AP186" s="287" t="s">
        <v>764</v>
      </c>
      <c r="AQ186" s="292">
        <f t="shared" si="77"/>
        <v>0</v>
      </c>
      <c r="AR186" s="289">
        <f t="shared" si="78"/>
        <v>0</v>
      </c>
      <c r="AS186" s="287"/>
      <c r="AT186" s="287"/>
      <c r="AU186" s="290">
        <f>'Unit Savings Calculations'!Q182</f>
        <v>30.722664192350027</v>
      </c>
      <c r="AV186" s="287" t="str">
        <f t="shared" si="79"/>
        <v>n/a</v>
      </c>
      <c r="AW186" s="292">
        <f t="shared" si="80"/>
        <v>0</v>
      </c>
      <c r="AX186" s="289">
        <f t="shared" si="81"/>
        <v>0</v>
      </c>
      <c r="AY186" s="292">
        <f t="shared" si="82"/>
        <v>0</v>
      </c>
      <c r="AZ186" s="292">
        <f t="shared" si="83"/>
        <v>0</v>
      </c>
      <c r="BA186" s="292">
        <f t="shared" si="84"/>
        <v>0</v>
      </c>
      <c r="BB186" s="292">
        <f t="shared" si="85"/>
        <v>0</v>
      </c>
      <c r="BC186" s="294">
        <f t="shared" si="86"/>
        <v>0</v>
      </c>
      <c r="BD186" s="287" t="s">
        <v>764</v>
      </c>
      <c r="BE186" s="295" t="str">
        <f t="shared" si="87"/>
        <v>Exhibit 1.5B_R Peoples Gas EEPS_Adjustable_Savings_Goal_Template.xlsx, Unit Savings Calculations Tab</v>
      </c>
      <c r="BF186" s="297"/>
    </row>
    <row r="187" spans="1:58" ht="13.5" customHeight="1">
      <c r="A187" s="287" t="str">
        <f>'Unit Savings Calculations'!C183</f>
        <v>Bus - SB Rebates</v>
      </c>
      <c r="B187" s="287" t="str">
        <f>'Unit Savings Calculations'!D183</f>
        <v>Pipe Insulation - Dry Cleaners</v>
      </c>
      <c r="C187" s="288">
        <f t="shared" si="88"/>
        <v>1</v>
      </c>
      <c r="D187" s="287" t="str">
        <f>'Unit Savings Calculations'!T183</f>
        <v>4.4.14</v>
      </c>
      <c r="E187" s="287">
        <f>INDEX('Unit Savings Calculations'!$H$4:$H$421,MATCH('Measure-Level Adjustments Tab'!$A187&amp;"_"&amp;'Measure-Level Adjustments Tab'!$B187,'Unit Savings Calculations'!$A$4:$A$421,0))</f>
        <v>15</v>
      </c>
      <c r="F187" s="287">
        <f>INDEX('Unit Savings Calculations'!$I$4:$I$421,MATCH('Measure-Level Adjustments Tab'!A187&amp;"_"&amp;'Measure-Level Adjustments Tab'!B187,'Unit Savings Calculations'!$A$4:$A$421,0))</f>
        <v>15</v>
      </c>
      <c r="G187" s="287" t="str">
        <f>'Unit Savings Calculations'!E183</f>
        <v>ft</v>
      </c>
      <c r="H187" s="289">
        <f>'Unit Savings Calculations'!$F183*'Unit Savings Calculations'!J183</f>
        <v>750</v>
      </c>
      <c r="I187" s="289">
        <f>'Unit Savings Calculations'!$F183*'Unit Savings Calculations'!K183</f>
        <v>750</v>
      </c>
      <c r="J187" s="289">
        <f>'Unit Savings Calculations'!$F183*'Unit Savings Calculations'!L183</f>
        <v>750</v>
      </c>
      <c r="K187" s="289">
        <f>'Unit Savings Calculations'!$F183*'Unit Savings Calculations'!M183</f>
        <v>750</v>
      </c>
      <c r="L187" s="287" t="str">
        <f>'Unit Savings Calculations'!U183</f>
        <v>CI-HVC-PINS-V04-160601</v>
      </c>
      <c r="M187" s="363" t="s">
        <v>830</v>
      </c>
      <c r="N187" s="290">
        <v>4.1509563815028345</v>
      </c>
      <c r="O187" s="290">
        <v>4.1509563815028345</v>
      </c>
      <c r="P187" s="290">
        <v>4.1509563815028345</v>
      </c>
      <c r="Q187" s="290">
        <v>4.1509563815028345</v>
      </c>
      <c r="R187" s="291">
        <f>'Unit Savings Calculations'!$G183</f>
        <v>0.92</v>
      </c>
      <c r="S187" s="291">
        <f>'Unit Savings Calculations'!$G183</f>
        <v>0.92</v>
      </c>
      <c r="T187" s="291">
        <f>'Unit Savings Calculations'!$G183</f>
        <v>0.92</v>
      </c>
      <c r="U187" s="291">
        <f>'Unit Savings Calculations'!$G183</f>
        <v>0.92</v>
      </c>
      <c r="V187" s="292">
        <f t="shared" si="104"/>
        <v>2864.1599032369559</v>
      </c>
      <c r="W187" s="292">
        <f t="shared" si="105"/>
        <v>2864.1599032369559</v>
      </c>
      <c r="X187" s="292">
        <f t="shared" si="106"/>
        <v>2864.1599032369559</v>
      </c>
      <c r="Y187" s="292">
        <f t="shared" si="107"/>
        <v>2864.1599032369559</v>
      </c>
      <c r="Z187" s="292">
        <f t="shared" si="108"/>
        <v>11456.639612947823</v>
      </c>
      <c r="AA187" s="287"/>
      <c r="AB187" s="287"/>
      <c r="AC187" s="293">
        <f>'Unit Savings Calculations'!N183</f>
        <v>4.1509563815028345</v>
      </c>
      <c r="AD187" s="287"/>
      <c r="AE187" s="292">
        <f t="shared" si="72"/>
        <v>2864.1599032369559</v>
      </c>
      <c r="AF187" s="289">
        <f t="shared" si="73"/>
        <v>0</v>
      </c>
      <c r="AG187" s="287"/>
      <c r="AH187" s="287">
        <f t="shared" si="74"/>
        <v>0</v>
      </c>
      <c r="AI187" s="290">
        <f>'Unit Savings Calculations'!O183</f>
        <v>4.1509563815028345</v>
      </c>
      <c r="AJ187" s="287" t="s">
        <v>872</v>
      </c>
      <c r="AK187" s="292">
        <f t="shared" si="75"/>
        <v>2864.1599032369559</v>
      </c>
      <c r="AL187" s="289">
        <f t="shared" si="76"/>
        <v>0</v>
      </c>
      <c r="AM187" s="287"/>
      <c r="AN187" s="287"/>
      <c r="AO187" s="290">
        <f>'Unit Savings Calculations'!P183</f>
        <v>4.1509563815028345</v>
      </c>
      <c r="AP187" s="287" t="s">
        <v>764</v>
      </c>
      <c r="AQ187" s="292">
        <f t="shared" si="77"/>
        <v>2864.1599032369559</v>
      </c>
      <c r="AR187" s="289">
        <f t="shared" si="78"/>
        <v>0</v>
      </c>
      <c r="AS187" s="287"/>
      <c r="AT187" s="287"/>
      <c r="AU187" s="290">
        <f>'Unit Savings Calculations'!Q183</f>
        <v>4.1509563815028345</v>
      </c>
      <c r="AV187" s="287" t="str">
        <f t="shared" si="79"/>
        <v>n/a</v>
      </c>
      <c r="AW187" s="292">
        <f t="shared" si="80"/>
        <v>2864.1599032369559</v>
      </c>
      <c r="AX187" s="289">
        <f t="shared" si="81"/>
        <v>0</v>
      </c>
      <c r="AY187" s="292">
        <f t="shared" si="82"/>
        <v>2864.1599032369559</v>
      </c>
      <c r="AZ187" s="292">
        <f t="shared" si="83"/>
        <v>2864.1599032369559</v>
      </c>
      <c r="BA187" s="292">
        <f t="shared" si="84"/>
        <v>2864.1599032369559</v>
      </c>
      <c r="BB187" s="292">
        <f t="shared" si="85"/>
        <v>2864.1599032369559</v>
      </c>
      <c r="BC187" s="294">
        <f t="shared" si="86"/>
        <v>11456.639612947823</v>
      </c>
      <c r="BD187" s="287" t="s">
        <v>764</v>
      </c>
      <c r="BE187" s="295" t="str">
        <f t="shared" si="87"/>
        <v>Exhibit 1.5B_R Peoples Gas EEPS_Adjustable_Savings_Goal_Template.xlsx, Unit Savings Calculations Tab</v>
      </c>
      <c r="BF187" s="297"/>
    </row>
    <row r="188" spans="1:58" ht="13.5" customHeight="1">
      <c r="A188" s="287" t="str">
        <f>'Unit Savings Calculations'!C184</f>
        <v>Bus - SB Rebates</v>
      </c>
      <c r="B188" s="287" t="str">
        <f>'Unit Savings Calculations'!D184</f>
        <v>Pipe Insulation - Dry Cleaners -Elbows</v>
      </c>
      <c r="C188" s="288">
        <f t="shared" si="88"/>
        <v>1</v>
      </c>
      <c r="D188" s="287" t="str">
        <f>'Unit Savings Calculations'!T184</f>
        <v>4.4.14</v>
      </c>
      <c r="E188" s="287">
        <f>INDEX('Unit Savings Calculations'!$H$4:$H$421,MATCH('Measure-Level Adjustments Tab'!$A188&amp;"_"&amp;'Measure-Level Adjustments Tab'!$B188,'Unit Savings Calculations'!$A$4:$A$421,0))</f>
        <v>15</v>
      </c>
      <c r="F188" s="287">
        <f>INDEX('Unit Savings Calculations'!$I$4:$I$421,MATCH('Measure-Level Adjustments Tab'!A188&amp;"_"&amp;'Measure-Level Adjustments Tab'!B188,'Unit Savings Calculations'!$A$4:$A$421,0))</f>
        <v>15</v>
      </c>
      <c r="G188" s="287" t="str">
        <f>'Unit Savings Calculations'!E184</f>
        <v>ft</v>
      </c>
      <c r="H188" s="289">
        <f>'Unit Savings Calculations'!$F184*'Unit Savings Calculations'!J184</f>
        <v>0</v>
      </c>
      <c r="I188" s="289">
        <f>'Unit Savings Calculations'!$F184*'Unit Savings Calculations'!K184</f>
        <v>0</v>
      </c>
      <c r="J188" s="289">
        <f>'Unit Savings Calculations'!$F184*'Unit Savings Calculations'!L184</f>
        <v>0</v>
      </c>
      <c r="K188" s="289">
        <f>'Unit Savings Calculations'!$F184*'Unit Savings Calculations'!M184</f>
        <v>0</v>
      </c>
      <c r="L188" s="287" t="str">
        <f>'Unit Savings Calculations'!U184</f>
        <v>CI-HVC-PINS-V04-160601</v>
      </c>
      <c r="M188" s="363" t="s">
        <v>830</v>
      </c>
      <c r="N188" s="290">
        <v>1.9924590631213606</v>
      </c>
      <c r="O188" s="290">
        <v>1.9924590631213606</v>
      </c>
      <c r="P188" s="290">
        <v>1.9924590631213606</v>
      </c>
      <c r="Q188" s="290">
        <v>1.9924590631213606</v>
      </c>
      <c r="R188" s="291">
        <f>'Unit Savings Calculations'!$G184</f>
        <v>0.92</v>
      </c>
      <c r="S188" s="291">
        <f>'Unit Savings Calculations'!$G184</f>
        <v>0.92</v>
      </c>
      <c r="T188" s="291">
        <f>'Unit Savings Calculations'!$G184</f>
        <v>0.92</v>
      </c>
      <c r="U188" s="291">
        <f>'Unit Savings Calculations'!$G184</f>
        <v>0.92</v>
      </c>
      <c r="V188" s="292">
        <f t="shared" si="104"/>
        <v>0</v>
      </c>
      <c r="W188" s="292">
        <f t="shared" si="105"/>
        <v>0</v>
      </c>
      <c r="X188" s="292">
        <f t="shared" si="106"/>
        <v>0</v>
      </c>
      <c r="Y188" s="292">
        <f t="shared" si="107"/>
        <v>0</v>
      </c>
      <c r="Z188" s="292">
        <f t="shared" si="108"/>
        <v>0</v>
      </c>
      <c r="AA188" s="287"/>
      <c r="AB188" s="287"/>
      <c r="AC188" s="293">
        <f>'Unit Savings Calculations'!N184</f>
        <v>1.9924590631213606</v>
      </c>
      <c r="AD188" s="287"/>
      <c r="AE188" s="292">
        <f t="shared" si="72"/>
        <v>0</v>
      </c>
      <c r="AF188" s="289">
        <f t="shared" si="73"/>
        <v>0</v>
      </c>
      <c r="AG188" s="287"/>
      <c r="AH188" s="287">
        <f t="shared" si="74"/>
        <v>0</v>
      </c>
      <c r="AI188" s="290">
        <f>'Unit Savings Calculations'!O184</f>
        <v>1.9924590631213606</v>
      </c>
      <c r="AJ188" s="287" t="s">
        <v>872</v>
      </c>
      <c r="AK188" s="292">
        <f t="shared" si="75"/>
        <v>0</v>
      </c>
      <c r="AL188" s="289">
        <f t="shared" si="76"/>
        <v>0</v>
      </c>
      <c r="AM188" s="287"/>
      <c r="AN188" s="287"/>
      <c r="AO188" s="290">
        <f>'Unit Savings Calculations'!P184</f>
        <v>1.9924590631213606</v>
      </c>
      <c r="AP188" s="287" t="s">
        <v>764</v>
      </c>
      <c r="AQ188" s="292">
        <f t="shared" si="77"/>
        <v>0</v>
      </c>
      <c r="AR188" s="289">
        <f t="shared" si="78"/>
        <v>0</v>
      </c>
      <c r="AS188" s="287"/>
      <c r="AT188" s="287"/>
      <c r="AU188" s="290">
        <f>'Unit Savings Calculations'!Q184</f>
        <v>1.9924590631213606</v>
      </c>
      <c r="AV188" s="287" t="str">
        <f t="shared" si="79"/>
        <v>n/a</v>
      </c>
      <c r="AW188" s="292">
        <f t="shared" si="80"/>
        <v>0</v>
      </c>
      <c r="AX188" s="289">
        <f t="shared" si="81"/>
        <v>0</v>
      </c>
      <c r="AY188" s="292">
        <f t="shared" si="82"/>
        <v>0</v>
      </c>
      <c r="AZ188" s="292">
        <f t="shared" si="83"/>
        <v>0</v>
      </c>
      <c r="BA188" s="292">
        <f t="shared" si="84"/>
        <v>0</v>
      </c>
      <c r="BB188" s="292">
        <f t="shared" si="85"/>
        <v>0</v>
      </c>
      <c r="BC188" s="294">
        <f t="shared" si="86"/>
        <v>0</v>
      </c>
      <c r="BD188" s="287" t="s">
        <v>764</v>
      </c>
      <c r="BE188" s="295" t="str">
        <f t="shared" si="87"/>
        <v>Exhibit 1.5B_R Peoples Gas EEPS_Adjustable_Savings_Goal_Template.xlsx, Unit Savings Calculations Tab</v>
      </c>
      <c r="BF188" s="297"/>
    </row>
    <row r="189" spans="1:58" ht="13.5" customHeight="1">
      <c r="A189" s="287" t="str">
        <f>'Unit Savings Calculations'!C185</f>
        <v>Bus - SB Rebates</v>
      </c>
      <c r="B189" s="287" t="str">
        <f>'Unit Savings Calculations'!D185</f>
        <v>Pipe Insulation - HW Small 1" to 2"</v>
      </c>
      <c r="C189" s="288">
        <f t="shared" si="88"/>
        <v>1</v>
      </c>
      <c r="D189" s="287" t="str">
        <f>'Unit Savings Calculations'!T185</f>
        <v>4.4.14</v>
      </c>
      <c r="E189" s="287">
        <f>INDEX('Unit Savings Calculations'!$H$4:$H$421,MATCH('Measure-Level Adjustments Tab'!$A189&amp;"_"&amp;'Measure-Level Adjustments Tab'!$B189,'Unit Savings Calculations'!$A$4:$A$421,0))</f>
        <v>15</v>
      </c>
      <c r="F189" s="287">
        <f>INDEX('Unit Savings Calculations'!$I$4:$I$421,MATCH('Measure-Level Adjustments Tab'!A189&amp;"_"&amp;'Measure-Level Adjustments Tab'!B189,'Unit Savings Calculations'!$A$4:$A$421,0))</f>
        <v>15</v>
      </c>
      <c r="G189" s="287" t="str">
        <f>'Unit Savings Calculations'!E185</f>
        <v>ft</v>
      </c>
      <c r="H189" s="289">
        <f>'Unit Savings Calculations'!$F185*'Unit Savings Calculations'!J185</f>
        <v>0</v>
      </c>
      <c r="I189" s="289">
        <f>'Unit Savings Calculations'!$F185*'Unit Savings Calculations'!K185</f>
        <v>0</v>
      </c>
      <c r="J189" s="289">
        <f>'Unit Savings Calculations'!$F185*'Unit Savings Calculations'!L185</f>
        <v>0</v>
      </c>
      <c r="K189" s="289">
        <f>'Unit Savings Calculations'!$F185*'Unit Savings Calculations'!M185</f>
        <v>0</v>
      </c>
      <c r="L189" s="287" t="str">
        <f>'Unit Savings Calculations'!U185</f>
        <v>CI-HVC-PINS-V04-160601</v>
      </c>
      <c r="M189" s="363" t="s">
        <v>830</v>
      </c>
      <c r="N189" s="290">
        <v>2.6588140926267867</v>
      </c>
      <c r="O189" s="290">
        <v>2.6588140926267867</v>
      </c>
      <c r="P189" s="290">
        <v>2.6588140926267867</v>
      </c>
      <c r="Q189" s="290">
        <v>2.6588140926267867</v>
      </c>
      <c r="R189" s="291">
        <f>'Unit Savings Calculations'!$G185</f>
        <v>0.92</v>
      </c>
      <c r="S189" s="291">
        <f>'Unit Savings Calculations'!$G185</f>
        <v>0.92</v>
      </c>
      <c r="T189" s="291">
        <f>'Unit Savings Calculations'!$G185</f>
        <v>0.92</v>
      </c>
      <c r="U189" s="291">
        <f>'Unit Savings Calculations'!$G185</f>
        <v>0.92</v>
      </c>
      <c r="V189" s="292">
        <f t="shared" si="104"/>
        <v>0</v>
      </c>
      <c r="W189" s="292">
        <f t="shared" si="105"/>
        <v>0</v>
      </c>
      <c r="X189" s="292">
        <f t="shared" si="106"/>
        <v>0</v>
      </c>
      <c r="Y189" s="292">
        <f t="shared" si="107"/>
        <v>0</v>
      </c>
      <c r="Z189" s="292">
        <f t="shared" si="108"/>
        <v>0</v>
      </c>
      <c r="AA189" s="287"/>
      <c r="AB189" s="287"/>
      <c r="AC189" s="293">
        <f>'Unit Savings Calculations'!N185</f>
        <v>2.6588140926267867</v>
      </c>
      <c r="AD189" s="287"/>
      <c r="AE189" s="292">
        <f t="shared" si="72"/>
        <v>0</v>
      </c>
      <c r="AF189" s="289">
        <f t="shared" si="73"/>
        <v>0</v>
      </c>
      <c r="AG189" s="287"/>
      <c r="AH189" s="287">
        <f t="shared" si="74"/>
        <v>0</v>
      </c>
      <c r="AI189" s="290">
        <f>'Unit Savings Calculations'!O185</f>
        <v>2.6588140926267867</v>
      </c>
      <c r="AJ189" s="287" t="s">
        <v>872</v>
      </c>
      <c r="AK189" s="292">
        <f t="shared" si="75"/>
        <v>0</v>
      </c>
      <c r="AL189" s="289">
        <f t="shared" si="76"/>
        <v>0</v>
      </c>
      <c r="AM189" s="287"/>
      <c r="AN189" s="287"/>
      <c r="AO189" s="290">
        <f>'Unit Savings Calculations'!P185</f>
        <v>2.6588140926267867</v>
      </c>
      <c r="AP189" s="287" t="s">
        <v>764</v>
      </c>
      <c r="AQ189" s="292">
        <f t="shared" si="77"/>
        <v>0</v>
      </c>
      <c r="AR189" s="289">
        <f t="shared" si="78"/>
        <v>0</v>
      </c>
      <c r="AS189" s="287"/>
      <c r="AT189" s="287"/>
      <c r="AU189" s="290">
        <f>'Unit Savings Calculations'!Q185</f>
        <v>2.6588140926267867</v>
      </c>
      <c r="AV189" s="287" t="str">
        <f t="shared" si="79"/>
        <v>n/a</v>
      </c>
      <c r="AW189" s="292">
        <f t="shared" si="80"/>
        <v>0</v>
      </c>
      <c r="AX189" s="289">
        <f t="shared" si="81"/>
        <v>0</v>
      </c>
      <c r="AY189" s="292">
        <f t="shared" si="82"/>
        <v>0</v>
      </c>
      <c r="AZ189" s="292">
        <f t="shared" si="83"/>
        <v>0</v>
      </c>
      <c r="BA189" s="292">
        <f t="shared" si="84"/>
        <v>0</v>
      </c>
      <c r="BB189" s="292">
        <f t="shared" si="85"/>
        <v>0</v>
      </c>
      <c r="BC189" s="294">
        <f t="shared" si="86"/>
        <v>0</v>
      </c>
      <c r="BD189" s="287" t="s">
        <v>764</v>
      </c>
      <c r="BE189" s="295" t="str">
        <f t="shared" si="87"/>
        <v>Exhibit 1.5B_R Peoples Gas EEPS_Adjustable_Savings_Goal_Template.xlsx, Unit Savings Calculations Tab</v>
      </c>
      <c r="BF189" s="297"/>
    </row>
    <row r="190" spans="1:58" ht="13.5" customHeight="1">
      <c r="A190" s="287" t="str">
        <f>'Unit Savings Calculations'!C186</f>
        <v>Bus - SB Rebates</v>
      </c>
      <c r="B190" s="287" t="str">
        <f>'Unit Savings Calculations'!D186</f>
        <v>Pipe Insulation - HW Medium 2.1" to 4"</v>
      </c>
      <c r="C190" s="288">
        <f t="shared" si="88"/>
        <v>1</v>
      </c>
      <c r="D190" s="287" t="str">
        <f>'Unit Savings Calculations'!T186</f>
        <v>4.4.14</v>
      </c>
      <c r="E190" s="287">
        <f>INDEX('Unit Savings Calculations'!$H$4:$H$421,MATCH('Measure-Level Adjustments Tab'!$A190&amp;"_"&amp;'Measure-Level Adjustments Tab'!$B190,'Unit Savings Calculations'!$A$4:$A$421,0))</f>
        <v>15</v>
      </c>
      <c r="F190" s="287">
        <f>INDEX('Unit Savings Calculations'!$I$4:$I$421,MATCH('Measure-Level Adjustments Tab'!A190&amp;"_"&amp;'Measure-Level Adjustments Tab'!B190,'Unit Savings Calculations'!$A$4:$A$421,0))</f>
        <v>15</v>
      </c>
      <c r="G190" s="287" t="str">
        <f>'Unit Savings Calculations'!E186</f>
        <v>ft</v>
      </c>
      <c r="H190" s="289">
        <f>'Unit Savings Calculations'!$F186*'Unit Savings Calculations'!J186</f>
        <v>0</v>
      </c>
      <c r="I190" s="289">
        <f>'Unit Savings Calculations'!$F186*'Unit Savings Calculations'!K186</f>
        <v>0</v>
      </c>
      <c r="J190" s="289">
        <f>'Unit Savings Calculations'!$F186*'Unit Savings Calculations'!L186</f>
        <v>0</v>
      </c>
      <c r="K190" s="289">
        <f>'Unit Savings Calculations'!$F186*'Unit Savings Calculations'!M186</f>
        <v>0</v>
      </c>
      <c r="L190" s="287" t="str">
        <f>'Unit Savings Calculations'!U186</f>
        <v>CI-HVC-PINS-V04-160601</v>
      </c>
      <c r="M190" s="363" t="s">
        <v>830</v>
      </c>
      <c r="N190" s="290">
        <v>5.2492031493764015</v>
      </c>
      <c r="O190" s="290">
        <v>5.2492031493764015</v>
      </c>
      <c r="P190" s="290">
        <v>5.2492031493764015</v>
      </c>
      <c r="Q190" s="290">
        <v>5.2492031493764015</v>
      </c>
      <c r="R190" s="291">
        <f>'Unit Savings Calculations'!$G186</f>
        <v>0.92</v>
      </c>
      <c r="S190" s="291">
        <f>'Unit Savings Calculations'!$G186</f>
        <v>0.92</v>
      </c>
      <c r="T190" s="291">
        <f>'Unit Savings Calculations'!$G186</f>
        <v>0.92</v>
      </c>
      <c r="U190" s="291">
        <f>'Unit Savings Calculations'!$G186</f>
        <v>0.92</v>
      </c>
      <c r="V190" s="292">
        <f t="shared" si="104"/>
        <v>0</v>
      </c>
      <c r="W190" s="292">
        <f t="shared" si="105"/>
        <v>0</v>
      </c>
      <c r="X190" s="292">
        <f t="shared" si="106"/>
        <v>0</v>
      </c>
      <c r="Y190" s="292">
        <f t="shared" si="107"/>
        <v>0</v>
      </c>
      <c r="Z190" s="292">
        <f t="shared" si="108"/>
        <v>0</v>
      </c>
      <c r="AA190" s="287"/>
      <c r="AB190" s="287"/>
      <c r="AC190" s="293">
        <f>'Unit Savings Calculations'!N186</f>
        <v>5.2492031493764015</v>
      </c>
      <c r="AD190" s="287"/>
      <c r="AE190" s="292">
        <f t="shared" si="72"/>
        <v>0</v>
      </c>
      <c r="AF190" s="289">
        <f t="shared" si="73"/>
        <v>0</v>
      </c>
      <c r="AG190" s="287"/>
      <c r="AH190" s="287">
        <f t="shared" si="74"/>
        <v>0</v>
      </c>
      <c r="AI190" s="290">
        <f>'Unit Savings Calculations'!O186</f>
        <v>5.2492031493764015</v>
      </c>
      <c r="AJ190" s="287" t="s">
        <v>872</v>
      </c>
      <c r="AK190" s="292">
        <f t="shared" si="75"/>
        <v>0</v>
      </c>
      <c r="AL190" s="289">
        <f t="shared" si="76"/>
        <v>0</v>
      </c>
      <c r="AM190" s="287"/>
      <c r="AN190" s="287"/>
      <c r="AO190" s="290">
        <f>'Unit Savings Calculations'!P186</f>
        <v>5.2492031493764015</v>
      </c>
      <c r="AP190" s="287" t="s">
        <v>764</v>
      </c>
      <c r="AQ190" s="292">
        <f t="shared" si="77"/>
        <v>0</v>
      </c>
      <c r="AR190" s="289">
        <f t="shared" si="78"/>
        <v>0</v>
      </c>
      <c r="AS190" s="287"/>
      <c r="AT190" s="287"/>
      <c r="AU190" s="290">
        <f>'Unit Savings Calculations'!Q186</f>
        <v>5.2492031493764015</v>
      </c>
      <c r="AV190" s="287" t="str">
        <f t="shared" si="79"/>
        <v>n/a</v>
      </c>
      <c r="AW190" s="292">
        <f t="shared" si="80"/>
        <v>0</v>
      </c>
      <c r="AX190" s="289">
        <f t="shared" si="81"/>
        <v>0</v>
      </c>
      <c r="AY190" s="292">
        <f t="shared" si="82"/>
        <v>0</v>
      </c>
      <c r="AZ190" s="292">
        <f t="shared" si="83"/>
        <v>0</v>
      </c>
      <c r="BA190" s="292">
        <f t="shared" si="84"/>
        <v>0</v>
      </c>
      <c r="BB190" s="292">
        <f t="shared" si="85"/>
        <v>0</v>
      </c>
      <c r="BC190" s="294">
        <f t="shared" si="86"/>
        <v>0</v>
      </c>
      <c r="BD190" s="287" t="s">
        <v>764</v>
      </c>
      <c r="BE190" s="295" t="str">
        <f t="shared" si="87"/>
        <v>Exhibit 1.5B_R Peoples Gas EEPS_Adjustable_Savings_Goal_Template.xlsx, Unit Savings Calculations Tab</v>
      </c>
      <c r="BF190" s="297"/>
    </row>
    <row r="191" spans="1:58" ht="13.5" customHeight="1">
      <c r="A191" s="287" t="str">
        <f>'Unit Savings Calculations'!C187</f>
        <v>Bus - SB Rebates</v>
      </c>
      <c r="B191" s="287" t="str">
        <f>'Unit Savings Calculations'!D187</f>
        <v>Pipe Insulation - HW Large &gt;4"</v>
      </c>
      <c r="C191" s="288">
        <f t="shared" si="88"/>
        <v>1</v>
      </c>
      <c r="D191" s="287" t="str">
        <f>'Unit Savings Calculations'!T187</f>
        <v>4.4.14</v>
      </c>
      <c r="E191" s="287">
        <f>INDEX('Unit Savings Calculations'!$H$4:$H$421,MATCH('Measure-Level Adjustments Tab'!$A191&amp;"_"&amp;'Measure-Level Adjustments Tab'!$B191,'Unit Savings Calculations'!$A$4:$A$421,0))</f>
        <v>15</v>
      </c>
      <c r="F191" s="287">
        <f>INDEX('Unit Savings Calculations'!$I$4:$I$421,MATCH('Measure-Level Adjustments Tab'!A191&amp;"_"&amp;'Measure-Level Adjustments Tab'!B191,'Unit Savings Calculations'!$A$4:$A$421,0))</f>
        <v>15</v>
      </c>
      <c r="G191" s="287" t="str">
        <f>'Unit Savings Calculations'!E187</f>
        <v>ft</v>
      </c>
      <c r="H191" s="289">
        <f>'Unit Savings Calculations'!$F187*'Unit Savings Calculations'!J187</f>
        <v>0</v>
      </c>
      <c r="I191" s="289">
        <f>'Unit Savings Calculations'!$F187*'Unit Savings Calculations'!K187</f>
        <v>0</v>
      </c>
      <c r="J191" s="289">
        <f>'Unit Savings Calculations'!$F187*'Unit Savings Calculations'!L187</f>
        <v>0</v>
      </c>
      <c r="K191" s="289">
        <f>'Unit Savings Calculations'!$F187*'Unit Savings Calculations'!M187</f>
        <v>0</v>
      </c>
      <c r="L191" s="287" t="str">
        <f>'Unit Savings Calculations'!U187</f>
        <v>CI-HVC-PINS-V04-160601</v>
      </c>
      <c r="M191" s="363" t="s">
        <v>830</v>
      </c>
      <c r="N191" s="290">
        <v>9.0407613085908682</v>
      </c>
      <c r="O191" s="290">
        <v>9.0407613085908682</v>
      </c>
      <c r="P191" s="290">
        <v>9.0407613085908682</v>
      </c>
      <c r="Q191" s="290">
        <v>9.0407613085908682</v>
      </c>
      <c r="R191" s="291">
        <f>'Unit Savings Calculations'!$G187</f>
        <v>0.92</v>
      </c>
      <c r="S191" s="291">
        <f>'Unit Savings Calculations'!$G187</f>
        <v>0.92</v>
      </c>
      <c r="T191" s="291">
        <f>'Unit Savings Calculations'!$G187</f>
        <v>0.92</v>
      </c>
      <c r="U191" s="291">
        <f>'Unit Savings Calculations'!$G187</f>
        <v>0.92</v>
      </c>
      <c r="V191" s="292">
        <f t="shared" si="104"/>
        <v>0</v>
      </c>
      <c r="W191" s="292">
        <f t="shared" si="105"/>
        <v>0</v>
      </c>
      <c r="X191" s="292">
        <f t="shared" si="106"/>
        <v>0</v>
      </c>
      <c r="Y191" s="292">
        <f t="shared" si="107"/>
        <v>0</v>
      </c>
      <c r="Z191" s="292">
        <f t="shared" si="108"/>
        <v>0</v>
      </c>
      <c r="AA191" s="287"/>
      <c r="AB191" s="287"/>
      <c r="AC191" s="293">
        <f>'Unit Savings Calculations'!N187</f>
        <v>9.0407613085908682</v>
      </c>
      <c r="AD191" s="287"/>
      <c r="AE191" s="292">
        <f t="shared" si="72"/>
        <v>0</v>
      </c>
      <c r="AF191" s="289">
        <f t="shared" si="73"/>
        <v>0</v>
      </c>
      <c r="AG191" s="287"/>
      <c r="AH191" s="287">
        <f t="shared" si="74"/>
        <v>0</v>
      </c>
      <c r="AI191" s="290">
        <f>'Unit Savings Calculations'!O187</f>
        <v>9.0407613085908682</v>
      </c>
      <c r="AJ191" s="287" t="s">
        <v>872</v>
      </c>
      <c r="AK191" s="292">
        <f t="shared" si="75"/>
        <v>0</v>
      </c>
      <c r="AL191" s="289">
        <f t="shared" si="76"/>
        <v>0</v>
      </c>
      <c r="AM191" s="287"/>
      <c r="AN191" s="287"/>
      <c r="AO191" s="290">
        <f>'Unit Savings Calculations'!P187</f>
        <v>9.0407613085908682</v>
      </c>
      <c r="AP191" s="287" t="s">
        <v>764</v>
      </c>
      <c r="AQ191" s="292">
        <f t="shared" si="77"/>
        <v>0</v>
      </c>
      <c r="AR191" s="289">
        <f t="shared" si="78"/>
        <v>0</v>
      </c>
      <c r="AS191" s="287"/>
      <c r="AT191" s="287"/>
      <c r="AU191" s="290">
        <f>'Unit Savings Calculations'!Q187</f>
        <v>9.0407613085908682</v>
      </c>
      <c r="AV191" s="287" t="str">
        <f t="shared" si="79"/>
        <v>n/a</v>
      </c>
      <c r="AW191" s="292">
        <f t="shared" si="80"/>
        <v>0</v>
      </c>
      <c r="AX191" s="289">
        <f t="shared" si="81"/>
        <v>0</v>
      </c>
      <c r="AY191" s="292">
        <f t="shared" si="82"/>
        <v>0</v>
      </c>
      <c r="AZ191" s="292">
        <f t="shared" si="83"/>
        <v>0</v>
      </c>
      <c r="BA191" s="292">
        <f t="shared" si="84"/>
        <v>0</v>
      </c>
      <c r="BB191" s="292">
        <f t="shared" si="85"/>
        <v>0</v>
      </c>
      <c r="BC191" s="294">
        <f t="shared" si="86"/>
        <v>0</v>
      </c>
      <c r="BD191" s="287" t="s">
        <v>764</v>
      </c>
      <c r="BE191" s="295" t="str">
        <f t="shared" si="87"/>
        <v>Exhibit 1.5B_R Peoples Gas EEPS_Adjustable_Savings_Goal_Template.xlsx, Unit Savings Calculations Tab</v>
      </c>
      <c r="BF191" s="297"/>
    </row>
    <row r="192" spans="1:58" ht="13.5" customHeight="1">
      <c r="A192" s="287" t="str">
        <f>'Unit Savings Calculations'!C188</f>
        <v>Bus - SB Rebates</v>
      </c>
      <c r="B192" s="287" t="str">
        <f>'Unit Savings Calculations'!D188</f>
        <v>Pipe Insulation - Steam - Small 1" to 2"</v>
      </c>
      <c r="C192" s="288">
        <f t="shared" si="88"/>
        <v>1</v>
      </c>
      <c r="D192" s="287" t="str">
        <f>'Unit Savings Calculations'!T188</f>
        <v>4.4.14</v>
      </c>
      <c r="E192" s="287">
        <f>INDEX('Unit Savings Calculations'!$H$4:$H$421,MATCH('Measure-Level Adjustments Tab'!$A192&amp;"_"&amp;'Measure-Level Adjustments Tab'!$B192,'Unit Savings Calculations'!$A$4:$A$421,0))</f>
        <v>15</v>
      </c>
      <c r="F192" s="287">
        <f>INDEX('Unit Savings Calculations'!$I$4:$I$421,MATCH('Measure-Level Adjustments Tab'!A192&amp;"_"&amp;'Measure-Level Adjustments Tab'!B192,'Unit Savings Calculations'!$A$4:$A$421,0))</f>
        <v>15</v>
      </c>
      <c r="G192" s="287" t="str">
        <f>'Unit Savings Calculations'!E188</f>
        <v>ft</v>
      </c>
      <c r="H192" s="289">
        <f>'Unit Savings Calculations'!$F188*'Unit Savings Calculations'!J188</f>
        <v>0</v>
      </c>
      <c r="I192" s="289">
        <f>'Unit Savings Calculations'!$F188*'Unit Savings Calculations'!K188</f>
        <v>0</v>
      </c>
      <c r="J192" s="289">
        <f>'Unit Savings Calculations'!$F188*'Unit Savings Calculations'!L188</f>
        <v>0</v>
      </c>
      <c r="K192" s="289">
        <f>'Unit Savings Calculations'!$F188*'Unit Savings Calculations'!M188</f>
        <v>0</v>
      </c>
      <c r="L192" s="287" t="str">
        <f>'Unit Savings Calculations'!U188</f>
        <v>CI-HVC-PINS-V04-160601</v>
      </c>
      <c r="M192" s="363" t="s">
        <v>830</v>
      </c>
      <c r="N192" s="290">
        <v>3.1854757047967208</v>
      </c>
      <c r="O192" s="290">
        <v>3.1854757047967208</v>
      </c>
      <c r="P192" s="290">
        <v>3.1854757047967208</v>
      </c>
      <c r="Q192" s="290">
        <v>3.1854757047967208</v>
      </c>
      <c r="R192" s="291">
        <f>'Unit Savings Calculations'!$G188</f>
        <v>0.92</v>
      </c>
      <c r="S192" s="291">
        <f>'Unit Savings Calculations'!$G188</f>
        <v>0.92</v>
      </c>
      <c r="T192" s="291">
        <f>'Unit Savings Calculations'!$G188</f>
        <v>0.92</v>
      </c>
      <c r="U192" s="291">
        <f>'Unit Savings Calculations'!$G188</f>
        <v>0.92</v>
      </c>
      <c r="V192" s="292">
        <f t="shared" si="104"/>
        <v>0</v>
      </c>
      <c r="W192" s="292">
        <f t="shared" si="105"/>
        <v>0</v>
      </c>
      <c r="X192" s="292">
        <f t="shared" si="106"/>
        <v>0</v>
      </c>
      <c r="Y192" s="292">
        <f t="shared" si="107"/>
        <v>0</v>
      </c>
      <c r="Z192" s="292">
        <f t="shared" si="108"/>
        <v>0</v>
      </c>
      <c r="AA192" s="287"/>
      <c r="AB192" s="287"/>
      <c r="AC192" s="293">
        <f>'Unit Savings Calculations'!N188</f>
        <v>3.1854757047967208</v>
      </c>
      <c r="AD192" s="287"/>
      <c r="AE192" s="292">
        <f t="shared" si="72"/>
        <v>0</v>
      </c>
      <c r="AF192" s="289">
        <f t="shared" si="73"/>
        <v>0</v>
      </c>
      <c r="AG192" s="287"/>
      <c r="AH192" s="287">
        <f t="shared" si="74"/>
        <v>0</v>
      </c>
      <c r="AI192" s="290">
        <f>'Unit Savings Calculations'!O188</f>
        <v>3.1854757047967208</v>
      </c>
      <c r="AJ192" s="287" t="s">
        <v>872</v>
      </c>
      <c r="AK192" s="292">
        <f t="shared" si="75"/>
        <v>0</v>
      </c>
      <c r="AL192" s="289">
        <f t="shared" si="76"/>
        <v>0</v>
      </c>
      <c r="AM192" s="287"/>
      <c r="AN192" s="287"/>
      <c r="AO192" s="290">
        <f>'Unit Savings Calculations'!P188</f>
        <v>3.1854757047967208</v>
      </c>
      <c r="AP192" s="287" t="s">
        <v>764</v>
      </c>
      <c r="AQ192" s="292">
        <f t="shared" si="77"/>
        <v>0</v>
      </c>
      <c r="AR192" s="289">
        <f t="shared" si="78"/>
        <v>0</v>
      </c>
      <c r="AS192" s="287"/>
      <c r="AT192" s="287"/>
      <c r="AU192" s="290">
        <f>'Unit Savings Calculations'!Q188</f>
        <v>3.1854757047967208</v>
      </c>
      <c r="AV192" s="287" t="str">
        <f t="shared" si="79"/>
        <v>n/a</v>
      </c>
      <c r="AW192" s="292">
        <f t="shared" si="80"/>
        <v>0</v>
      </c>
      <c r="AX192" s="289">
        <f t="shared" si="81"/>
        <v>0</v>
      </c>
      <c r="AY192" s="292">
        <f t="shared" si="82"/>
        <v>0</v>
      </c>
      <c r="AZ192" s="292">
        <f t="shared" si="83"/>
        <v>0</v>
      </c>
      <c r="BA192" s="292">
        <f t="shared" si="84"/>
        <v>0</v>
      </c>
      <c r="BB192" s="292">
        <f t="shared" si="85"/>
        <v>0</v>
      </c>
      <c r="BC192" s="294">
        <f t="shared" si="86"/>
        <v>0</v>
      </c>
      <c r="BD192" s="287" t="s">
        <v>764</v>
      </c>
      <c r="BE192" s="295" t="str">
        <f t="shared" si="87"/>
        <v>Exhibit 1.5B_R Peoples Gas EEPS_Adjustable_Savings_Goal_Template.xlsx, Unit Savings Calculations Tab</v>
      </c>
      <c r="BF192" s="297"/>
    </row>
    <row r="193" spans="1:58" ht="13.5" customHeight="1">
      <c r="A193" s="287" t="str">
        <f>'Unit Savings Calculations'!C189</f>
        <v>Bus - SB Rebates</v>
      </c>
      <c r="B193" s="287" t="str">
        <f>'Unit Savings Calculations'!D189</f>
        <v>Pipe Insulation - Steam - Med 2.1" to 5"</v>
      </c>
      <c r="C193" s="288">
        <f t="shared" si="88"/>
        <v>1</v>
      </c>
      <c r="D193" s="287" t="str">
        <f>'Unit Savings Calculations'!T189</f>
        <v>4.4.14</v>
      </c>
      <c r="E193" s="287">
        <f>INDEX('Unit Savings Calculations'!$H$4:$H$421,MATCH('Measure-Level Adjustments Tab'!$A193&amp;"_"&amp;'Measure-Level Adjustments Tab'!$B193,'Unit Savings Calculations'!$A$4:$A$421,0))</f>
        <v>15</v>
      </c>
      <c r="F193" s="287">
        <f>INDEX('Unit Savings Calculations'!$I$4:$I$421,MATCH('Measure-Level Adjustments Tab'!A193&amp;"_"&amp;'Measure-Level Adjustments Tab'!B193,'Unit Savings Calculations'!$A$4:$A$421,0))</f>
        <v>15</v>
      </c>
      <c r="G193" s="287" t="str">
        <f>'Unit Savings Calculations'!E189</f>
        <v>ft</v>
      </c>
      <c r="H193" s="289">
        <f>'Unit Savings Calculations'!$F189*'Unit Savings Calculations'!J189</f>
        <v>0</v>
      </c>
      <c r="I193" s="289">
        <f>'Unit Savings Calculations'!$F189*'Unit Savings Calculations'!K189</f>
        <v>0</v>
      </c>
      <c r="J193" s="289">
        <f>'Unit Savings Calculations'!$F189*'Unit Savings Calculations'!L189</f>
        <v>0</v>
      </c>
      <c r="K193" s="289">
        <f>'Unit Savings Calculations'!$F189*'Unit Savings Calculations'!M189</f>
        <v>0</v>
      </c>
      <c r="L193" s="287" t="str">
        <f>'Unit Savings Calculations'!U189</f>
        <v>CI-HVC-PINS-V04-160601</v>
      </c>
      <c r="M193" s="363" t="s">
        <v>830</v>
      </c>
      <c r="N193" s="290">
        <v>13.148126788517139</v>
      </c>
      <c r="O193" s="290">
        <v>13.148126788517139</v>
      </c>
      <c r="P193" s="290">
        <v>13.148126788517139</v>
      </c>
      <c r="Q193" s="290">
        <v>13.148126788517139</v>
      </c>
      <c r="R193" s="291">
        <f>'Unit Savings Calculations'!$G189</f>
        <v>0.92</v>
      </c>
      <c r="S193" s="291">
        <f>'Unit Savings Calculations'!$G189</f>
        <v>0.92</v>
      </c>
      <c r="T193" s="291">
        <f>'Unit Savings Calculations'!$G189</f>
        <v>0.92</v>
      </c>
      <c r="U193" s="291">
        <f>'Unit Savings Calculations'!$G189</f>
        <v>0.92</v>
      </c>
      <c r="V193" s="292">
        <f t="shared" si="104"/>
        <v>0</v>
      </c>
      <c r="W193" s="292">
        <f t="shared" si="105"/>
        <v>0</v>
      </c>
      <c r="X193" s="292">
        <f t="shared" si="106"/>
        <v>0</v>
      </c>
      <c r="Y193" s="292">
        <f t="shared" si="107"/>
        <v>0</v>
      </c>
      <c r="Z193" s="292">
        <f t="shared" si="108"/>
        <v>0</v>
      </c>
      <c r="AA193" s="287"/>
      <c r="AB193" s="287"/>
      <c r="AC193" s="293">
        <f>'Unit Savings Calculations'!N189</f>
        <v>13.148126788517139</v>
      </c>
      <c r="AD193" s="287"/>
      <c r="AE193" s="292">
        <f t="shared" si="72"/>
        <v>0</v>
      </c>
      <c r="AF193" s="289">
        <f t="shared" si="73"/>
        <v>0</v>
      </c>
      <c r="AG193" s="287"/>
      <c r="AH193" s="287">
        <f t="shared" si="74"/>
        <v>0</v>
      </c>
      <c r="AI193" s="290">
        <f>'Unit Savings Calculations'!O189</f>
        <v>13.148126788517139</v>
      </c>
      <c r="AJ193" s="287" t="s">
        <v>872</v>
      </c>
      <c r="AK193" s="292">
        <f t="shared" si="75"/>
        <v>0</v>
      </c>
      <c r="AL193" s="289">
        <f t="shared" si="76"/>
        <v>0</v>
      </c>
      <c r="AM193" s="287"/>
      <c r="AN193" s="287"/>
      <c r="AO193" s="290">
        <f>'Unit Savings Calculations'!P189</f>
        <v>13.148126788517139</v>
      </c>
      <c r="AP193" s="287" t="s">
        <v>764</v>
      </c>
      <c r="AQ193" s="292">
        <f t="shared" si="77"/>
        <v>0</v>
      </c>
      <c r="AR193" s="289">
        <f t="shared" si="78"/>
        <v>0</v>
      </c>
      <c r="AS193" s="287"/>
      <c r="AT193" s="287"/>
      <c r="AU193" s="290">
        <f>'Unit Savings Calculations'!Q189</f>
        <v>13.148126788517139</v>
      </c>
      <c r="AV193" s="287" t="str">
        <f t="shared" si="79"/>
        <v>n/a</v>
      </c>
      <c r="AW193" s="292">
        <f t="shared" si="80"/>
        <v>0</v>
      </c>
      <c r="AX193" s="289">
        <f t="shared" si="81"/>
        <v>0</v>
      </c>
      <c r="AY193" s="292">
        <f t="shared" si="82"/>
        <v>0</v>
      </c>
      <c r="AZ193" s="292">
        <f t="shared" si="83"/>
        <v>0</v>
      </c>
      <c r="BA193" s="292">
        <f t="shared" si="84"/>
        <v>0</v>
      </c>
      <c r="BB193" s="292">
        <f t="shared" si="85"/>
        <v>0</v>
      </c>
      <c r="BC193" s="294">
        <f t="shared" si="86"/>
        <v>0</v>
      </c>
      <c r="BD193" s="287" t="s">
        <v>764</v>
      </c>
      <c r="BE193" s="295" t="str">
        <f t="shared" si="87"/>
        <v>Exhibit 1.5B_R Peoples Gas EEPS_Adjustable_Savings_Goal_Template.xlsx, Unit Savings Calculations Tab</v>
      </c>
      <c r="BF193" s="297"/>
    </row>
    <row r="194" spans="1:58" ht="13.5" customHeight="1">
      <c r="A194" s="287" t="str">
        <f>'Unit Savings Calculations'!C190</f>
        <v>Bus - SB Rebates</v>
      </c>
      <c r="B194" s="287" t="str">
        <f>'Unit Savings Calculations'!D190</f>
        <v>Pipe Insulation - Steam - Large 5.1" to 8"</v>
      </c>
      <c r="C194" s="288">
        <f t="shared" si="88"/>
        <v>1</v>
      </c>
      <c r="D194" s="287" t="str">
        <f>'Unit Savings Calculations'!T190</f>
        <v>4.4.14</v>
      </c>
      <c r="E194" s="287">
        <f>INDEX('Unit Savings Calculations'!$H$4:$H$421,MATCH('Measure-Level Adjustments Tab'!$A194&amp;"_"&amp;'Measure-Level Adjustments Tab'!$B194,'Unit Savings Calculations'!$A$4:$A$421,0))</f>
        <v>15</v>
      </c>
      <c r="F194" s="287">
        <f>INDEX('Unit Savings Calculations'!$I$4:$I$421,MATCH('Measure-Level Adjustments Tab'!A194&amp;"_"&amp;'Measure-Level Adjustments Tab'!B194,'Unit Savings Calculations'!$A$4:$A$421,0))</f>
        <v>15</v>
      </c>
      <c r="G194" s="287" t="str">
        <f>'Unit Savings Calculations'!E190</f>
        <v>ft</v>
      </c>
      <c r="H194" s="289">
        <f>'Unit Savings Calculations'!$F190*'Unit Savings Calculations'!J190</f>
        <v>0</v>
      </c>
      <c r="I194" s="289">
        <f>'Unit Savings Calculations'!$F190*'Unit Savings Calculations'!K190</f>
        <v>0</v>
      </c>
      <c r="J194" s="289">
        <f>'Unit Savings Calculations'!$F190*'Unit Savings Calculations'!L190</f>
        <v>0</v>
      </c>
      <c r="K194" s="289">
        <f>'Unit Savings Calculations'!$F190*'Unit Savings Calculations'!M190</f>
        <v>0</v>
      </c>
      <c r="L194" s="287" t="str">
        <f>'Unit Savings Calculations'!U190</f>
        <v>CI-HVC-PINS-V04-160601</v>
      </c>
      <c r="M194" s="363" t="s">
        <v>830</v>
      </c>
      <c r="N194" s="290">
        <v>24.25563238537794</v>
      </c>
      <c r="O194" s="290">
        <v>24.25563238537794</v>
      </c>
      <c r="P194" s="290">
        <v>24.25563238537794</v>
      </c>
      <c r="Q194" s="290">
        <v>24.25563238537794</v>
      </c>
      <c r="R194" s="291">
        <f>'Unit Savings Calculations'!$G190</f>
        <v>0.92</v>
      </c>
      <c r="S194" s="291">
        <f>'Unit Savings Calculations'!$G190</f>
        <v>0.92</v>
      </c>
      <c r="T194" s="291">
        <f>'Unit Savings Calculations'!$G190</f>
        <v>0.92</v>
      </c>
      <c r="U194" s="291">
        <f>'Unit Savings Calculations'!$G190</f>
        <v>0.92</v>
      </c>
      <c r="V194" s="292">
        <f t="shared" si="104"/>
        <v>0</v>
      </c>
      <c r="W194" s="292">
        <f t="shared" si="105"/>
        <v>0</v>
      </c>
      <c r="X194" s="292">
        <f t="shared" si="106"/>
        <v>0</v>
      </c>
      <c r="Y194" s="292">
        <f t="shared" si="107"/>
        <v>0</v>
      </c>
      <c r="Z194" s="292">
        <f t="shared" si="108"/>
        <v>0</v>
      </c>
      <c r="AA194" s="287"/>
      <c r="AB194" s="287"/>
      <c r="AC194" s="293">
        <f>'Unit Savings Calculations'!N190</f>
        <v>24.25563238537794</v>
      </c>
      <c r="AD194" s="287"/>
      <c r="AE194" s="292">
        <f t="shared" si="72"/>
        <v>0</v>
      </c>
      <c r="AF194" s="289">
        <f t="shared" si="73"/>
        <v>0</v>
      </c>
      <c r="AG194" s="287"/>
      <c r="AH194" s="287">
        <f t="shared" si="74"/>
        <v>0</v>
      </c>
      <c r="AI194" s="290">
        <f>'Unit Savings Calculations'!O190</f>
        <v>24.25563238537794</v>
      </c>
      <c r="AJ194" s="287" t="s">
        <v>872</v>
      </c>
      <c r="AK194" s="292">
        <f t="shared" si="75"/>
        <v>0</v>
      </c>
      <c r="AL194" s="289">
        <f t="shared" si="76"/>
        <v>0</v>
      </c>
      <c r="AM194" s="287"/>
      <c r="AN194" s="287"/>
      <c r="AO194" s="290">
        <f>'Unit Savings Calculations'!P190</f>
        <v>24.25563238537794</v>
      </c>
      <c r="AP194" s="287" t="s">
        <v>764</v>
      </c>
      <c r="AQ194" s="292">
        <f t="shared" si="77"/>
        <v>0</v>
      </c>
      <c r="AR194" s="289">
        <f t="shared" si="78"/>
        <v>0</v>
      </c>
      <c r="AS194" s="287"/>
      <c r="AT194" s="287"/>
      <c r="AU194" s="290">
        <f>'Unit Savings Calculations'!Q190</f>
        <v>24.25563238537794</v>
      </c>
      <c r="AV194" s="287" t="str">
        <f t="shared" si="79"/>
        <v>n/a</v>
      </c>
      <c r="AW194" s="292">
        <f t="shared" si="80"/>
        <v>0</v>
      </c>
      <c r="AX194" s="289">
        <f t="shared" si="81"/>
        <v>0</v>
      </c>
      <c r="AY194" s="292">
        <f t="shared" si="82"/>
        <v>0</v>
      </c>
      <c r="AZ194" s="292">
        <f t="shared" si="83"/>
        <v>0</v>
      </c>
      <c r="BA194" s="292">
        <f t="shared" si="84"/>
        <v>0</v>
      </c>
      <c r="BB194" s="292">
        <f t="shared" si="85"/>
        <v>0</v>
      </c>
      <c r="BC194" s="294">
        <f t="shared" si="86"/>
        <v>0</v>
      </c>
      <c r="BD194" s="287" t="s">
        <v>764</v>
      </c>
      <c r="BE194" s="295" t="str">
        <f t="shared" si="87"/>
        <v>Exhibit 1.5B_R Peoples Gas EEPS_Adjustable_Savings_Goal_Template.xlsx, Unit Savings Calculations Tab</v>
      </c>
      <c r="BF194" s="297"/>
    </row>
    <row r="195" spans="1:58" ht="13.5" customHeight="1">
      <c r="A195" s="287" t="str">
        <f>'Unit Savings Calculations'!C191</f>
        <v>Bus - SB Rebates</v>
      </c>
      <c r="B195" s="287" t="str">
        <f>'Unit Savings Calculations'!D191</f>
        <v>Pipe Insulation - Steam - X-Large &gt;8"</v>
      </c>
      <c r="C195" s="288">
        <f t="shared" si="88"/>
        <v>1</v>
      </c>
      <c r="D195" s="287" t="str">
        <f>'Unit Savings Calculations'!T191</f>
        <v>4.4.14</v>
      </c>
      <c r="E195" s="287">
        <f>INDEX('Unit Savings Calculations'!$H$4:$H$421,MATCH('Measure-Level Adjustments Tab'!$A195&amp;"_"&amp;'Measure-Level Adjustments Tab'!$B195,'Unit Savings Calculations'!$A$4:$A$421,0))</f>
        <v>15</v>
      </c>
      <c r="F195" s="287">
        <f>INDEX('Unit Savings Calculations'!$I$4:$I$421,MATCH('Measure-Level Adjustments Tab'!A195&amp;"_"&amp;'Measure-Level Adjustments Tab'!B195,'Unit Savings Calculations'!$A$4:$A$421,0))</f>
        <v>15</v>
      </c>
      <c r="G195" s="287" t="str">
        <f>'Unit Savings Calculations'!E191</f>
        <v>ft</v>
      </c>
      <c r="H195" s="289">
        <f>'Unit Savings Calculations'!$F191*'Unit Savings Calculations'!J191</f>
        <v>0</v>
      </c>
      <c r="I195" s="289">
        <f>'Unit Savings Calculations'!$F191*'Unit Savings Calculations'!K191</f>
        <v>0</v>
      </c>
      <c r="J195" s="289">
        <f>'Unit Savings Calculations'!$F191*'Unit Savings Calculations'!L191</f>
        <v>0</v>
      </c>
      <c r="K195" s="289">
        <f>'Unit Savings Calculations'!$F191*'Unit Savings Calculations'!M191</f>
        <v>0</v>
      </c>
      <c r="L195" s="287" t="str">
        <f>'Unit Savings Calculations'!U191</f>
        <v>CI-HVC-PINS-V04-160601</v>
      </c>
      <c r="M195" s="363" t="s">
        <v>830</v>
      </c>
      <c r="N195" s="290">
        <v>35.984797966765058</v>
      </c>
      <c r="O195" s="290">
        <v>35.984797966765058</v>
      </c>
      <c r="P195" s="290">
        <v>35.984797966765058</v>
      </c>
      <c r="Q195" s="290">
        <v>35.984797966765058</v>
      </c>
      <c r="R195" s="291">
        <f>'Unit Savings Calculations'!$G191</f>
        <v>0.92</v>
      </c>
      <c r="S195" s="291">
        <f>'Unit Savings Calculations'!$G191</f>
        <v>0.92</v>
      </c>
      <c r="T195" s="291">
        <f>'Unit Savings Calculations'!$G191</f>
        <v>0.92</v>
      </c>
      <c r="U195" s="291">
        <f>'Unit Savings Calculations'!$G191</f>
        <v>0.92</v>
      </c>
      <c r="V195" s="292">
        <f t="shared" si="104"/>
        <v>0</v>
      </c>
      <c r="W195" s="292">
        <f t="shared" si="105"/>
        <v>0</v>
      </c>
      <c r="X195" s="292">
        <f t="shared" si="106"/>
        <v>0</v>
      </c>
      <c r="Y195" s="292">
        <f t="shared" si="107"/>
        <v>0</v>
      </c>
      <c r="Z195" s="292">
        <f t="shared" si="108"/>
        <v>0</v>
      </c>
      <c r="AA195" s="287"/>
      <c r="AB195" s="287"/>
      <c r="AC195" s="293">
        <f>'Unit Savings Calculations'!N191</f>
        <v>35.984797966765058</v>
      </c>
      <c r="AD195" s="287"/>
      <c r="AE195" s="292">
        <f t="shared" si="72"/>
        <v>0</v>
      </c>
      <c r="AF195" s="289">
        <f t="shared" si="73"/>
        <v>0</v>
      </c>
      <c r="AG195" s="287"/>
      <c r="AH195" s="287">
        <f t="shared" si="74"/>
        <v>0</v>
      </c>
      <c r="AI195" s="290">
        <f>'Unit Savings Calculations'!O191</f>
        <v>35.984797966765058</v>
      </c>
      <c r="AJ195" s="287" t="s">
        <v>872</v>
      </c>
      <c r="AK195" s="292">
        <f t="shared" si="75"/>
        <v>0</v>
      </c>
      <c r="AL195" s="289">
        <f t="shared" si="76"/>
        <v>0</v>
      </c>
      <c r="AM195" s="287"/>
      <c r="AN195" s="287"/>
      <c r="AO195" s="290">
        <f>'Unit Savings Calculations'!P191</f>
        <v>35.984797966765058</v>
      </c>
      <c r="AP195" s="287" t="s">
        <v>764</v>
      </c>
      <c r="AQ195" s="292">
        <f t="shared" si="77"/>
        <v>0</v>
      </c>
      <c r="AR195" s="289">
        <f t="shared" si="78"/>
        <v>0</v>
      </c>
      <c r="AS195" s="287"/>
      <c r="AT195" s="287"/>
      <c r="AU195" s="290">
        <f>'Unit Savings Calculations'!Q191</f>
        <v>35.984797966765058</v>
      </c>
      <c r="AV195" s="287" t="str">
        <f t="shared" si="79"/>
        <v>n/a</v>
      </c>
      <c r="AW195" s="292">
        <f t="shared" si="80"/>
        <v>0</v>
      </c>
      <c r="AX195" s="289">
        <f t="shared" si="81"/>
        <v>0</v>
      </c>
      <c r="AY195" s="292">
        <f t="shared" si="82"/>
        <v>0</v>
      </c>
      <c r="AZ195" s="292">
        <f t="shared" si="83"/>
        <v>0</v>
      </c>
      <c r="BA195" s="292">
        <f t="shared" si="84"/>
        <v>0</v>
      </c>
      <c r="BB195" s="292">
        <f t="shared" si="85"/>
        <v>0</v>
      </c>
      <c r="BC195" s="294">
        <f t="shared" si="86"/>
        <v>0</v>
      </c>
      <c r="BD195" s="287" t="s">
        <v>764</v>
      </c>
      <c r="BE195" s="295" t="str">
        <f t="shared" si="87"/>
        <v>Exhibit 1.5B_R Peoples Gas EEPS_Adjustable_Savings_Goal_Template.xlsx, Unit Savings Calculations Tab</v>
      </c>
      <c r="BF195" s="297"/>
    </row>
    <row r="196" spans="1:58" ht="13.5" customHeight="1">
      <c r="A196" s="287" t="str">
        <f>'Unit Savings Calculations'!C192</f>
        <v>Bus - SB Rebates</v>
      </c>
      <c r="B196" s="287" t="str">
        <f>'Unit Savings Calculations'!D192</f>
        <v>Pipe Insulation - Steam Med Fitting</v>
      </c>
      <c r="C196" s="288">
        <f t="shared" si="88"/>
        <v>1</v>
      </c>
      <c r="D196" s="287" t="str">
        <f>'Unit Savings Calculations'!T192</f>
        <v>4.4.14</v>
      </c>
      <c r="E196" s="287">
        <f>INDEX('Unit Savings Calculations'!$H$4:$H$421,MATCH('Measure-Level Adjustments Tab'!$A196&amp;"_"&amp;'Measure-Level Adjustments Tab'!$B196,'Unit Savings Calculations'!$A$4:$A$421,0))</f>
        <v>15</v>
      </c>
      <c r="F196" s="287">
        <f>INDEX('Unit Savings Calculations'!$I$4:$I$421,MATCH('Measure-Level Adjustments Tab'!A196&amp;"_"&amp;'Measure-Level Adjustments Tab'!B196,'Unit Savings Calculations'!$A$4:$A$421,0))</f>
        <v>15</v>
      </c>
      <c r="G196" s="287" t="str">
        <f>'Unit Savings Calculations'!E192</f>
        <v>each</v>
      </c>
      <c r="H196" s="289">
        <f>'Unit Savings Calculations'!$F192*'Unit Savings Calculations'!J192</f>
        <v>0</v>
      </c>
      <c r="I196" s="289">
        <f>'Unit Savings Calculations'!$F192*'Unit Savings Calculations'!K192</f>
        <v>0</v>
      </c>
      <c r="J196" s="289">
        <f>'Unit Savings Calculations'!$F192*'Unit Savings Calculations'!L192</f>
        <v>0</v>
      </c>
      <c r="K196" s="289">
        <f>'Unit Savings Calculations'!$F192*'Unit Savings Calculations'!M192</f>
        <v>0</v>
      </c>
      <c r="L196" s="287" t="str">
        <f>'Unit Savings Calculations'!U192</f>
        <v>CI-HVC-PINS-V04-160601</v>
      </c>
      <c r="M196" s="363" t="s">
        <v>830</v>
      </c>
      <c r="N196" s="290">
        <v>12.515179237984789</v>
      </c>
      <c r="O196" s="290">
        <v>12.515179237984789</v>
      </c>
      <c r="P196" s="290">
        <v>12.515179237984789</v>
      </c>
      <c r="Q196" s="290">
        <v>12.515179237984789</v>
      </c>
      <c r="R196" s="291">
        <f>'Unit Savings Calculations'!$G192</f>
        <v>0.92</v>
      </c>
      <c r="S196" s="291">
        <f>'Unit Savings Calculations'!$G192</f>
        <v>0.92</v>
      </c>
      <c r="T196" s="291">
        <f>'Unit Savings Calculations'!$G192</f>
        <v>0.92</v>
      </c>
      <c r="U196" s="291">
        <f>'Unit Savings Calculations'!$G192</f>
        <v>0.92</v>
      </c>
      <c r="V196" s="292">
        <f t="shared" si="104"/>
        <v>0</v>
      </c>
      <c r="W196" s="292">
        <f t="shared" si="105"/>
        <v>0</v>
      </c>
      <c r="X196" s="292">
        <f t="shared" si="106"/>
        <v>0</v>
      </c>
      <c r="Y196" s="292">
        <f t="shared" si="107"/>
        <v>0</v>
      </c>
      <c r="Z196" s="292">
        <f t="shared" si="108"/>
        <v>0</v>
      </c>
      <c r="AA196" s="287"/>
      <c r="AB196" s="287"/>
      <c r="AC196" s="293">
        <f>'Unit Savings Calculations'!N192</f>
        <v>12.515179237984789</v>
      </c>
      <c r="AD196" s="287"/>
      <c r="AE196" s="292">
        <f t="shared" si="72"/>
        <v>0</v>
      </c>
      <c r="AF196" s="289">
        <f t="shared" si="73"/>
        <v>0</v>
      </c>
      <c r="AG196" s="287"/>
      <c r="AH196" s="287">
        <f t="shared" si="74"/>
        <v>0</v>
      </c>
      <c r="AI196" s="290">
        <f>'Unit Savings Calculations'!O192</f>
        <v>12.515179237984789</v>
      </c>
      <c r="AJ196" s="287" t="s">
        <v>872</v>
      </c>
      <c r="AK196" s="292">
        <f t="shared" si="75"/>
        <v>0</v>
      </c>
      <c r="AL196" s="289">
        <f t="shared" si="76"/>
        <v>0</v>
      </c>
      <c r="AM196" s="287"/>
      <c r="AN196" s="287"/>
      <c r="AO196" s="290">
        <f>'Unit Savings Calculations'!P192</f>
        <v>12.515179237984789</v>
      </c>
      <c r="AP196" s="287" t="s">
        <v>764</v>
      </c>
      <c r="AQ196" s="292">
        <f t="shared" si="77"/>
        <v>0</v>
      </c>
      <c r="AR196" s="289">
        <f t="shared" si="78"/>
        <v>0</v>
      </c>
      <c r="AS196" s="287"/>
      <c r="AT196" s="287"/>
      <c r="AU196" s="290">
        <f>'Unit Savings Calculations'!Q192</f>
        <v>12.515179237984789</v>
      </c>
      <c r="AV196" s="287" t="str">
        <f t="shared" si="79"/>
        <v>n/a</v>
      </c>
      <c r="AW196" s="292">
        <f t="shared" si="80"/>
        <v>0</v>
      </c>
      <c r="AX196" s="289">
        <f t="shared" si="81"/>
        <v>0</v>
      </c>
      <c r="AY196" s="292">
        <f t="shared" si="82"/>
        <v>0</v>
      </c>
      <c r="AZ196" s="292">
        <f t="shared" si="83"/>
        <v>0</v>
      </c>
      <c r="BA196" s="292">
        <f t="shared" si="84"/>
        <v>0</v>
      </c>
      <c r="BB196" s="292">
        <f t="shared" si="85"/>
        <v>0</v>
      </c>
      <c r="BC196" s="294">
        <f t="shared" si="86"/>
        <v>0</v>
      </c>
      <c r="BD196" s="287" t="s">
        <v>764</v>
      </c>
      <c r="BE196" s="295" t="str">
        <f t="shared" si="87"/>
        <v>Exhibit 1.5B_R Peoples Gas EEPS_Adjustable_Savings_Goal_Template.xlsx, Unit Savings Calculations Tab</v>
      </c>
      <c r="BF196" s="297"/>
    </row>
    <row r="197" spans="1:58" ht="13.5" customHeight="1">
      <c r="A197" s="287" t="str">
        <f>'Unit Savings Calculations'!C193</f>
        <v>Bus - SB Rebates</v>
      </c>
      <c r="B197" s="287" t="str">
        <f>'Unit Savings Calculations'!D193</f>
        <v>Pipe Insulation - Steam Large Fitting</v>
      </c>
      <c r="C197" s="288">
        <f t="shared" si="88"/>
        <v>1</v>
      </c>
      <c r="D197" s="287" t="str">
        <f>'Unit Savings Calculations'!T193</f>
        <v>4.4.14</v>
      </c>
      <c r="E197" s="287">
        <f>INDEX('Unit Savings Calculations'!$H$4:$H$421,MATCH('Measure-Level Adjustments Tab'!$A197&amp;"_"&amp;'Measure-Level Adjustments Tab'!$B197,'Unit Savings Calculations'!$A$4:$A$421,0))</f>
        <v>15</v>
      </c>
      <c r="F197" s="287">
        <f>INDEX('Unit Savings Calculations'!$I$4:$I$421,MATCH('Measure-Level Adjustments Tab'!A197&amp;"_"&amp;'Measure-Level Adjustments Tab'!B197,'Unit Savings Calculations'!$A$4:$A$421,0))</f>
        <v>15</v>
      </c>
      <c r="G197" s="287" t="str">
        <f>'Unit Savings Calculations'!E193</f>
        <v>each</v>
      </c>
      <c r="H197" s="289">
        <f>'Unit Savings Calculations'!$F193*'Unit Savings Calculations'!J193</f>
        <v>0</v>
      </c>
      <c r="I197" s="289">
        <f>'Unit Savings Calculations'!$F193*'Unit Savings Calculations'!K193</f>
        <v>0</v>
      </c>
      <c r="J197" s="289">
        <f>'Unit Savings Calculations'!$F193*'Unit Savings Calculations'!L193</f>
        <v>0</v>
      </c>
      <c r="K197" s="289">
        <f>'Unit Savings Calculations'!$F193*'Unit Savings Calculations'!M193</f>
        <v>0</v>
      </c>
      <c r="L197" s="287" t="str">
        <f>'Unit Savings Calculations'!U193</f>
        <v>CI-HVC-PINS-V04-160601</v>
      </c>
      <c r="M197" s="363" t="s">
        <v>830</v>
      </c>
      <c r="N197" s="290">
        <v>51.249515380658096</v>
      </c>
      <c r="O197" s="290">
        <v>51.249515380658096</v>
      </c>
      <c r="P197" s="290">
        <v>51.249515380658096</v>
      </c>
      <c r="Q197" s="290">
        <v>51.249515380658096</v>
      </c>
      <c r="R197" s="291">
        <f>'Unit Savings Calculations'!$G193</f>
        <v>0.92</v>
      </c>
      <c r="S197" s="291">
        <f>'Unit Savings Calculations'!$G193</f>
        <v>0.92</v>
      </c>
      <c r="T197" s="291">
        <f>'Unit Savings Calculations'!$G193</f>
        <v>0.92</v>
      </c>
      <c r="U197" s="291">
        <f>'Unit Savings Calculations'!$G193</f>
        <v>0.92</v>
      </c>
      <c r="V197" s="292">
        <f t="shared" si="104"/>
        <v>0</v>
      </c>
      <c r="W197" s="292">
        <f t="shared" si="105"/>
        <v>0</v>
      </c>
      <c r="X197" s="292">
        <f t="shared" si="106"/>
        <v>0</v>
      </c>
      <c r="Y197" s="292">
        <f t="shared" si="107"/>
        <v>0</v>
      </c>
      <c r="Z197" s="292">
        <f t="shared" si="108"/>
        <v>0</v>
      </c>
      <c r="AA197" s="287"/>
      <c r="AB197" s="287"/>
      <c r="AC197" s="293">
        <f>'Unit Savings Calculations'!N193</f>
        <v>51.249515380658096</v>
      </c>
      <c r="AD197" s="287"/>
      <c r="AE197" s="292">
        <f t="shared" si="72"/>
        <v>0</v>
      </c>
      <c r="AF197" s="289">
        <f t="shared" si="73"/>
        <v>0</v>
      </c>
      <c r="AG197" s="287"/>
      <c r="AH197" s="287">
        <f t="shared" si="74"/>
        <v>0</v>
      </c>
      <c r="AI197" s="290">
        <f>'Unit Savings Calculations'!O193</f>
        <v>51.249515380658096</v>
      </c>
      <c r="AJ197" s="287" t="s">
        <v>872</v>
      </c>
      <c r="AK197" s="292">
        <f t="shared" si="75"/>
        <v>0</v>
      </c>
      <c r="AL197" s="289">
        <f t="shared" si="76"/>
        <v>0</v>
      </c>
      <c r="AM197" s="287"/>
      <c r="AN197" s="287"/>
      <c r="AO197" s="290">
        <f>'Unit Savings Calculations'!P193</f>
        <v>51.249515380658096</v>
      </c>
      <c r="AP197" s="287" t="s">
        <v>764</v>
      </c>
      <c r="AQ197" s="292">
        <f t="shared" si="77"/>
        <v>0</v>
      </c>
      <c r="AR197" s="289">
        <f t="shared" si="78"/>
        <v>0</v>
      </c>
      <c r="AS197" s="287"/>
      <c r="AT197" s="287"/>
      <c r="AU197" s="290">
        <f>'Unit Savings Calculations'!Q193</f>
        <v>51.249515380658096</v>
      </c>
      <c r="AV197" s="287" t="str">
        <f t="shared" si="79"/>
        <v>n/a</v>
      </c>
      <c r="AW197" s="292">
        <f t="shared" si="80"/>
        <v>0</v>
      </c>
      <c r="AX197" s="289">
        <f t="shared" si="81"/>
        <v>0</v>
      </c>
      <c r="AY197" s="292">
        <f t="shared" si="82"/>
        <v>0</v>
      </c>
      <c r="AZ197" s="292">
        <f t="shared" si="83"/>
        <v>0</v>
      </c>
      <c r="BA197" s="292">
        <f t="shared" si="84"/>
        <v>0</v>
      </c>
      <c r="BB197" s="292">
        <f t="shared" si="85"/>
        <v>0</v>
      </c>
      <c r="BC197" s="294">
        <f t="shared" si="86"/>
        <v>0</v>
      </c>
      <c r="BD197" s="287" t="s">
        <v>764</v>
      </c>
      <c r="BE197" s="295" t="str">
        <f t="shared" si="87"/>
        <v>Exhibit 1.5B_R Peoples Gas EEPS_Adjustable_Savings_Goal_Template.xlsx, Unit Savings Calculations Tab</v>
      </c>
      <c r="BF197" s="297"/>
    </row>
    <row r="198" spans="1:58" ht="13.5" customHeight="1">
      <c r="A198" s="287" t="str">
        <f>'Unit Savings Calculations'!C194</f>
        <v>Bus - SB Rebates</v>
      </c>
      <c r="B198" s="287" t="str">
        <f>'Unit Savings Calculations'!D194</f>
        <v>Pipe Insulation - Steam X-Large Fitting</v>
      </c>
      <c r="C198" s="288">
        <f t="shared" si="88"/>
        <v>1</v>
      </c>
      <c r="D198" s="287" t="str">
        <f>'Unit Savings Calculations'!T194</f>
        <v>4.4.14</v>
      </c>
      <c r="E198" s="287">
        <f>INDEX('Unit Savings Calculations'!$H$4:$H$421,MATCH('Measure-Level Adjustments Tab'!$A198&amp;"_"&amp;'Measure-Level Adjustments Tab'!$B198,'Unit Savings Calculations'!$A$4:$A$421,0))</f>
        <v>15</v>
      </c>
      <c r="F198" s="287">
        <f>INDEX('Unit Savings Calculations'!$I$4:$I$421,MATCH('Measure-Level Adjustments Tab'!A198&amp;"_"&amp;'Measure-Level Adjustments Tab'!B198,'Unit Savings Calculations'!$A$4:$A$421,0))</f>
        <v>15</v>
      </c>
      <c r="G198" s="287" t="str">
        <f>'Unit Savings Calculations'!E194</f>
        <v>each</v>
      </c>
      <c r="H198" s="289">
        <f>'Unit Savings Calculations'!$F194*'Unit Savings Calculations'!J194</f>
        <v>0</v>
      </c>
      <c r="I198" s="289">
        <f>'Unit Savings Calculations'!$F194*'Unit Savings Calculations'!K194</f>
        <v>0</v>
      </c>
      <c r="J198" s="289">
        <f>'Unit Savings Calculations'!$F194*'Unit Savings Calculations'!L194</f>
        <v>0</v>
      </c>
      <c r="K198" s="289">
        <f>'Unit Savings Calculations'!$F194*'Unit Savings Calculations'!M194</f>
        <v>0</v>
      </c>
      <c r="L198" s="287" t="str">
        <f>'Unit Savings Calculations'!U194</f>
        <v>CI-HVC-PINS-V04-160601</v>
      </c>
      <c r="M198" s="363" t="s">
        <v>830</v>
      </c>
      <c r="N198" s="290">
        <v>99.138118398437726</v>
      </c>
      <c r="O198" s="290">
        <v>99.138118398437726</v>
      </c>
      <c r="P198" s="290">
        <v>99.138118398437726</v>
      </c>
      <c r="Q198" s="290">
        <v>99.138118398437726</v>
      </c>
      <c r="R198" s="291">
        <f>'Unit Savings Calculations'!$G194</f>
        <v>0.92</v>
      </c>
      <c r="S198" s="291">
        <f>'Unit Savings Calculations'!$G194</f>
        <v>0.92</v>
      </c>
      <c r="T198" s="291">
        <f>'Unit Savings Calculations'!$G194</f>
        <v>0.92</v>
      </c>
      <c r="U198" s="291">
        <f>'Unit Savings Calculations'!$G194</f>
        <v>0.92</v>
      </c>
      <c r="V198" s="292">
        <f t="shared" si="104"/>
        <v>0</v>
      </c>
      <c r="W198" s="292">
        <f t="shared" si="105"/>
        <v>0</v>
      </c>
      <c r="X198" s="292">
        <f t="shared" si="106"/>
        <v>0</v>
      </c>
      <c r="Y198" s="292">
        <f t="shared" si="107"/>
        <v>0</v>
      </c>
      <c r="Z198" s="292">
        <f t="shared" si="108"/>
        <v>0</v>
      </c>
      <c r="AA198" s="287"/>
      <c r="AB198" s="287"/>
      <c r="AC198" s="293">
        <f>'Unit Savings Calculations'!N194</f>
        <v>99.138118398437726</v>
      </c>
      <c r="AD198" s="287"/>
      <c r="AE198" s="292">
        <f t="shared" si="72"/>
        <v>0</v>
      </c>
      <c r="AF198" s="289">
        <f t="shared" si="73"/>
        <v>0</v>
      </c>
      <c r="AG198" s="287"/>
      <c r="AH198" s="287">
        <f t="shared" si="74"/>
        <v>0</v>
      </c>
      <c r="AI198" s="290">
        <f>'Unit Savings Calculations'!O194</f>
        <v>99.138118398437726</v>
      </c>
      <c r="AJ198" s="287" t="s">
        <v>872</v>
      </c>
      <c r="AK198" s="292">
        <f t="shared" si="75"/>
        <v>0</v>
      </c>
      <c r="AL198" s="289">
        <f t="shared" si="76"/>
        <v>0</v>
      </c>
      <c r="AM198" s="287"/>
      <c r="AN198" s="287"/>
      <c r="AO198" s="290">
        <f>'Unit Savings Calculations'!P194</f>
        <v>99.138118398437726</v>
      </c>
      <c r="AP198" s="287" t="s">
        <v>764</v>
      </c>
      <c r="AQ198" s="292">
        <f t="shared" si="77"/>
        <v>0</v>
      </c>
      <c r="AR198" s="289">
        <f t="shared" si="78"/>
        <v>0</v>
      </c>
      <c r="AS198" s="287"/>
      <c r="AT198" s="287"/>
      <c r="AU198" s="290">
        <f>'Unit Savings Calculations'!Q194</f>
        <v>99.138118398437726</v>
      </c>
      <c r="AV198" s="287" t="str">
        <f t="shared" si="79"/>
        <v>n/a</v>
      </c>
      <c r="AW198" s="292">
        <f t="shared" si="80"/>
        <v>0</v>
      </c>
      <c r="AX198" s="289">
        <f t="shared" si="81"/>
        <v>0</v>
      </c>
      <c r="AY198" s="292">
        <f t="shared" si="82"/>
        <v>0</v>
      </c>
      <c r="AZ198" s="292">
        <f t="shared" si="83"/>
        <v>0</v>
      </c>
      <c r="BA198" s="292">
        <f t="shared" si="84"/>
        <v>0</v>
      </c>
      <c r="BB198" s="292">
        <f t="shared" si="85"/>
        <v>0</v>
      </c>
      <c r="BC198" s="294">
        <f t="shared" si="86"/>
        <v>0</v>
      </c>
      <c r="BD198" s="287" t="s">
        <v>764</v>
      </c>
      <c r="BE198" s="295" t="str">
        <f t="shared" si="87"/>
        <v>Exhibit 1.5B_R Peoples Gas EEPS_Adjustable_Savings_Goal_Template.xlsx, Unit Savings Calculations Tab</v>
      </c>
      <c r="BF198" s="297"/>
    </row>
    <row r="199" spans="1:58" ht="13.5" customHeight="1">
      <c r="A199" s="287" t="str">
        <f>'Unit Savings Calculations'!C195</f>
        <v>Bus - SB Rebates</v>
      </c>
      <c r="B199" s="287" t="str">
        <f>'Unit Savings Calculations'!D195</f>
        <v>Pipe Insulation - Steam Med Valve</v>
      </c>
      <c r="C199" s="288">
        <f t="shared" si="88"/>
        <v>1</v>
      </c>
      <c r="D199" s="287" t="str">
        <f>'Unit Savings Calculations'!T195</f>
        <v>4.4.14</v>
      </c>
      <c r="E199" s="287">
        <f>INDEX('Unit Savings Calculations'!$H$4:$H$421,MATCH('Measure-Level Adjustments Tab'!$A199&amp;"_"&amp;'Measure-Level Adjustments Tab'!$B199,'Unit Savings Calculations'!$A$4:$A$421,0))</f>
        <v>15</v>
      </c>
      <c r="F199" s="287">
        <f>INDEX('Unit Savings Calculations'!$I$4:$I$421,MATCH('Measure-Level Adjustments Tab'!A199&amp;"_"&amp;'Measure-Level Adjustments Tab'!B199,'Unit Savings Calculations'!$A$4:$A$421,0))</f>
        <v>15</v>
      </c>
      <c r="G199" s="287" t="str">
        <f>'Unit Savings Calculations'!E195</f>
        <v>each</v>
      </c>
      <c r="H199" s="289">
        <f>'Unit Savings Calculations'!$F195*'Unit Savings Calculations'!J195</f>
        <v>0</v>
      </c>
      <c r="I199" s="289">
        <f>'Unit Savings Calculations'!$F195*'Unit Savings Calculations'!K195</f>
        <v>0</v>
      </c>
      <c r="J199" s="289">
        <f>'Unit Savings Calculations'!$F195*'Unit Savings Calculations'!L195</f>
        <v>0</v>
      </c>
      <c r="K199" s="289">
        <f>'Unit Savings Calculations'!$F195*'Unit Savings Calculations'!M195</f>
        <v>0</v>
      </c>
      <c r="L199" s="287" t="str">
        <f>'Unit Savings Calculations'!U195</f>
        <v>CI-HVC-PINS-V04-160601</v>
      </c>
      <c r="M199" s="363" t="s">
        <v>830</v>
      </c>
      <c r="N199" s="290">
        <v>37.423389683572815</v>
      </c>
      <c r="O199" s="290">
        <v>37.423389683572815</v>
      </c>
      <c r="P199" s="290">
        <v>37.423389683572815</v>
      </c>
      <c r="Q199" s="290">
        <v>37.423389683572815</v>
      </c>
      <c r="R199" s="291">
        <f>'Unit Savings Calculations'!$G195</f>
        <v>0.92</v>
      </c>
      <c r="S199" s="291">
        <f>'Unit Savings Calculations'!$G195</f>
        <v>0.92</v>
      </c>
      <c r="T199" s="291">
        <f>'Unit Savings Calculations'!$G195</f>
        <v>0.92</v>
      </c>
      <c r="U199" s="291">
        <f>'Unit Savings Calculations'!$G195</f>
        <v>0.92</v>
      </c>
      <c r="V199" s="292">
        <f t="shared" si="104"/>
        <v>0</v>
      </c>
      <c r="W199" s="292">
        <f t="shared" si="105"/>
        <v>0</v>
      </c>
      <c r="X199" s="292">
        <f t="shared" si="106"/>
        <v>0</v>
      </c>
      <c r="Y199" s="292">
        <f t="shared" si="107"/>
        <v>0</v>
      </c>
      <c r="Z199" s="292">
        <f t="shared" si="108"/>
        <v>0</v>
      </c>
      <c r="AA199" s="287"/>
      <c r="AB199" s="287"/>
      <c r="AC199" s="293">
        <f>'Unit Savings Calculations'!N195</f>
        <v>37.423389683572815</v>
      </c>
      <c r="AD199" s="287"/>
      <c r="AE199" s="292">
        <f t="shared" si="72"/>
        <v>0</v>
      </c>
      <c r="AF199" s="289">
        <f t="shared" si="73"/>
        <v>0</v>
      </c>
      <c r="AG199" s="287"/>
      <c r="AH199" s="287">
        <f t="shared" si="74"/>
        <v>0</v>
      </c>
      <c r="AI199" s="290">
        <f>'Unit Savings Calculations'!O195</f>
        <v>37.423389683572815</v>
      </c>
      <c r="AJ199" s="287" t="s">
        <v>872</v>
      </c>
      <c r="AK199" s="292">
        <f t="shared" si="75"/>
        <v>0</v>
      </c>
      <c r="AL199" s="289">
        <f t="shared" si="76"/>
        <v>0</v>
      </c>
      <c r="AM199" s="287"/>
      <c r="AN199" s="287"/>
      <c r="AO199" s="290">
        <f>'Unit Savings Calculations'!P195</f>
        <v>37.423389683572815</v>
      </c>
      <c r="AP199" s="287" t="s">
        <v>764</v>
      </c>
      <c r="AQ199" s="292">
        <f t="shared" si="77"/>
        <v>0</v>
      </c>
      <c r="AR199" s="289">
        <f t="shared" si="78"/>
        <v>0</v>
      </c>
      <c r="AS199" s="287"/>
      <c r="AT199" s="287"/>
      <c r="AU199" s="290">
        <f>'Unit Savings Calculations'!Q195</f>
        <v>37.423389683572815</v>
      </c>
      <c r="AV199" s="287" t="str">
        <f t="shared" si="79"/>
        <v>n/a</v>
      </c>
      <c r="AW199" s="292">
        <f t="shared" si="80"/>
        <v>0</v>
      </c>
      <c r="AX199" s="289">
        <f t="shared" si="81"/>
        <v>0</v>
      </c>
      <c r="AY199" s="292">
        <f t="shared" si="82"/>
        <v>0</v>
      </c>
      <c r="AZ199" s="292">
        <f t="shared" si="83"/>
        <v>0</v>
      </c>
      <c r="BA199" s="292">
        <f t="shared" si="84"/>
        <v>0</v>
      </c>
      <c r="BB199" s="292">
        <f t="shared" si="85"/>
        <v>0</v>
      </c>
      <c r="BC199" s="294">
        <f t="shared" si="86"/>
        <v>0</v>
      </c>
      <c r="BD199" s="287" t="s">
        <v>764</v>
      </c>
      <c r="BE199" s="295" t="str">
        <f t="shared" si="87"/>
        <v>Exhibit 1.5B_R Peoples Gas EEPS_Adjustable_Savings_Goal_Template.xlsx, Unit Savings Calculations Tab</v>
      </c>
      <c r="BF199" s="297"/>
    </row>
    <row r="200" spans="1:58" ht="13.5" customHeight="1">
      <c r="A200" s="287" t="str">
        <f>'Unit Savings Calculations'!C196</f>
        <v>Bus - SB Rebates</v>
      </c>
      <c r="B200" s="287" t="str">
        <f>'Unit Savings Calculations'!D196</f>
        <v>Pipe Insulation - Steam Large Valve</v>
      </c>
      <c r="C200" s="288">
        <f t="shared" si="88"/>
        <v>1</v>
      </c>
      <c r="D200" s="287" t="str">
        <f>'Unit Savings Calculations'!T196</f>
        <v>4.4.14</v>
      </c>
      <c r="E200" s="287">
        <f>INDEX('Unit Savings Calculations'!$H$4:$H$421,MATCH('Measure-Level Adjustments Tab'!$A200&amp;"_"&amp;'Measure-Level Adjustments Tab'!$B200,'Unit Savings Calculations'!$A$4:$A$421,0))</f>
        <v>15</v>
      </c>
      <c r="F200" s="287">
        <f>INDEX('Unit Savings Calculations'!$I$4:$I$421,MATCH('Measure-Level Adjustments Tab'!A200&amp;"_"&amp;'Measure-Level Adjustments Tab'!B200,'Unit Savings Calculations'!$A$4:$A$421,0))</f>
        <v>15</v>
      </c>
      <c r="G200" s="287" t="str">
        <f>'Unit Savings Calculations'!E196</f>
        <v>each</v>
      </c>
      <c r="H200" s="289">
        <f>'Unit Savings Calculations'!$F196*'Unit Savings Calculations'!J196</f>
        <v>0</v>
      </c>
      <c r="I200" s="289">
        <f>'Unit Savings Calculations'!$F196*'Unit Savings Calculations'!K196</f>
        <v>0</v>
      </c>
      <c r="J200" s="289">
        <f>'Unit Savings Calculations'!$F196*'Unit Savings Calculations'!L196</f>
        <v>0</v>
      </c>
      <c r="K200" s="289">
        <f>'Unit Savings Calculations'!$F196*'Unit Savings Calculations'!M196</f>
        <v>0</v>
      </c>
      <c r="L200" s="287" t="str">
        <f>'Unit Savings Calculations'!U196</f>
        <v>CI-HVC-PINS-V04-160601</v>
      </c>
      <c r="M200" s="363" t="s">
        <v>830</v>
      </c>
      <c r="N200" s="290">
        <v>107.52607289087437</v>
      </c>
      <c r="O200" s="290">
        <v>107.52607289087437</v>
      </c>
      <c r="P200" s="290">
        <v>107.52607289087437</v>
      </c>
      <c r="Q200" s="290">
        <v>107.52607289087437</v>
      </c>
      <c r="R200" s="291">
        <f>'Unit Savings Calculations'!$G196</f>
        <v>0.92</v>
      </c>
      <c r="S200" s="291">
        <f>'Unit Savings Calculations'!$G196</f>
        <v>0.92</v>
      </c>
      <c r="T200" s="291">
        <f>'Unit Savings Calculations'!$G196</f>
        <v>0.92</v>
      </c>
      <c r="U200" s="291">
        <f>'Unit Savings Calculations'!$G196</f>
        <v>0.92</v>
      </c>
      <c r="V200" s="292">
        <f t="shared" si="104"/>
        <v>0</v>
      </c>
      <c r="W200" s="292">
        <f t="shared" si="105"/>
        <v>0</v>
      </c>
      <c r="X200" s="292">
        <f t="shared" si="106"/>
        <v>0</v>
      </c>
      <c r="Y200" s="292">
        <f t="shared" si="107"/>
        <v>0</v>
      </c>
      <c r="Z200" s="292">
        <f t="shared" si="108"/>
        <v>0</v>
      </c>
      <c r="AA200" s="287"/>
      <c r="AB200" s="287"/>
      <c r="AC200" s="293">
        <f>'Unit Savings Calculations'!N196</f>
        <v>107.52607289087437</v>
      </c>
      <c r="AD200" s="287"/>
      <c r="AE200" s="292">
        <f t="shared" si="72"/>
        <v>0</v>
      </c>
      <c r="AF200" s="289">
        <f t="shared" si="73"/>
        <v>0</v>
      </c>
      <c r="AG200" s="287"/>
      <c r="AH200" s="287">
        <f t="shared" si="74"/>
        <v>0</v>
      </c>
      <c r="AI200" s="290">
        <f>'Unit Savings Calculations'!O196</f>
        <v>107.52607289087437</v>
      </c>
      <c r="AJ200" s="287" t="s">
        <v>872</v>
      </c>
      <c r="AK200" s="292">
        <f t="shared" si="75"/>
        <v>0</v>
      </c>
      <c r="AL200" s="289">
        <f t="shared" si="76"/>
        <v>0</v>
      </c>
      <c r="AM200" s="287"/>
      <c r="AN200" s="287"/>
      <c r="AO200" s="290">
        <f>'Unit Savings Calculations'!P196</f>
        <v>107.52607289087437</v>
      </c>
      <c r="AP200" s="287" t="s">
        <v>764</v>
      </c>
      <c r="AQ200" s="292">
        <f t="shared" si="77"/>
        <v>0</v>
      </c>
      <c r="AR200" s="289">
        <f t="shared" si="78"/>
        <v>0</v>
      </c>
      <c r="AS200" s="287"/>
      <c r="AT200" s="287"/>
      <c r="AU200" s="290">
        <f>'Unit Savings Calculations'!Q196</f>
        <v>107.52607289087437</v>
      </c>
      <c r="AV200" s="287" t="str">
        <f t="shared" si="79"/>
        <v>n/a</v>
      </c>
      <c r="AW200" s="292">
        <f t="shared" si="80"/>
        <v>0</v>
      </c>
      <c r="AX200" s="289">
        <f t="shared" si="81"/>
        <v>0</v>
      </c>
      <c r="AY200" s="292">
        <f t="shared" si="82"/>
        <v>0</v>
      </c>
      <c r="AZ200" s="292">
        <f t="shared" si="83"/>
        <v>0</v>
      </c>
      <c r="BA200" s="292">
        <f t="shared" si="84"/>
        <v>0</v>
      </c>
      <c r="BB200" s="292">
        <f t="shared" si="85"/>
        <v>0</v>
      </c>
      <c r="BC200" s="294">
        <f t="shared" si="86"/>
        <v>0</v>
      </c>
      <c r="BD200" s="287" t="s">
        <v>764</v>
      </c>
      <c r="BE200" s="295" t="str">
        <f t="shared" si="87"/>
        <v>Exhibit 1.5B_R Peoples Gas EEPS_Adjustable_Savings_Goal_Template.xlsx, Unit Savings Calculations Tab</v>
      </c>
      <c r="BF200" s="297"/>
    </row>
    <row r="201" spans="1:58" ht="13.5" customHeight="1">
      <c r="A201" s="287" t="str">
        <f>'Unit Savings Calculations'!C197</f>
        <v>Bus - SB Rebates</v>
      </c>
      <c r="B201" s="287" t="str">
        <f>'Unit Savings Calculations'!D197</f>
        <v>Pipe Insulation - Steam X-Large Valve</v>
      </c>
      <c r="C201" s="288">
        <f t="shared" si="88"/>
        <v>1</v>
      </c>
      <c r="D201" s="287" t="str">
        <f>'Unit Savings Calculations'!T197</f>
        <v>4.4.14</v>
      </c>
      <c r="E201" s="287">
        <f>INDEX('Unit Savings Calculations'!$H$4:$H$421,MATCH('Measure-Level Adjustments Tab'!$A201&amp;"_"&amp;'Measure-Level Adjustments Tab'!$B201,'Unit Savings Calculations'!$A$4:$A$421,0))</f>
        <v>15</v>
      </c>
      <c r="F201" s="287">
        <f>INDEX('Unit Savings Calculations'!$I$4:$I$421,MATCH('Measure-Level Adjustments Tab'!A201&amp;"_"&amp;'Measure-Level Adjustments Tab'!B201,'Unit Savings Calculations'!$A$4:$A$421,0))</f>
        <v>15</v>
      </c>
      <c r="G201" s="287" t="str">
        <f>'Unit Savings Calculations'!E197</f>
        <v>each</v>
      </c>
      <c r="H201" s="289">
        <f>'Unit Savings Calculations'!$F197*'Unit Savings Calculations'!J197</f>
        <v>0</v>
      </c>
      <c r="I201" s="289">
        <f>'Unit Savings Calculations'!$F197*'Unit Savings Calculations'!K197</f>
        <v>0</v>
      </c>
      <c r="J201" s="289">
        <f>'Unit Savings Calculations'!$F197*'Unit Savings Calculations'!L197</f>
        <v>0</v>
      </c>
      <c r="K201" s="289">
        <f>'Unit Savings Calculations'!$F197*'Unit Savings Calculations'!M197</f>
        <v>0</v>
      </c>
      <c r="L201" s="287" t="str">
        <f>'Unit Savings Calculations'!U197</f>
        <v>CI-HVC-PINS-V04-160601</v>
      </c>
      <c r="M201" s="363" t="s">
        <v>830</v>
      </c>
      <c r="N201" s="290">
        <v>175.06254164158375</v>
      </c>
      <c r="O201" s="290">
        <v>175.06254164158375</v>
      </c>
      <c r="P201" s="290">
        <v>175.06254164158375</v>
      </c>
      <c r="Q201" s="290">
        <v>175.06254164158375</v>
      </c>
      <c r="R201" s="291">
        <f>'Unit Savings Calculations'!$G197</f>
        <v>0.92</v>
      </c>
      <c r="S201" s="291">
        <f>'Unit Savings Calculations'!$G197</f>
        <v>0.92</v>
      </c>
      <c r="T201" s="291">
        <f>'Unit Savings Calculations'!$G197</f>
        <v>0.92</v>
      </c>
      <c r="U201" s="291">
        <f>'Unit Savings Calculations'!$G197</f>
        <v>0.92</v>
      </c>
      <c r="V201" s="292">
        <f t="shared" si="104"/>
        <v>0</v>
      </c>
      <c r="W201" s="292">
        <f t="shared" si="105"/>
        <v>0</v>
      </c>
      <c r="X201" s="292">
        <f t="shared" si="106"/>
        <v>0</v>
      </c>
      <c r="Y201" s="292">
        <f t="shared" si="107"/>
        <v>0</v>
      </c>
      <c r="Z201" s="292">
        <f t="shared" si="108"/>
        <v>0</v>
      </c>
      <c r="AA201" s="287"/>
      <c r="AB201" s="287"/>
      <c r="AC201" s="293">
        <f>'Unit Savings Calculations'!N197</f>
        <v>175.06254164158375</v>
      </c>
      <c r="AD201" s="287"/>
      <c r="AE201" s="292">
        <f t="shared" si="72"/>
        <v>0</v>
      </c>
      <c r="AF201" s="289">
        <f t="shared" si="73"/>
        <v>0</v>
      </c>
      <c r="AG201" s="287"/>
      <c r="AH201" s="287">
        <f t="shared" si="74"/>
        <v>0</v>
      </c>
      <c r="AI201" s="290">
        <f>'Unit Savings Calculations'!O197</f>
        <v>175.06254164158375</v>
      </c>
      <c r="AJ201" s="287" t="s">
        <v>872</v>
      </c>
      <c r="AK201" s="292">
        <f t="shared" si="75"/>
        <v>0</v>
      </c>
      <c r="AL201" s="289">
        <f t="shared" si="76"/>
        <v>0</v>
      </c>
      <c r="AM201" s="287"/>
      <c r="AN201" s="287"/>
      <c r="AO201" s="290">
        <f>'Unit Savings Calculations'!P197</f>
        <v>175.06254164158375</v>
      </c>
      <c r="AP201" s="287" t="s">
        <v>764</v>
      </c>
      <c r="AQ201" s="292">
        <f t="shared" si="77"/>
        <v>0</v>
      </c>
      <c r="AR201" s="289">
        <f t="shared" si="78"/>
        <v>0</v>
      </c>
      <c r="AS201" s="287"/>
      <c r="AT201" s="287"/>
      <c r="AU201" s="290">
        <f>'Unit Savings Calculations'!Q197</f>
        <v>175.06254164158375</v>
      </c>
      <c r="AV201" s="287" t="str">
        <f t="shared" ref="AV201:AV264" si="109">AP201</f>
        <v>n/a</v>
      </c>
      <c r="AW201" s="292">
        <f t="shared" si="80"/>
        <v>0</v>
      </c>
      <c r="AX201" s="289">
        <f t="shared" si="81"/>
        <v>0</v>
      </c>
      <c r="AY201" s="292">
        <f t="shared" ref="AY201:AY264" si="110">IF(C201=1,AE201,V201)</f>
        <v>0</v>
      </c>
      <c r="AZ201" s="292">
        <f t="shared" ref="AZ201:AZ264" si="111">IF(C201=1,AK201,W201)</f>
        <v>0</v>
      </c>
      <c r="BA201" s="292">
        <f t="shared" ref="BA201:BA264" si="112">IF(C201=1,AQ201,X201)</f>
        <v>0</v>
      </c>
      <c r="BB201" s="292">
        <f t="shared" ref="BB201:BB264" si="113">IF(C201=1,AW201,Y201)</f>
        <v>0</v>
      </c>
      <c r="BC201" s="294">
        <f t="shared" ref="BC201:BC264" si="114">AY201+AZ201+BA201+BB201</f>
        <v>0</v>
      </c>
      <c r="BD201" s="287" t="s">
        <v>764</v>
      </c>
      <c r="BE201" s="295" t="str">
        <f t="shared" ref="BE201:BE264" si="115">M201</f>
        <v>Exhibit 1.5B_R Peoples Gas EEPS_Adjustable_Savings_Goal_Template.xlsx, Unit Savings Calculations Tab</v>
      </c>
      <c r="BF201" s="297"/>
    </row>
    <row r="202" spans="1:58" ht="13.5" customHeight="1">
      <c r="A202" s="287" t="str">
        <f>'Unit Savings Calculations'!C198</f>
        <v>Bus - SB Rebates</v>
      </c>
      <c r="B202" s="287" t="str">
        <f>'Unit Savings Calculations'!D198</f>
        <v>Pre Rinse Sprayer</v>
      </c>
      <c r="C202" s="288">
        <f t="shared" si="88"/>
        <v>1</v>
      </c>
      <c r="D202" s="287" t="str">
        <f>'Unit Savings Calculations'!T198</f>
        <v>4.2.11</v>
      </c>
      <c r="E202" s="287">
        <f>INDEX('Unit Savings Calculations'!$H$4:$H$421,MATCH('Measure-Level Adjustments Tab'!$A202&amp;"_"&amp;'Measure-Level Adjustments Tab'!$B202,'Unit Savings Calculations'!$A$4:$A$421,0))</f>
        <v>5</v>
      </c>
      <c r="F202" s="287">
        <f>INDEX('Unit Savings Calculations'!$I$4:$I$421,MATCH('Measure-Level Adjustments Tab'!A202&amp;"_"&amp;'Measure-Level Adjustments Tab'!B202,'Unit Savings Calculations'!$A$4:$A$421,0))</f>
        <v>5</v>
      </c>
      <c r="G202" s="287" t="str">
        <f>'Unit Savings Calculations'!E198</f>
        <v>each</v>
      </c>
      <c r="H202" s="289">
        <f>'Unit Savings Calculations'!$F198*'Unit Savings Calculations'!J198</f>
        <v>25</v>
      </c>
      <c r="I202" s="289">
        <f>'Unit Savings Calculations'!$F198*'Unit Savings Calculations'!K198</f>
        <v>25</v>
      </c>
      <c r="J202" s="289">
        <f>'Unit Savings Calculations'!$F198*'Unit Savings Calculations'!L198</f>
        <v>25</v>
      </c>
      <c r="K202" s="289">
        <f>'Unit Savings Calculations'!$F198*'Unit Savings Calculations'!M198</f>
        <v>25</v>
      </c>
      <c r="L202" s="287" t="str">
        <f>'Unit Savings Calculations'!U198</f>
        <v>CI-FSE-SPRY-V04-180101</v>
      </c>
      <c r="M202" s="363" t="s">
        <v>830</v>
      </c>
      <c r="N202" s="290">
        <v>110.52077400000002</v>
      </c>
      <c r="O202" s="290">
        <v>110.52077400000002</v>
      </c>
      <c r="P202" s="290">
        <v>110.52077400000002</v>
      </c>
      <c r="Q202" s="290">
        <v>110.52077400000002</v>
      </c>
      <c r="R202" s="291">
        <f>'Unit Savings Calculations'!$G198</f>
        <v>0.92</v>
      </c>
      <c r="S202" s="291">
        <f>'Unit Savings Calculations'!$G198</f>
        <v>0.92</v>
      </c>
      <c r="T202" s="291">
        <f>'Unit Savings Calculations'!$G198</f>
        <v>0.92</v>
      </c>
      <c r="U202" s="291">
        <f>'Unit Savings Calculations'!$G198</f>
        <v>0.92</v>
      </c>
      <c r="V202" s="292">
        <f t="shared" si="104"/>
        <v>2541.9778020000003</v>
      </c>
      <c r="W202" s="292">
        <f t="shared" si="105"/>
        <v>2541.9778020000003</v>
      </c>
      <c r="X202" s="292">
        <f t="shared" si="106"/>
        <v>2541.9778020000003</v>
      </c>
      <c r="Y202" s="292">
        <f t="shared" si="107"/>
        <v>2541.9778020000003</v>
      </c>
      <c r="Z202" s="292">
        <f t="shared" si="108"/>
        <v>10167.911208000001</v>
      </c>
      <c r="AA202" s="287"/>
      <c r="AB202" s="287"/>
      <c r="AC202" s="293">
        <f>'Unit Savings Calculations'!N198</f>
        <v>51.167025000000002</v>
      </c>
      <c r="AD202" s="287"/>
      <c r="AE202" s="292">
        <f t="shared" ref="AE202:AE265" si="116">H202*AC202*R202</f>
        <v>1176.8415750000001</v>
      </c>
      <c r="AF202" s="289">
        <f t="shared" ref="AF202:AF265" si="117">AE202-V202</f>
        <v>-1365.1362270000002</v>
      </c>
      <c r="AG202" s="287"/>
      <c r="AH202" s="287">
        <f t="shared" ref="AH202:AH265" si="118">AB202</f>
        <v>0</v>
      </c>
      <c r="AI202" s="290">
        <f>'Unit Savings Calculations'!O198</f>
        <v>51.167025000000002</v>
      </c>
      <c r="AJ202" s="287" t="s">
        <v>872</v>
      </c>
      <c r="AK202" s="292">
        <f t="shared" ref="AK202:AK265" si="119">I202*AI202*S202</f>
        <v>1176.8415750000001</v>
      </c>
      <c r="AL202" s="289">
        <f t="shared" ref="AL202:AL265" si="120">AK202-W202</f>
        <v>-1365.1362270000002</v>
      </c>
      <c r="AM202" s="287"/>
      <c r="AN202" s="287"/>
      <c r="AO202" s="290">
        <f>'Unit Savings Calculations'!P198</f>
        <v>51.167025000000002</v>
      </c>
      <c r="AP202" s="287" t="s">
        <v>1430</v>
      </c>
      <c r="AQ202" s="292">
        <f t="shared" ref="AQ202:AQ265" si="121">J202*AO202*T202</f>
        <v>1176.8415750000001</v>
      </c>
      <c r="AR202" s="289">
        <f t="shared" ref="AR202:AR265" si="122">AQ202-X202</f>
        <v>-1365.1362270000002</v>
      </c>
      <c r="AS202" s="287"/>
      <c r="AT202" s="287"/>
      <c r="AU202" s="290">
        <f>'Unit Savings Calculations'!Q198</f>
        <v>51.167025000000002</v>
      </c>
      <c r="AV202" s="287" t="str">
        <f t="shared" si="109"/>
        <v>Updated base and EE flow rates</v>
      </c>
      <c r="AW202" s="292">
        <f t="shared" ref="AW202:AW265" si="123">K202*AU202*U202</f>
        <v>1176.8415750000001</v>
      </c>
      <c r="AX202" s="289">
        <f t="shared" ref="AX202:AX265" si="124">AW202-Y202</f>
        <v>-1365.1362270000002</v>
      </c>
      <c r="AY202" s="292">
        <f t="shared" si="110"/>
        <v>1176.8415750000001</v>
      </c>
      <c r="AZ202" s="292">
        <f t="shared" si="111"/>
        <v>1176.8415750000001</v>
      </c>
      <c r="BA202" s="292">
        <f t="shared" si="112"/>
        <v>1176.8415750000001</v>
      </c>
      <c r="BB202" s="292">
        <f t="shared" si="113"/>
        <v>1176.8415750000001</v>
      </c>
      <c r="BC202" s="294">
        <f t="shared" si="114"/>
        <v>4707.3663000000006</v>
      </c>
      <c r="BD202" s="287" t="s">
        <v>764</v>
      </c>
      <c r="BE202" s="295" t="str">
        <f t="shared" si="115"/>
        <v>Exhibit 1.5B_R Peoples Gas EEPS_Adjustable_Savings_Goal_Template.xlsx, Unit Savings Calculations Tab</v>
      </c>
      <c r="BF202" s="297"/>
    </row>
    <row r="203" spans="1:58" ht="13.5" customHeight="1">
      <c r="A203" s="287" t="str">
        <f>'Unit Savings Calculations'!C199</f>
        <v>Bus - SB Rebates</v>
      </c>
      <c r="B203" s="287" t="str">
        <f>'Unit Savings Calculations'!D199</f>
        <v>Steam Boiler ≥82% AFUE, &gt;300MBh TE</v>
      </c>
      <c r="C203" s="288">
        <f t="shared" si="88"/>
        <v>1</v>
      </c>
      <c r="D203" s="287" t="str">
        <f>'Unit Savings Calculations'!T199</f>
        <v>4.4.10</v>
      </c>
      <c r="E203" s="287">
        <f>INDEX('Unit Savings Calculations'!$H$4:$H$421,MATCH('Measure-Level Adjustments Tab'!$A203&amp;"_"&amp;'Measure-Level Adjustments Tab'!$B203,'Unit Savings Calculations'!$A$4:$A$421,0))</f>
        <v>20</v>
      </c>
      <c r="F203" s="287">
        <f>INDEX('Unit Savings Calculations'!$I$4:$I$421,MATCH('Measure-Level Adjustments Tab'!A203&amp;"_"&amp;'Measure-Level Adjustments Tab'!B203,'Unit Savings Calculations'!$A$4:$A$421,0))</f>
        <v>20</v>
      </c>
      <c r="G203" s="287" t="str">
        <f>'Unit Savings Calculations'!E199</f>
        <v>MBH</v>
      </c>
      <c r="H203" s="289">
        <f>'Unit Savings Calculations'!$F199*'Unit Savings Calculations'!J199</f>
        <v>18000</v>
      </c>
      <c r="I203" s="289">
        <f>'Unit Savings Calculations'!$F199*'Unit Savings Calculations'!K199</f>
        <v>18000</v>
      </c>
      <c r="J203" s="289">
        <f>'Unit Savings Calculations'!$F199*'Unit Savings Calculations'!L199</f>
        <v>18000</v>
      </c>
      <c r="K203" s="289">
        <f>'Unit Savings Calculations'!$F199*'Unit Savings Calculations'!M199</f>
        <v>18000</v>
      </c>
      <c r="L203" s="287" t="str">
        <f>'Unit Savings Calculations'!U199</f>
        <v>CI-HVC-BOIL-V05-150601</v>
      </c>
      <c r="M203" s="363" t="s">
        <v>830</v>
      </c>
      <c r="N203" s="290">
        <v>0.60265822784809941</v>
      </c>
      <c r="O203" s="290">
        <v>0.60265822784809941</v>
      </c>
      <c r="P203" s="290">
        <v>0.60265822784809941</v>
      </c>
      <c r="Q203" s="290">
        <v>0.60265822784809941</v>
      </c>
      <c r="R203" s="291">
        <f>'Unit Savings Calculations'!$G199</f>
        <v>0.92</v>
      </c>
      <c r="S203" s="291">
        <f>'Unit Savings Calculations'!$G199</f>
        <v>0.92</v>
      </c>
      <c r="T203" s="291">
        <f>'Unit Savings Calculations'!$G199</f>
        <v>0.92</v>
      </c>
      <c r="U203" s="291">
        <f>'Unit Savings Calculations'!$G199</f>
        <v>0.92</v>
      </c>
      <c r="V203" s="292">
        <f t="shared" si="104"/>
        <v>9980.0202531645282</v>
      </c>
      <c r="W203" s="292">
        <f t="shared" si="105"/>
        <v>9980.0202531645282</v>
      </c>
      <c r="X203" s="292">
        <f t="shared" si="106"/>
        <v>9980.0202531645282</v>
      </c>
      <c r="Y203" s="292">
        <f t="shared" si="107"/>
        <v>9980.0202531645282</v>
      </c>
      <c r="Z203" s="292">
        <f t="shared" si="108"/>
        <v>39920.081012658113</v>
      </c>
      <c r="AA203" s="287"/>
      <c r="AB203" s="287"/>
      <c r="AC203" s="293">
        <f>'Unit Savings Calculations'!N199</f>
        <v>0.61860759493670714</v>
      </c>
      <c r="AD203" s="287"/>
      <c r="AE203" s="292">
        <f t="shared" si="116"/>
        <v>10244.14177215187</v>
      </c>
      <c r="AF203" s="289">
        <f t="shared" si="117"/>
        <v>264.12151898734191</v>
      </c>
      <c r="AG203" s="287"/>
      <c r="AH203" s="287">
        <f t="shared" si="118"/>
        <v>0</v>
      </c>
      <c r="AI203" s="290">
        <f>'Unit Savings Calculations'!O199</f>
        <v>0.61860759493670714</v>
      </c>
      <c r="AJ203" s="287" t="s">
        <v>872</v>
      </c>
      <c r="AK203" s="292">
        <f t="shared" si="119"/>
        <v>10244.14177215187</v>
      </c>
      <c r="AL203" s="289">
        <f t="shared" si="120"/>
        <v>264.12151898734191</v>
      </c>
      <c r="AM203" s="287"/>
      <c r="AN203" s="287"/>
      <c r="AO203" s="290">
        <f>'Unit Savings Calculations'!P199</f>
        <v>0.61860759493670714</v>
      </c>
      <c r="AP203" s="287" t="s">
        <v>1450</v>
      </c>
      <c r="AQ203" s="292">
        <f t="shared" si="121"/>
        <v>10244.14177215187</v>
      </c>
      <c r="AR203" s="289">
        <f t="shared" si="122"/>
        <v>264.12151898734191</v>
      </c>
      <c r="AS203" s="287"/>
      <c r="AT203" s="287"/>
      <c r="AU203" s="290">
        <f>'Unit Savings Calculations'!Q199</f>
        <v>0.61860759493670714</v>
      </c>
      <c r="AV203" s="287" t="str">
        <f t="shared" si="109"/>
        <v>Updated heating EFLH</v>
      </c>
      <c r="AW203" s="292">
        <f t="shared" si="123"/>
        <v>10244.14177215187</v>
      </c>
      <c r="AX203" s="289">
        <f t="shared" si="124"/>
        <v>264.12151898734191</v>
      </c>
      <c r="AY203" s="292">
        <f t="shared" si="110"/>
        <v>10244.14177215187</v>
      </c>
      <c r="AZ203" s="292">
        <f t="shared" si="111"/>
        <v>10244.14177215187</v>
      </c>
      <c r="BA203" s="292">
        <f t="shared" si="112"/>
        <v>10244.14177215187</v>
      </c>
      <c r="BB203" s="292">
        <f t="shared" si="113"/>
        <v>10244.14177215187</v>
      </c>
      <c r="BC203" s="294">
        <f t="shared" si="114"/>
        <v>40976.56708860748</v>
      </c>
      <c r="BD203" s="287" t="s">
        <v>764</v>
      </c>
      <c r="BE203" s="295" t="str">
        <f t="shared" si="115"/>
        <v>Exhibit 1.5B_R Peoples Gas EEPS_Adjustable_Savings_Goal_Template.xlsx, Unit Savings Calculations Tab</v>
      </c>
      <c r="BF203" s="297"/>
    </row>
    <row r="204" spans="1:58" ht="13.5" customHeight="1">
      <c r="A204" s="287" t="str">
        <f>'Unit Savings Calculations'!C200</f>
        <v>Bus - SB Rebates</v>
      </c>
      <c r="B204" s="287" t="str">
        <f>'Unit Savings Calculations'!D200</f>
        <v>Steam Traps - Dry Cleaner/Industrial</v>
      </c>
      <c r="C204" s="288">
        <f t="shared" si="88"/>
        <v>1</v>
      </c>
      <c r="D204" s="287" t="str">
        <f>'Unit Savings Calculations'!T200</f>
        <v>4.4.16</v>
      </c>
      <c r="E204" s="287">
        <f>INDEX('Unit Savings Calculations'!$H$4:$H$421,MATCH('Measure-Level Adjustments Tab'!$A204&amp;"_"&amp;'Measure-Level Adjustments Tab'!$B204,'Unit Savings Calculations'!$A$4:$A$421,0))</f>
        <v>6</v>
      </c>
      <c r="F204" s="287">
        <f>INDEX('Unit Savings Calculations'!$I$4:$I$421,MATCH('Measure-Level Adjustments Tab'!A204&amp;"_"&amp;'Measure-Level Adjustments Tab'!B204,'Unit Savings Calculations'!$A$4:$A$421,0))</f>
        <v>6</v>
      </c>
      <c r="G204" s="287" t="str">
        <f>'Unit Savings Calculations'!E200</f>
        <v>each</v>
      </c>
      <c r="H204" s="289">
        <f>'Unit Savings Calculations'!$F200*'Unit Savings Calculations'!J200</f>
        <v>0</v>
      </c>
      <c r="I204" s="289">
        <f>'Unit Savings Calculations'!$F200*'Unit Savings Calculations'!K200</f>
        <v>0</v>
      </c>
      <c r="J204" s="289">
        <f>'Unit Savings Calculations'!$F200*'Unit Savings Calculations'!L200</f>
        <v>0</v>
      </c>
      <c r="K204" s="289">
        <f>'Unit Savings Calculations'!$F200*'Unit Savings Calculations'!M200</f>
        <v>0</v>
      </c>
      <c r="L204" s="287" t="str">
        <f>'Unit Savings Calculations'!U200</f>
        <v>CI-HVC-STRE-V05-180101</v>
      </c>
      <c r="M204" s="363" t="s">
        <v>830</v>
      </c>
      <c r="N204" s="290">
        <v>137.91939591078068</v>
      </c>
      <c r="O204" s="290">
        <v>137.91939591078068</v>
      </c>
      <c r="P204" s="290">
        <v>137.91939591078068</v>
      </c>
      <c r="Q204" s="290">
        <v>137.91939591078068</v>
      </c>
      <c r="R204" s="291">
        <f>'Unit Savings Calculations'!$G200</f>
        <v>0.92</v>
      </c>
      <c r="S204" s="291">
        <f>'Unit Savings Calculations'!$G200</f>
        <v>0.92</v>
      </c>
      <c r="T204" s="291">
        <f>'Unit Savings Calculations'!$G200</f>
        <v>0.92</v>
      </c>
      <c r="U204" s="291">
        <f>'Unit Savings Calculations'!$G200</f>
        <v>0.92</v>
      </c>
      <c r="V204" s="292">
        <f t="shared" si="104"/>
        <v>0</v>
      </c>
      <c r="W204" s="292">
        <f t="shared" si="105"/>
        <v>0</v>
      </c>
      <c r="X204" s="292">
        <f t="shared" si="106"/>
        <v>0</v>
      </c>
      <c r="Y204" s="292">
        <f t="shared" si="107"/>
        <v>0</v>
      </c>
      <c r="Z204" s="292">
        <f t="shared" si="108"/>
        <v>0</v>
      </c>
      <c r="AA204" s="287"/>
      <c r="AB204" s="287"/>
      <c r="AC204" s="293">
        <f>'Unit Savings Calculations'!N200</f>
        <v>137.91939591078068</v>
      </c>
      <c r="AD204" s="287"/>
      <c r="AE204" s="292">
        <f t="shared" si="116"/>
        <v>0</v>
      </c>
      <c r="AF204" s="289">
        <f t="shared" si="117"/>
        <v>0</v>
      </c>
      <c r="AG204" s="287"/>
      <c r="AH204" s="287">
        <f t="shared" si="118"/>
        <v>0</v>
      </c>
      <c r="AI204" s="290">
        <f>'Unit Savings Calculations'!O200</f>
        <v>137.91939591078068</v>
      </c>
      <c r="AJ204" s="287" t="s">
        <v>872</v>
      </c>
      <c r="AK204" s="292">
        <f t="shared" si="119"/>
        <v>0</v>
      </c>
      <c r="AL204" s="289">
        <f t="shared" si="120"/>
        <v>0</v>
      </c>
      <c r="AM204" s="287"/>
      <c r="AN204" s="287"/>
      <c r="AO204" s="290">
        <f>'Unit Savings Calculations'!P200</f>
        <v>137.91939591078068</v>
      </c>
      <c r="AP204" s="287" t="s">
        <v>764</v>
      </c>
      <c r="AQ204" s="292">
        <f t="shared" si="121"/>
        <v>0</v>
      </c>
      <c r="AR204" s="289">
        <f t="shared" si="122"/>
        <v>0</v>
      </c>
      <c r="AS204" s="287"/>
      <c r="AT204" s="287"/>
      <c r="AU204" s="290">
        <f>'Unit Savings Calculations'!Q200</f>
        <v>137.91939591078068</v>
      </c>
      <c r="AV204" s="287" t="str">
        <f t="shared" si="109"/>
        <v>n/a</v>
      </c>
      <c r="AW204" s="292">
        <f t="shared" si="123"/>
        <v>0</v>
      </c>
      <c r="AX204" s="289">
        <f t="shared" si="124"/>
        <v>0</v>
      </c>
      <c r="AY204" s="292">
        <f t="shared" si="110"/>
        <v>0</v>
      </c>
      <c r="AZ204" s="292">
        <f t="shared" si="111"/>
        <v>0</v>
      </c>
      <c r="BA204" s="292">
        <f t="shared" si="112"/>
        <v>0</v>
      </c>
      <c r="BB204" s="292">
        <f t="shared" si="113"/>
        <v>0</v>
      </c>
      <c r="BC204" s="294">
        <f t="shared" si="114"/>
        <v>0</v>
      </c>
      <c r="BD204" s="287" t="s">
        <v>764</v>
      </c>
      <c r="BE204" s="295" t="str">
        <f t="shared" si="115"/>
        <v>Exhibit 1.5B_R Peoples Gas EEPS_Adjustable_Savings_Goal_Template.xlsx, Unit Savings Calculations Tab</v>
      </c>
      <c r="BF204" s="297"/>
    </row>
    <row r="205" spans="1:58" ht="13.5" customHeight="1">
      <c r="A205" s="287" t="str">
        <f>'Unit Savings Calculations'!C201</f>
        <v>Bus - SB Rebates</v>
      </c>
      <c r="B205" s="287" t="str">
        <f>'Unit Savings Calculations'!D201</f>
        <v>Steam Traps - HVAC Repair/Rep - Audit</v>
      </c>
      <c r="C205" s="288">
        <f t="shared" si="88"/>
        <v>1</v>
      </c>
      <c r="D205" s="287" t="str">
        <f>'Unit Savings Calculations'!T201</f>
        <v>4.4.16</v>
      </c>
      <c r="E205" s="287">
        <f>INDEX('Unit Savings Calculations'!$H$4:$H$421,MATCH('Measure-Level Adjustments Tab'!$A205&amp;"_"&amp;'Measure-Level Adjustments Tab'!$B205,'Unit Savings Calculations'!$A$4:$A$421,0))</f>
        <v>6</v>
      </c>
      <c r="F205" s="287">
        <f>INDEX('Unit Savings Calculations'!$I$4:$I$421,MATCH('Measure-Level Adjustments Tab'!A205&amp;"_"&amp;'Measure-Level Adjustments Tab'!B205,'Unit Savings Calculations'!$A$4:$A$421,0))</f>
        <v>6</v>
      </c>
      <c r="G205" s="287" t="str">
        <f>'Unit Savings Calculations'!E201</f>
        <v>each</v>
      </c>
      <c r="H205" s="289">
        <f>'Unit Savings Calculations'!$F201*'Unit Savings Calculations'!J201</f>
        <v>0</v>
      </c>
      <c r="I205" s="289">
        <f>'Unit Savings Calculations'!$F201*'Unit Savings Calculations'!K201</f>
        <v>0</v>
      </c>
      <c r="J205" s="289">
        <f>'Unit Savings Calculations'!$F201*'Unit Savings Calculations'!L201</f>
        <v>0</v>
      </c>
      <c r="K205" s="289">
        <f>'Unit Savings Calculations'!$F201*'Unit Savings Calculations'!M201</f>
        <v>0</v>
      </c>
      <c r="L205" s="287" t="str">
        <f>'Unit Savings Calculations'!U201</f>
        <v>CI-HVC-STRE-V05-180101</v>
      </c>
      <c r="M205" s="363" t="s">
        <v>830</v>
      </c>
      <c r="N205" s="290">
        <v>88.453924126394057</v>
      </c>
      <c r="O205" s="290">
        <v>88.453924126394057</v>
      </c>
      <c r="P205" s="290">
        <v>88.453924126394057</v>
      </c>
      <c r="Q205" s="290">
        <v>88.453924126394057</v>
      </c>
      <c r="R205" s="291">
        <f>'Unit Savings Calculations'!$G201</f>
        <v>0.92</v>
      </c>
      <c r="S205" s="291">
        <f>'Unit Savings Calculations'!$G201</f>
        <v>0.92</v>
      </c>
      <c r="T205" s="291">
        <f>'Unit Savings Calculations'!$G201</f>
        <v>0.92</v>
      </c>
      <c r="U205" s="291">
        <f>'Unit Savings Calculations'!$G201</f>
        <v>0.92</v>
      </c>
      <c r="V205" s="292">
        <f t="shared" si="104"/>
        <v>0</v>
      </c>
      <c r="W205" s="292">
        <f t="shared" si="105"/>
        <v>0</v>
      </c>
      <c r="X205" s="292">
        <f t="shared" si="106"/>
        <v>0</v>
      </c>
      <c r="Y205" s="292">
        <f t="shared" si="107"/>
        <v>0</v>
      </c>
      <c r="Z205" s="292">
        <f t="shared" si="108"/>
        <v>0</v>
      </c>
      <c r="AA205" s="287"/>
      <c r="AB205" s="287"/>
      <c r="AC205" s="293">
        <f>'Unit Savings Calculations'!N201</f>
        <v>88.453924126394057</v>
      </c>
      <c r="AD205" s="287"/>
      <c r="AE205" s="292">
        <f t="shared" si="116"/>
        <v>0</v>
      </c>
      <c r="AF205" s="289">
        <f t="shared" si="117"/>
        <v>0</v>
      </c>
      <c r="AG205" s="287"/>
      <c r="AH205" s="287">
        <f t="shared" si="118"/>
        <v>0</v>
      </c>
      <c r="AI205" s="290">
        <f>'Unit Savings Calculations'!O201</f>
        <v>88.453924126394057</v>
      </c>
      <c r="AJ205" s="287" t="s">
        <v>872</v>
      </c>
      <c r="AK205" s="292">
        <f t="shared" si="119"/>
        <v>0</v>
      </c>
      <c r="AL205" s="289">
        <f t="shared" si="120"/>
        <v>0</v>
      </c>
      <c r="AM205" s="287"/>
      <c r="AN205" s="287"/>
      <c r="AO205" s="290">
        <f>'Unit Savings Calculations'!P201</f>
        <v>88.453924126394057</v>
      </c>
      <c r="AP205" s="287" t="s">
        <v>764</v>
      </c>
      <c r="AQ205" s="292">
        <f t="shared" si="121"/>
        <v>0</v>
      </c>
      <c r="AR205" s="289">
        <f t="shared" si="122"/>
        <v>0</v>
      </c>
      <c r="AS205" s="287"/>
      <c r="AT205" s="287"/>
      <c r="AU205" s="290">
        <f>'Unit Savings Calculations'!Q201</f>
        <v>88.453924126394057</v>
      </c>
      <c r="AV205" s="287" t="str">
        <f t="shared" si="109"/>
        <v>n/a</v>
      </c>
      <c r="AW205" s="292">
        <f t="shared" si="123"/>
        <v>0</v>
      </c>
      <c r="AX205" s="289">
        <f t="shared" si="124"/>
        <v>0</v>
      </c>
      <c r="AY205" s="292">
        <f t="shared" si="110"/>
        <v>0</v>
      </c>
      <c r="AZ205" s="292">
        <f t="shared" si="111"/>
        <v>0</v>
      </c>
      <c r="BA205" s="292">
        <f t="shared" si="112"/>
        <v>0</v>
      </c>
      <c r="BB205" s="292">
        <f t="shared" si="113"/>
        <v>0</v>
      </c>
      <c r="BC205" s="294">
        <f t="shared" si="114"/>
        <v>0</v>
      </c>
      <c r="BD205" s="287" t="s">
        <v>764</v>
      </c>
      <c r="BE205" s="295" t="str">
        <f t="shared" si="115"/>
        <v>Exhibit 1.5B_R Peoples Gas EEPS_Adjustable_Savings_Goal_Template.xlsx, Unit Savings Calculations Tab</v>
      </c>
      <c r="BF205" s="297"/>
    </row>
    <row r="206" spans="1:58" ht="13.5" customHeight="1">
      <c r="A206" s="287" t="str">
        <f>'Unit Savings Calculations'!C202</f>
        <v>Bus - SB Rebates</v>
      </c>
      <c r="B206" s="287" t="str">
        <f>'Unit Savings Calculations'!D202</f>
        <v>Steam Traps - HVAC Repair/Rep - No Audit</v>
      </c>
      <c r="C206" s="288">
        <f t="shared" si="88"/>
        <v>1</v>
      </c>
      <c r="D206" s="287" t="str">
        <f>'Unit Savings Calculations'!T202</f>
        <v>4.4.16</v>
      </c>
      <c r="E206" s="287">
        <f>INDEX('Unit Savings Calculations'!$H$4:$H$421,MATCH('Measure-Level Adjustments Tab'!$A206&amp;"_"&amp;'Measure-Level Adjustments Tab'!$B206,'Unit Savings Calculations'!$A$4:$A$421,0))</f>
        <v>6</v>
      </c>
      <c r="F206" s="287">
        <f>INDEX('Unit Savings Calculations'!$I$4:$I$421,MATCH('Measure-Level Adjustments Tab'!A206&amp;"_"&amp;'Measure-Level Adjustments Tab'!B206,'Unit Savings Calculations'!$A$4:$A$421,0))</f>
        <v>6</v>
      </c>
      <c r="G206" s="287" t="str">
        <f>'Unit Savings Calculations'!E202</f>
        <v>each</v>
      </c>
      <c r="H206" s="289">
        <f>'Unit Savings Calculations'!$F202*'Unit Savings Calculations'!J202</f>
        <v>0</v>
      </c>
      <c r="I206" s="289">
        <f>'Unit Savings Calculations'!$F202*'Unit Savings Calculations'!K202</f>
        <v>0</v>
      </c>
      <c r="J206" s="289">
        <f>'Unit Savings Calculations'!$F202*'Unit Savings Calculations'!L202</f>
        <v>0</v>
      </c>
      <c r="K206" s="289">
        <f>'Unit Savings Calculations'!$F202*'Unit Savings Calculations'!M202</f>
        <v>0</v>
      </c>
      <c r="L206" s="287" t="str">
        <f>'Unit Savings Calculations'!U202</f>
        <v>CI-HVC-STRE-V05-180101</v>
      </c>
      <c r="M206" s="363" t="s">
        <v>830</v>
      </c>
      <c r="N206" s="290">
        <v>88.453924126394057</v>
      </c>
      <c r="O206" s="290">
        <v>88.453924126394057</v>
      </c>
      <c r="P206" s="290">
        <v>88.453924126394057</v>
      </c>
      <c r="Q206" s="290">
        <v>88.453924126394057</v>
      </c>
      <c r="R206" s="291">
        <f>'Unit Savings Calculations'!$G202</f>
        <v>0.92</v>
      </c>
      <c r="S206" s="291">
        <f>'Unit Savings Calculations'!$G202</f>
        <v>0.92</v>
      </c>
      <c r="T206" s="291">
        <f>'Unit Savings Calculations'!$G202</f>
        <v>0.92</v>
      </c>
      <c r="U206" s="291">
        <f>'Unit Savings Calculations'!$G202</f>
        <v>0.92</v>
      </c>
      <c r="V206" s="292">
        <f t="shared" si="104"/>
        <v>0</v>
      </c>
      <c r="W206" s="292">
        <f t="shared" si="105"/>
        <v>0</v>
      </c>
      <c r="X206" s="292">
        <f t="shared" si="106"/>
        <v>0</v>
      </c>
      <c r="Y206" s="292">
        <f t="shared" si="107"/>
        <v>0</v>
      </c>
      <c r="Z206" s="292">
        <f t="shared" si="108"/>
        <v>0</v>
      </c>
      <c r="AA206" s="287"/>
      <c r="AB206" s="287"/>
      <c r="AC206" s="293">
        <f>'Unit Savings Calculations'!N202</f>
        <v>88.453924126394057</v>
      </c>
      <c r="AD206" s="287"/>
      <c r="AE206" s="292">
        <f t="shared" si="116"/>
        <v>0</v>
      </c>
      <c r="AF206" s="289">
        <f t="shared" si="117"/>
        <v>0</v>
      </c>
      <c r="AG206" s="287"/>
      <c r="AH206" s="287">
        <f t="shared" si="118"/>
        <v>0</v>
      </c>
      <c r="AI206" s="290">
        <f>'Unit Savings Calculations'!O202</f>
        <v>88.453924126394057</v>
      </c>
      <c r="AJ206" s="287" t="s">
        <v>872</v>
      </c>
      <c r="AK206" s="292">
        <f t="shared" si="119"/>
        <v>0</v>
      </c>
      <c r="AL206" s="289">
        <f t="shared" si="120"/>
        <v>0</v>
      </c>
      <c r="AM206" s="287"/>
      <c r="AN206" s="287"/>
      <c r="AO206" s="290">
        <f>'Unit Savings Calculations'!P202</f>
        <v>88.453924126394057</v>
      </c>
      <c r="AP206" s="287" t="s">
        <v>764</v>
      </c>
      <c r="AQ206" s="292">
        <f t="shared" si="121"/>
        <v>0</v>
      </c>
      <c r="AR206" s="289">
        <f t="shared" si="122"/>
        <v>0</v>
      </c>
      <c r="AS206" s="287"/>
      <c r="AT206" s="287"/>
      <c r="AU206" s="290">
        <f>'Unit Savings Calculations'!Q202</f>
        <v>88.453924126394057</v>
      </c>
      <c r="AV206" s="287" t="str">
        <f t="shared" si="109"/>
        <v>n/a</v>
      </c>
      <c r="AW206" s="292">
        <f t="shared" si="123"/>
        <v>0</v>
      </c>
      <c r="AX206" s="289">
        <f t="shared" si="124"/>
        <v>0</v>
      </c>
      <c r="AY206" s="292">
        <f t="shared" si="110"/>
        <v>0</v>
      </c>
      <c r="AZ206" s="292">
        <f t="shared" si="111"/>
        <v>0</v>
      </c>
      <c r="BA206" s="292">
        <f t="shared" si="112"/>
        <v>0</v>
      </c>
      <c r="BB206" s="292">
        <f t="shared" si="113"/>
        <v>0</v>
      </c>
      <c r="BC206" s="294">
        <f t="shared" si="114"/>
        <v>0</v>
      </c>
      <c r="BD206" s="287" t="s">
        <v>764</v>
      </c>
      <c r="BE206" s="295" t="str">
        <f t="shared" si="115"/>
        <v>Exhibit 1.5B_R Peoples Gas EEPS_Adjustable_Savings_Goal_Template.xlsx, Unit Savings Calculations Tab</v>
      </c>
      <c r="BF206" s="297"/>
    </row>
    <row r="207" spans="1:58" ht="13.5" customHeight="1">
      <c r="A207" s="287" t="str">
        <f>'Unit Savings Calculations'!C203</f>
        <v>Bus - SB Rebates</v>
      </c>
      <c r="B207" s="287" t="str">
        <f>'Unit Savings Calculations'!D203</f>
        <v>Steam Traps - Test</v>
      </c>
      <c r="C207" s="288">
        <f t="shared" si="88"/>
        <v>0</v>
      </c>
      <c r="D207" s="287" t="str">
        <f>'Unit Savings Calculations'!T203</f>
        <v>Custom</v>
      </c>
      <c r="E207" s="287">
        <f>INDEX('Unit Savings Calculations'!$H$4:$H$421,MATCH('Measure-Level Adjustments Tab'!$A207&amp;"_"&amp;'Measure-Level Adjustments Tab'!$B207,'Unit Savings Calculations'!$A$4:$A$421,0))</f>
        <v>3</v>
      </c>
      <c r="F207" s="287">
        <f>INDEX('Unit Savings Calculations'!$I$4:$I$421,MATCH('Measure-Level Adjustments Tab'!A207&amp;"_"&amp;'Measure-Level Adjustments Tab'!B207,'Unit Savings Calculations'!$A$4:$A$421,0))</f>
        <v>3</v>
      </c>
      <c r="G207" s="287" t="str">
        <f>'Unit Savings Calculations'!E203</f>
        <v>each</v>
      </c>
      <c r="H207" s="289">
        <f>'Unit Savings Calculations'!$F203*'Unit Savings Calculations'!J203</f>
        <v>0</v>
      </c>
      <c r="I207" s="289">
        <f>'Unit Savings Calculations'!$F203*'Unit Savings Calculations'!K203</f>
        <v>0</v>
      </c>
      <c r="J207" s="289">
        <f>'Unit Savings Calculations'!$F203*'Unit Savings Calculations'!L203</f>
        <v>0</v>
      </c>
      <c r="K207" s="289">
        <f>'Unit Savings Calculations'!$F203*'Unit Savings Calculations'!M203</f>
        <v>0</v>
      </c>
      <c r="L207" s="287" t="str">
        <f>'Unit Savings Calculations'!U203</f>
        <v>Custom</v>
      </c>
      <c r="M207" s="287" t="str">
        <f>'Unit Savings Calculations'!S203</f>
        <v>Custom</v>
      </c>
      <c r="N207" s="290">
        <v>0</v>
      </c>
      <c r="O207" s="290">
        <v>0</v>
      </c>
      <c r="P207" s="290">
        <v>0</v>
      </c>
      <c r="Q207" s="290">
        <v>0</v>
      </c>
      <c r="R207" s="291">
        <f>'Unit Savings Calculations'!$G203</f>
        <v>0.92</v>
      </c>
      <c r="S207" s="291">
        <f>'Unit Savings Calculations'!$G203</f>
        <v>0.92</v>
      </c>
      <c r="T207" s="291">
        <f>'Unit Savings Calculations'!$G203</f>
        <v>0.92</v>
      </c>
      <c r="U207" s="291">
        <f>'Unit Savings Calculations'!$G203</f>
        <v>0.92</v>
      </c>
      <c r="V207" s="292">
        <f t="shared" si="104"/>
        <v>0</v>
      </c>
      <c r="W207" s="292">
        <f t="shared" si="105"/>
        <v>0</v>
      </c>
      <c r="X207" s="292">
        <f t="shared" si="106"/>
        <v>0</v>
      </c>
      <c r="Y207" s="292">
        <f t="shared" si="107"/>
        <v>0</v>
      </c>
      <c r="Z207" s="292">
        <f t="shared" si="108"/>
        <v>0</v>
      </c>
      <c r="AA207" s="364"/>
      <c r="AB207" s="364"/>
      <c r="AC207" s="365">
        <f>'Unit Savings Calculations'!N203</f>
        <v>0</v>
      </c>
      <c r="AD207" s="364"/>
      <c r="AE207" s="366">
        <f t="shared" si="116"/>
        <v>0</v>
      </c>
      <c r="AF207" s="367">
        <f t="shared" si="117"/>
        <v>0</v>
      </c>
      <c r="AG207" s="364"/>
      <c r="AH207" s="364">
        <f t="shared" si="118"/>
        <v>0</v>
      </c>
      <c r="AI207" s="368">
        <f>'Unit Savings Calculations'!O203</f>
        <v>0</v>
      </c>
      <c r="AJ207" s="364" t="s">
        <v>872</v>
      </c>
      <c r="AK207" s="366">
        <f t="shared" si="119"/>
        <v>0</v>
      </c>
      <c r="AL207" s="367">
        <f t="shared" si="120"/>
        <v>0</v>
      </c>
      <c r="AM207" s="364"/>
      <c r="AN207" s="364"/>
      <c r="AO207" s="368">
        <f>'Unit Savings Calculations'!P203</f>
        <v>0</v>
      </c>
      <c r="AP207" s="364" t="s">
        <v>764</v>
      </c>
      <c r="AQ207" s="366">
        <f t="shared" si="121"/>
        <v>0</v>
      </c>
      <c r="AR207" s="367">
        <f t="shared" si="122"/>
        <v>0</v>
      </c>
      <c r="AS207" s="364"/>
      <c r="AT207" s="364"/>
      <c r="AU207" s="368">
        <f>'Unit Savings Calculations'!Q203</f>
        <v>0</v>
      </c>
      <c r="AV207" s="364" t="str">
        <f t="shared" si="109"/>
        <v>n/a</v>
      </c>
      <c r="AW207" s="366">
        <f t="shared" si="123"/>
        <v>0</v>
      </c>
      <c r="AX207" s="367">
        <f t="shared" si="124"/>
        <v>0</v>
      </c>
      <c r="AY207" s="292">
        <f t="shared" si="110"/>
        <v>0</v>
      </c>
      <c r="AZ207" s="292">
        <f t="shared" si="111"/>
        <v>0</v>
      </c>
      <c r="BA207" s="292">
        <f t="shared" si="112"/>
        <v>0</v>
      </c>
      <c r="BB207" s="292">
        <f t="shared" si="113"/>
        <v>0</v>
      </c>
      <c r="BC207" s="294">
        <f t="shared" si="114"/>
        <v>0</v>
      </c>
      <c r="BD207" s="287" t="s">
        <v>764</v>
      </c>
      <c r="BE207" s="295" t="str">
        <f t="shared" si="115"/>
        <v>Custom</v>
      </c>
      <c r="BF207" s="297"/>
    </row>
    <row r="208" spans="1:58" ht="13.5" customHeight="1">
      <c r="A208" s="287" t="str">
        <f>'Unit Savings Calculations'!C204</f>
        <v>Bus - SB Rebates</v>
      </c>
      <c r="B208" s="287" t="str">
        <f>'Unit Savings Calculations'!D204</f>
        <v>Thermostat - Programmable</v>
      </c>
      <c r="C208" s="288">
        <f t="shared" si="88"/>
        <v>1</v>
      </c>
      <c r="D208" s="287" t="str">
        <f>'Unit Savings Calculations'!T204</f>
        <v>4.4.18</v>
      </c>
      <c r="E208" s="287">
        <f>INDEX('Unit Savings Calculations'!$H$4:$H$421,MATCH('Measure-Level Adjustments Tab'!$A208&amp;"_"&amp;'Measure-Level Adjustments Tab'!$B208,'Unit Savings Calculations'!$A$4:$A$421,0))</f>
        <v>4</v>
      </c>
      <c r="F208" s="287">
        <f>INDEX('Unit Savings Calculations'!$I$4:$I$421,MATCH('Measure-Level Adjustments Tab'!A208&amp;"_"&amp;'Measure-Level Adjustments Tab'!B208,'Unit Savings Calculations'!$A$4:$A$421,0))</f>
        <v>4</v>
      </c>
      <c r="G208" s="287" t="str">
        <f>'Unit Savings Calculations'!E204</f>
        <v>each</v>
      </c>
      <c r="H208" s="289">
        <f>'Unit Savings Calculations'!$F204*'Unit Savings Calculations'!J204</f>
        <v>0</v>
      </c>
      <c r="I208" s="289">
        <f>'Unit Savings Calculations'!$F204*'Unit Savings Calculations'!K204</f>
        <v>0</v>
      </c>
      <c r="J208" s="289">
        <f>'Unit Savings Calculations'!$F204*'Unit Savings Calculations'!L204</f>
        <v>0</v>
      </c>
      <c r="K208" s="289">
        <f>'Unit Savings Calculations'!$F204*'Unit Savings Calculations'!M204</f>
        <v>0</v>
      </c>
      <c r="L208" s="287" t="str">
        <f>'Unit Savings Calculations'!U204</f>
        <v>CI-HVC-PROG-V02-150601</v>
      </c>
      <c r="M208" s="363" t="s">
        <v>829</v>
      </c>
      <c r="N208" s="290">
        <v>124.68584320000001</v>
      </c>
      <c r="O208" s="290">
        <v>124.68584320000001</v>
      </c>
      <c r="P208" s="290">
        <v>124.68584320000001</v>
      </c>
      <c r="Q208" s="290">
        <v>124.68584320000001</v>
      </c>
      <c r="R208" s="291">
        <f>'Unit Savings Calculations'!$G204</f>
        <v>0.92</v>
      </c>
      <c r="S208" s="291">
        <f>'Unit Savings Calculations'!$G204</f>
        <v>0.92</v>
      </c>
      <c r="T208" s="291">
        <f>'Unit Savings Calculations'!$G204</f>
        <v>0.92</v>
      </c>
      <c r="U208" s="291">
        <f>'Unit Savings Calculations'!$G204</f>
        <v>0.92</v>
      </c>
      <c r="V208" s="292">
        <f t="shared" si="104"/>
        <v>0</v>
      </c>
      <c r="W208" s="292">
        <f t="shared" si="105"/>
        <v>0</v>
      </c>
      <c r="X208" s="292">
        <f t="shared" si="106"/>
        <v>0</v>
      </c>
      <c r="Y208" s="292">
        <f t="shared" si="107"/>
        <v>0</v>
      </c>
      <c r="Z208" s="292">
        <f t="shared" si="108"/>
        <v>0</v>
      </c>
      <c r="AA208" s="287"/>
      <c r="AB208" s="287"/>
      <c r="AC208" s="293">
        <f>'Unit Savings Calculations'!N204</f>
        <v>124.68584320000001</v>
      </c>
      <c r="AD208" s="287"/>
      <c r="AE208" s="292">
        <f t="shared" si="116"/>
        <v>0</v>
      </c>
      <c r="AF208" s="289">
        <f t="shared" si="117"/>
        <v>0</v>
      </c>
      <c r="AG208" s="287"/>
      <c r="AH208" s="287">
        <f t="shared" si="118"/>
        <v>0</v>
      </c>
      <c r="AI208" s="290">
        <f>'Unit Savings Calculations'!O204</f>
        <v>124.68584320000001</v>
      </c>
      <c r="AJ208" s="287" t="s">
        <v>872</v>
      </c>
      <c r="AK208" s="292">
        <f t="shared" si="119"/>
        <v>0</v>
      </c>
      <c r="AL208" s="289">
        <f t="shared" si="120"/>
        <v>0</v>
      </c>
      <c r="AM208" s="287"/>
      <c r="AN208" s="287"/>
      <c r="AO208" s="290">
        <f>'Unit Savings Calculations'!P204</f>
        <v>124.68584320000001</v>
      </c>
      <c r="AP208" s="287" t="s">
        <v>764</v>
      </c>
      <c r="AQ208" s="292">
        <f t="shared" si="121"/>
        <v>0</v>
      </c>
      <c r="AR208" s="289">
        <f t="shared" si="122"/>
        <v>0</v>
      </c>
      <c r="AS208" s="287"/>
      <c r="AT208" s="287"/>
      <c r="AU208" s="290">
        <f>'Unit Savings Calculations'!Q204</f>
        <v>124.68584320000001</v>
      </c>
      <c r="AV208" s="287" t="str">
        <f t="shared" si="109"/>
        <v>n/a</v>
      </c>
      <c r="AW208" s="292">
        <f t="shared" si="123"/>
        <v>0</v>
      </c>
      <c r="AX208" s="289">
        <f t="shared" si="124"/>
        <v>0</v>
      </c>
      <c r="AY208" s="292">
        <f t="shared" si="110"/>
        <v>0</v>
      </c>
      <c r="AZ208" s="292">
        <f t="shared" si="111"/>
        <v>0</v>
      </c>
      <c r="BA208" s="292">
        <f t="shared" si="112"/>
        <v>0</v>
      </c>
      <c r="BB208" s="292">
        <f t="shared" si="113"/>
        <v>0</v>
      </c>
      <c r="BC208" s="294">
        <f t="shared" si="114"/>
        <v>0</v>
      </c>
      <c r="BD208" s="287" t="s">
        <v>764</v>
      </c>
      <c r="BE208" s="295" t="str">
        <f t="shared" si="115"/>
        <v>Exhibit 1.5B_R Peoples Gas EEPS_Adjustable_Savings_Goal_Template.xlsx, Thermostat Detail Tab</v>
      </c>
      <c r="BF208" s="297"/>
    </row>
    <row r="209" spans="1:58" ht="13.5" customHeight="1">
      <c r="A209" s="287" t="str">
        <f>'Unit Savings Calculations'!C205</f>
        <v>Bus - SB Rebates</v>
      </c>
      <c r="B209" s="287" t="str">
        <f>'Unit Savings Calculations'!D205</f>
        <v>Water Heater - Storage 88% TE ≥75MBh</v>
      </c>
      <c r="C209" s="288">
        <f t="shared" si="88"/>
        <v>1</v>
      </c>
      <c r="D209" s="287" t="str">
        <f>'Unit Savings Calculations'!T205</f>
        <v>4.3.1</v>
      </c>
      <c r="E209" s="287">
        <f>INDEX('Unit Savings Calculations'!$H$4:$H$421,MATCH('Measure-Level Adjustments Tab'!$A209&amp;"_"&amp;'Measure-Level Adjustments Tab'!$B209,'Unit Savings Calculations'!$A$4:$A$421,0))</f>
        <v>15</v>
      </c>
      <c r="F209" s="287">
        <f>INDEX('Unit Savings Calculations'!$I$4:$I$421,MATCH('Measure-Level Adjustments Tab'!A209&amp;"_"&amp;'Measure-Level Adjustments Tab'!B209,'Unit Savings Calculations'!$A$4:$A$421,0))</f>
        <v>15</v>
      </c>
      <c r="G209" s="287" t="str">
        <f>'Unit Savings Calculations'!E205</f>
        <v>each</v>
      </c>
      <c r="H209" s="289">
        <f>'Unit Savings Calculations'!$F205*'Unit Savings Calculations'!J205</f>
        <v>0</v>
      </c>
      <c r="I209" s="289">
        <f>'Unit Savings Calculations'!$F205*'Unit Savings Calculations'!K205</f>
        <v>0</v>
      </c>
      <c r="J209" s="289">
        <f>'Unit Savings Calculations'!$F205*'Unit Savings Calculations'!L205</f>
        <v>0</v>
      </c>
      <c r="K209" s="289">
        <f>'Unit Savings Calculations'!$F205*'Unit Savings Calculations'!M205</f>
        <v>0</v>
      </c>
      <c r="L209" s="287" t="str">
        <f>'Unit Savings Calculations'!U205</f>
        <v>CI-HW-STWH-V03-180101</v>
      </c>
      <c r="M209" s="363" t="s">
        <v>830</v>
      </c>
      <c r="N209" s="290">
        <v>135.66827090062347</v>
      </c>
      <c r="O209" s="290">
        <v>135.66827090062347</v>
      </c>
      <c r="P209" s="290">
        <v>135.66827090062347</v>
      </c>
      <c r="Q209" s="290">
        <v>135.66827090062347</v>
      </c>
      <c r="R209" s="291">
        <f>'Unit Savings Calculations'!$G205</f>
        <v>0.92</v>
      </c>
      <c r="S209" s="291">
        <f>'Unit Savings Calculations'!$G205</f>
        <v>0.92</v>
      </c>
      <c r="T209" s="291">
        <f>'Unit Savings Calculations'!$G205</f>
        <v>0.92</v>
      </c>
      <c r="U209" s="291">
        <f>'Unit Savings Calculations'!$G205</f>
        <v>0.92</v>
      </c>
      <c r="V209" s="292">
        <f t="shared" si="104"/>
        <v>0</v>
      </c>
      <c r="W209" s="292">
        <f t="shared" si="105"/>
        <v>0</v>
      </c>
      <c r="X209" s="292">
        <f t="shared" si="106"/>
        <v>0</v>
      </c>
      <c r="Y209" s="292">
        <f t="shared" si="107"/>
        <v>0</v>
      </c>
      <c r="Z209" s="292">
        <f t="shared" si="108"/>
        <v>0</v>
      </c>
      <c r="AA209" s="287"/>
      <c r="AB209" s="287"/>
      <c r="AC209" s="293">
        <f>'Unit Savings Calculations'!N205</f>
        <v>1514.573584976577</v>
      </c>
      <c r="AD209" s="287"/>
      <c r="AE209" s="292">
        <f t="shared" si="116"/>
        <v>0</v>
      </c>
      <c r="AF209" s="289">
        <f t="shared" si="117"/>
        <v>0</v>
      </c>
      <c r="AG209" s="287"/>
      <c r="AH209" s="287">
        <f t="shared" si="118"/>
        <v>0</v>
      </c>
      <c r="AI209" s="290">
        <f>'Unit Savings Calculations'!O205</f>
        <v>1514.573584976577</v>
      </c>
      <c r="AJ209" s="287" t="s">
        <v>888</v>
      </c>
      <c r="AK209" s="292">
        <f t="shared" si="119"/>
        <v>0</v>
      </c>
      <c r="AL209" s="289">
        <f t="shared" si="120"/>
        <v>0</v>
      </c>
      <c r="AM209" s="287"/>
      <c r="AN209" s="287"/>
      <c r="AO209" s="290">
        <f>'Unit Savings Calculations'!P205</f>
        <v>1514.573584976577</v>
      </c>
      <c r="AP209" s="287" t="s">
        <v>764</v>
      </c>
      <c r="AQ209" s="292">
        <f t="shared" si="121"/>
        <v>0</v>
      </c>
      <c r="AR209" s="289">
        <f t="shared" si="122"/>
        <v>0</v>
      </c>
      <c r="AS209" s="287"/>
      <c r="AT209" s="287"/>
      <c r="AU209" s="290">
        <f>'Unit Savings Calculations'!Q205</f>
        <v>1514.573584976577</v>
      </c>
      <c r="AV209" s="287" t="str">
        <f t="shared" si="109"/>
        <v>n/a</v>
      </c>
      <c r="AW209" s="292">
        <f t="shared" si="123"/>
        <v>0</v>
      </c>
      <c r="AX209" s="289">
        <f t="shared" si="124"/>
        <v>0</v>
      </c>
      <c r="AY209" s="292">
        <f t="shared" si="110"/>
        <v>0</v>
      </c>
      <c r="AZ209" s="292">
        <f t="shared" si="111"/>
        <v>0</v>
      </c>
      <c r="BA209" s="292">
        <f t="shared" si="112"/>
        <v>0</v>
      </c>
      <c r="BB209" s="292">
        <f t="shared" si="113"/>
        <v>0</v>
      </c>
      <c r="BC209" s="294">
        <f t="shared" si="114"/>
        <v>0</v>
      </c>
      <c r="BD209" s="287" t="s">
        <v>764</v>
      </c>
      <c r="BE209" s="295" t="str">
        <f t="shared" si="115"/>
        <v>Exhibit 1.5B_R Peoples Gas EEPS_Adjustable_Savings_Goal_Template.xlsx, Unit Savings Calculations Tab</v>
      </c>
      <c r="BF209" s="297"/>
    </row>
    <row r="210" spans="1:58" ht="13.5" customHeight="1">
      <c r="A210" s="287" t="str">
        <f>'Unit Savings Calculations'!C206</f>
        <v>Bus - SB Rebates</v>
      </c>
      <c r="B210" s="287" t="str">
        <f>'Unit Savings Calculations'!D206</f>
        <v>Water Heater 88% TE - Laundromat</v>
      </c>
      <c r="C210" s="288">
        <f t="shared" si="88"/>
        <v>0</v>
      </c>
      <c r="D210" s="287" t="str">
        <f>'Unit Savings Calculations'!T206</f>
        <v>Custom</v>
      </c>
      <c r="E210" s="287">
        <f>INDEX('Unit Savings Calculations'!$H$4:$H$421,MATCH('Measure-Level Adjustments Tab'!$A210&amp;"_"&amp;'Measure-Level Adjustments Tab'!$B210,'Unit Savings Calculations'!$A$4:$A$421,0))</f>
        <v>15</v>
      </c>
      <c r="F210" s="287">
        <f>INDEX('Unit Savings Calculations'!$I$4:$I$421,MATCH('Measure-Level Adjustments Tab'!A210&amp;"_"&amp;'Measure-Level Adjustments Tab'!B210,'Unit Savings Calculations'!$A$4:$A$421,0))</f>
        <v>15</v>
      </c>
      <c r="G210" s="287" t="str">
        <f>'Unit Savings Calculations'!E206</f>
        <v>MBH</v>
      </c>
      <c r="H210" s="289">
        <f>'Unit Savings Calculations'!$F206*'Unit Savings Calculations'!J206</f>
        <v>0</v>
      </c>
      <c r="I210" s="289">
        <f>'Unit Savings Calculations'!$F206*'Unit Savings Calculations'!K206</f>
        <v>0</v>
      </c>
      <c r="J210" s="289">
        <f>'Unit Savings Calculations'!$F206*'Unit Savings Calculations'!L206</f>
        <v>0</v>
      </c>
      <c r="K210" s="289">
        <f>'Unit Savings Calculations'!$F206*'Unit Savings Calculations'!M206</f>
        <v>0</v>
      </c>
      <c r="L210" s="287" t="str">
        <f>'Unit Savings Calculations'!U206</f>
        <v>Custom</v>
      </c>
      <c r="M210" s="363" t="s">
        <v>828</v>
      </c>
      <c r="N210" s="290">
        <v>1.0567132867132856</v>
      </c>
      <c r="O210" s="290">
        <v>1.0567132867132856</v>
      </c>
      <c r="P210" s="290">
        <v>1.0567132867132856</v>
      </c>
      <c r="Q210" s="290">
        <v>1.0567132867132856</v>
      </c>
      <c r="R210" s="291">
        <f>'Unit Savings Calculations'!$G206</f>
        <v>0.92</v>
      </c>
      <c r="S210" s="291">
        <f>'Unit Savings Calculations'!$G206</f>
        <v>0.92</v>
      </c>
      <c r="T210" s="291">
        <f>'Unit Savings Calculations'!$G206</f>
        <v>0.92</v>
      </c>
      <c r="U210" s="291">
        <f>'Unit Savings Calculations'!$G206</f>
        <v>0.92</v>
      </c>
      <c r="V210" s="292">
        <f t="shared" si="104"/>
        <v>0</v>
      </c>
      <c r="W210" s="292">
        <f t="shared" si="105"/>
        <v>0</v>
      </c>
      <c r="X210" s="292">
        <f t="shared" si="106"/>
        <v>0</v>
      </c>
      <c r="Y210" s="292">
        <f t="shared" si="107"/>
        <v>0</v>
      </c>
      <c r="Z210" s="292">
        <f t="shared" si="108"/>
        <v>0</v>
      </c>
      <c r="AA210" s="364"/>
      <c r="AB210" s="364"/>
      <c r="AC210" s="365">
        <f>'Unit Savings Calculations'!N206</f>
        <v>1.0567132867132856</v>
      </c>
      <c r="AD210" s="364"/>
      <c r="AE210" s="366">
        <f t="shared" si="116"/>
        <v>0</v>
      </c>
      <c r="AF210" s="367">
        <f t="shared" si="117"/>
        <v>0</v>
      </c>
      <c r="AG210" s="364"/>
      <c r="AH210" s="364">
        <f t="shared" si="118"/>
        <v>0</v>
      </c>
      <c r="AI210" s="368">
        <f>'Unit Savings Calculations'!O206</f>
        <v>1.0567132867132856</v>
      </c>
      <c r="AJ210" s="364" t="s">
        <v>872</v>
      </c>
      <c r="AK210" s="366">
        <f t="shared" si="119"/>
        <v>0</v>
      </c>
      <c r="AL210" s="367">
        <f t="shared" si="120"/>
        <v>0</v>
      </c>
      <c r="AM210" s="364"/>
      <c r="AN210" s="364"/>
      <c r="AO210" s="368">
        <f>'Unit Savings Calculations'!P206</f>
        <v>1.0567132867132856</v>
      </c>
      <c r="AP210" s="364" t="s">
        <v>764</v>
      </c>
      <c r="AQ210" s="366">
        <f t="shared" si="121"/>
        <v>0</v>
      </c>
      <c r="AR210" s="367">
        <f t="shared" si="122"/>
        <v>0</v>
      </c>
      <c r="AS210" s="364"/>
      <c r="AT210" s="364"/>
      <c r="AU210" s="368">
        <f>'Unit Savings Calculations'!Q206</f>
        <v>1.0567132867132856</v>
      </c>
      <c r="AV210" s="364" t="str">
        <f t="shared" si="109"/>
        <v>n/a</v>
      </c>
      <c r="AW210" s="366">
        <f t="shared" si="123"/>
        <v>0</v>
      </c>
      <c r="AX210" s="367">
        <f t="shared" si="124"/>
        <v>0</v>
      </c>
      <c r="AY210" s="292">
        <f t="shared" si="110"/>
        <v>0</v>
      </c>
      <c r="AZ210" s="292">
        <f t="shared" si="111"/>
        <v>0</v>
      </c>
      <c r="BA210" s="292">
        <f t="shared" si="112"/>
        <v>0</v>
      </c>
      <c r="BB210" s="292">
        <f t="shared" si="113"/>
        <v>0</v>
      </c>
      <c r="BC210" s="294">
        <f t="shared" si="114"/>
        <v>0</v>
      </c>
      <c r="BD210" s="287" t="s">
        <v>764</v>
      </c>
      <c r="BE210" s="295" t="str">
        <f t="shared" si="115"/>
        <v>Exhibit 1.5B_R Peoples Gas EEPS_Adjustable_Savings_Goal_Template.xlsx, Laundromat Broiler Detail Tab</v>
      </c>
      <c r="BF210" s="297"/>
    </row>
    <row r="211" spans="1:58" ht="13.5" customHeight="1">
      <c r="A211" s="287" t="str">
        <f>'Unit Savings Calculations'!C207</f>
        <v>Bus - SB Rebates</v>
      </c>
      <c r="B211" s="287" t="str">
        <f>'Unit Savings Calculations'!D207</f>
        <v>Water Heater 95% TE - Laundromat</v>
      </c>
      <c r="C211" s="288">
        <f t="shared" si="88"/>
        <v>0</v>
      </c>
      <c r="D211" s="287" t="str">
        <f>'Unit Savings Calculations'!T207</f>
        <v>Custom</v>
      </c>
      <c r="E211" s="287">
        <f>INDEX('Unit Savings Calculations'!$H$4:$H$421,MATCH('Measure-Level Adjustments Tab'!$A211&amp;"_"&amp;'Measure-Level Adjustments Tab'!$B211,'Unit Savings Calculations'!$A$4:$A$421,0))</f>
        <v>15</v>
      </c>
      <c r="F211" s="287">
        <f>INDEX('Unit Savings Calculations'!$I$4:$I$421,MATCH('Measure-Level Adjustments Tab'!A211&amp;"_"&amp;'Measure-Level Adjustments Tab'!B211,'Unit Savings Calculations'!$A$4:$A$421,0))</f>
        <v>15</v>
      </c>
      <c r="G211" s="287" t="str">
        <f>'Unit Savings Calculations'!E207</f>
        <v>MBH</v>
      </c>
      <c r="H211" s="289">
        <f>'Unit Savings Calculations'!$F207*'Unit Savings Calculations'!J207</f>
        <v>0</v>
      </c>
      <c r="I211" s="289">
        <f>'Unit Savings Calculations'!$F207*'Unit Savings Calculations'!K207</f>
        <v>0</v>
      </c>
      <c r="J211" s="289">
        <f>'Unit Savings Calculations'!$F207*'Unit Savings Calculations'!L207</f>
        <v>0</v>
      </c>
      <c r="K211" s="289">
        <f>'Unit Savings Calculations'!$F207*'Unit Savings Calculations'!M207</f>
        <v>0</v>
      </c>
      <c r="L211" s="287" t="str">
        <f>'Unit Savings Calculations'!U207</f>
        <v>Custom</v>
      </c>
      <c r="M211" s="363" t="s">
        <v>828</v>
      </c>
      <c r="N211" s="290">
        <v>1.8353441295546562</v>
      </c>
      <c r="O211" s="290">
        <v>1.8353441295546562</v>
      </c>
      <c r="P211" s="290">
        <v>1.8353441295546562</v>
      </c>
      <c r="Q211" s="290">
        <v>1.8353441295546562</v>
      </c>
      <c r="R211" s="291">
        <f>'Unit Savings Calculations'!$G207</f>
        <v>0.92</v>
      </c>
      <c r="S211" s="291">
        <f>'Unit Savings Calculations'!$G207</f>
        <v>0.92</v>
      </c>
      <c r="T211" s="291">
        <f>'Unit Savings Calculations'!$G207</f>
        <v>0.92</v>
      </c>
      <c r="U211" s="291">
        <f>'Unit Savings Calculations'!$G207</f>
        <v>0.92</v>
      </c>
      <c r="V211" s="292">
        <f t="shared" si="104"/>
        <v>0</v>
      </c>
      <c r="W211" s="292">
        <f t="shared" si="105"/>
        <v>0</v>
      </c>
      <c r="X211" s="292">
        <f t="shared" si="106"/>
        <v>0</v>
      </c>
      <c r="Y211" s="292">
        <f t="shared" si="107"/>
        <v>0</v>
      </c>
      <c r="Z211" s="292">
        <f t="shared" si="108"/>
        <v>0</v>
      </c>
      <c r="AA211" s="364"/>
      <c r="AB211" s="364"/>
      <c r="AC211" s="365">
        <f>'Unit Savings Calculations'!N207</f>
        <v>1.8353441295546562</v>
      </c>
      <c r="AD211" s="364"/>
      <c r="AE211" s="366">
        <f t="shared" si="116"/>
        <v>0</v>
      </c>
      <c r="AF211" s="367">
        <f t="shared" si="117"/>
        <v>0</v>
      </c>
      <c r="AG211" s="364"/>
      <c r="AH211" s="364">
        <f t="shared" si="118"/>
        <v>0</v>
      </c>
      <c r="AI211" s="368">
        <f>'Unit Savings Calculations'!O207</f>
        <v>1.8353441295546562</v>
      </c>
      <c r="AJ211" s="364" t="s">
        <v>872</v>
      </c>
      <c r="AK211" s="366">
        <f t="shared" si="119"/>
        <v>0</v>
      </c>
      <c r="AL211" s="367">
        <f t="shared" si="120"/>
        <v>0</v>
      </c>
      <c r="AM211" s="364"/>
      <c r="AN211" s="364"/>
      <c r="AO211" s="368">
        <f>'Unit Savings Calculations'!P207</f>
        <v>1.8353441295546562</v>
      </c>
      <c r="AP211" s="364" t="s">
        <v>764</v>
      </c>
      <c r="AQ211" s="366">
        <f t="shared" si="121"/>
        <v>0</v>
      </c>
      <c r="AR211" s="367">
        <f t="shared" si="122"/>
        <v>0</v>
      </c>
      <c r="AS211" s="364"/>
      <c r="AT211" s="364"/>
      <c r="AU211" s="368">
        <f>'Unit Savings Calculations'!Q207</f>
        <v>1.8353441295546562</v>
      </c>
      <c r="AV211" s="364" t="str">
        <f t="shared" si="109"/>
        <v>n/a</v>
      </c>
      <c r="AW211" s="366">
        <f t="shared" si="123"/>
        <v>0</v>
      </c>
      <c r="AX211" s="367">
        <f t="shared" si="124"/>
        <v>0</v>
      </c>
      <c r="AY211" s="292">
        <f t="shared" si="110"/>
        <v>0</v>
      </c>
      <c r="AZ211" s="292">
        <f t="shared" si="111"/>
        <v>0</v>
      </c>
      <c r="BA211" s="292">
        <f t="shared" si="112"/>
        <v>0</v>
      </c>
      <c r="BB211" s="292">
        <f t="shared" si="113"/>
        <v>0</v>
      </c>
      <c r="BC211" s="294">
        <f t="shared" si="114"/>
        <v>0</v>
      </c>
      <c r="BD211" s="287" t="s">
        <v>764</v>
      </c>
      <c r="BE211" s="295" t="str">
        <f t="shared" si="115"/>
        <v>Exhibit 1.5B_R Peoples Gas EEPS_Adjustable_Savings_Goal_Template.xlsx, Laundromat Broiler Detail Tab</v>
      </c>
      <c r="BF211" s="297"/>
    </row>
    <row r="212" spans="1:58" ht="13.5" customHeight="1">
      <c r="A212" s="287" t="str">
        <f>'Unit Savings Calculations'!C208</f>
        <v>Bus - SB Rebates -PTA</v>
      </c>
      <c r="B212" s="287" t="str">
        <f>'Unit Savings Calculations'!D208</f>
        <v>Boiler ≥88% AFUE, &lt;300MBh (SB)</v>
      </c>
      <c r="C212" s="288">
        <f t="shared" si="88"/>
        <v>1</v>
      </c>
      <c r="D212" s="287" t="str">
        <f>'Unit Savings Calculations'!T208</f>
        <v>4.4.10</v>
      </c>
      <c r="E212" s="287">
        <f>INDEX('Unit Savings Calculations'!$H$4:$H$421,MATCH('Measure-Level Adjustments Tab'!$A212&amp;"_"&amp;'Measure-Level Adjustments Tab'!$B212,'Unit Savings Calculations'!$A$4:$A$421,0))</f>
        <v>20</v>
      </c>
      <c r="F212" s="287">
        <f>INDEX('Unit Savings Calculations'!$I$4:$I$421,MATCH('Measure-Level Adjustments Tab'!A212&amp;"_"&amp;'Measure-Level Adjustments Tab'!B212,'Unit Savings Calculations'!$A$4:$A$421,0))</f>
        <v>20</v>
      </c>
      <c r="G212" s="287" t="str">
        <f>'Unit Savings Calculations'!E208</f>
        <v>MBH</v>
      </c>
      <c r="H212" s="289">
        <f>'Unit Savings Calculations'!$F208*'Unit Savings Calculations'!J208</f>
        <v>600</v>
      </c>
      <c r="I212" s="289">
        <f>'Unit Savings Calculations'!$F208*'Unit Savings Calculations'!K208</f>
        <v>600</v>
      </c>
      <c r="J212" s="289">
        <f>'Unit Savings Calculations'!$F208*'Unit Savings Calculations'!L208</f>
        <v>600</v>
      </c>
      <c r="K212" s="289">
        <f>'Unit Savings Calculations'!$F208*'Unit Savings Calculations'!M208</f>
        <v>600</v>
      </c>
      <c r="L212" s="287" t="str">
        <f>'Unit Savings Calculations'!U208</f>
        <v>CI-HVC-BOIL-V05-150601</v>
      </c>
      <c r="M212" s="363" t="s">
        <v>830</v>
      </c>
      <c r="N212" s="290">
        <v>1.161219512195123</v>
      </c>
      <c r="O212" s="290">
        <v>1.161219512195123</v>
      </c>
      <c r="P212" s="290">
        <v>1.161219512195123</v>
      </c>
      <c r="Q212" s="290">
        <v>1.161219512195123</v>
      </c>
      <c r="R212" s="291">
        <f>'Unit Savings Calculations'!$G208</f>
        <v>0.92</v>
      </c>
      <c r="S212" s="291">
        <f>'Unit Savings Calculations'!$G208</f>
        <v>0.92</v>
      </c>
      <c r="T212" s="291">
        <f>'Unit Savings Calculations'!$G208</f>
        <v>0.92</v>
      </c>
      <c r="U212" s="291">
        <f>'Unit Savings Calculations'!$G208</f>
        <v>0.92</v>
      </c>
      <c r="V212" s="292">
        <f t="shared" si="104"/>
        <v>640.99317073170789</v>
      </c>
      <c r="W212" s="292">
        <f t="shared" si="105"/>
        <v>640.99317073170789</v>
      </c>
      <c r="X212" s="292">
        <f t="shared" si="106"/>
        <v>640.99317073170789</v>
      </c>
      <c r="Y212" s="292">
        <f t="shared" si="107"/>
        <v>640.99317073170789</v>
      </c>
      <c r="Z212" s="292">
        <f t="shared" si="108"/>
        <v>2563.9726829268316</v>
      </c>
      <c r="AA212" s="287"/>
      <c r="AB212" s="287"/>
      <c r="AC212" s="293">
        <f>'Unit Savings Calculations'!N208</f>
        <v>1.1919512195121962</v>
      </c>
      <c r="AD212" s="287"/>
      <c r="AE212" s="292">
        <f t="shared" si="116"/>
        <v>657.95707317073231</v>
      </c>
      <c r="AF212" s="289">
        <f t="shared" si="117"/>
        <v>16.963902439024423</v>
      </c>
      <c r="AG212" s="287"/>
      <c r="AH212" s="287">
        <f t="shared" si="118"/>
        <v>0</v>
      </c>
      <c r="AI212" s="290">
        <f>'Unit Savings Calculations'!O208</f>
        <v>1.1919512195121962</v>
      </c>
      <c r="AJ212" s="287" t="s">
        <v>872</v>
      </c>
      <c r="AK212" s="292">
        <f t="shared" si="119"/>
        <v>657.95707317073231</v>
      </c>
      <c r="AL212" s="289">
        <f t="shared" si="120"/>
        <v>16.963902439024423</v>
      </c>
      <c r="AM212" s="287"/>
      <c r="AN212" s="287"/>
      <c r="AO212" s="290">
        <f>'Unit Savings Calculations'!P208</f>
        <v>1.1919512195121962</v>
      </c>
      <c r="AP212" s="287" t="s">
        <v>1450</v>
      </c>
      <c r="AQ212" s="292">
        <f t="shared" si="121"/>
        <v>657.95707317073231</v>
      </c>
      <c r="AR212" s="289">
        <f t="shared" si="122"/>
        <v>16.963902439024423</v>
      </c>
      <c r="AS212" s="287"/>
      <c r="AT212" s="287"/>
      <c r="AU212" s="290">
        <f>'Unit Savings Calculations'!Q208</f>
        <v>1.1919512195121962</v>
      </c>
      <c r="AV212" s="287" t="str">
        <f t="shared" si="109"/>
        <v>Updated heating EFLH</v>
      </c>
      <c r="AW212" s="292">
        <f t="shared" si="123"/>
        <v>657.95707317073231</v>
      </c>
      <c r="AX212" s="289">
        <f t="shared" si="124"/>
        <v>16.963902439024423</v>
      </c>
      <c r="AY212" s="292">
        <f t="shared" si="110"/>
        <v>657.95707317073231</v>
      </c>
      <c r="AZ212" s="292">
        <f t="shared" si="111"/>
        <v>657.95707317073231</v>
      </c>
      <c r="BA212" s="292">
        <f t="shared" si="112"/>
        <v>657.95707317073231</v>
      </c>
      <c r="BB212" s="292">
        <f t="shared" si="113"/>
        <v>657.95707317073231</v>
      </c>
      <c r="BC212" s="294">
        <f t="shared" si="114"/>
        <v>2631.8282926829293</v>
      </c>
      <c r="BD212" s="287" t="s">
        <v>764</v>
      </c>
      <c r="BE212" s="295" t="str">
        <f t="shared" si="115"/>
        <v>Exhibit 1.5B_R Peoples Gas EEPS_Adjustable_Savings_Goal_Template.xlsx, Unit Savings Calculations Tab</v>
      </c>
      <c r="BF212" s="297"/>
    </row>
    <row r="213" spans="1:58" ht="13.5" customHeight="1">
      <c r="A213" s="287" t="str">
        <f>'Unit Savings Calculations'!C209</f>
        <v>Bus - SB Rebates -PTA</v>
      </c>
      <c r="B213" s="287" t="str">
        <f>'Unit Savings Calculations'!D209</f>
        <v>Boiler ≥88% AFUE, ≥300MBh TE (SB)</v>
      </c>
      <c r="C213" s="288">
        <f t="shared" si="88"/>
        <v>1</v>
      </c>
      <c r="D213" s="287" t="str">
        <f>'Unit Savings Calculations'!T209</f>
        <v>4.4.10</v>
      </c>
      <c r="E213" s="287">
        <f>INDEX('Unit Savings Calculations'!$H$4:$H$421,MATCH('Measure-Level Adjustments Tab'!$A213&amp;"_"&amp;'Measure-Level Adjustments Tab'!$B213,'Unit Savings Calculations'!$A$4:$A$421,0))</f>
        <v>20</v>
      </c>
      <c r="F213" s="287">
        <f>INDEX('Unit Savings Calculations'!$I$4:$I$421,MATCH('Measure-Level Adjustments Tab'!A213&amp;"_"&amp;'Measure-Level Adjustments Tab'!B213,'Unit Savings Calculations'!$A$4:$A$421,0))</f>
        <v>20</v>
      </c>
      <c r="G213" s="287" t="str">
        <f>'Unit Savings Calculations'!E209</f>
        <v>MBH</v>
      </c>
      <c r="H213" s="289">
        <f>'Unit Savings Calculations'!$F209*'Unit Savings Calculations'!J209</f>
        <v>3500</v>
      </c>
      <c r="I213" s="289">
        <f>'Unit Savings Calculations'!$F209*'Unit Savings Calculations'!K209</f>
        <v>3500</v>
      </c>
      <c r="J213" s="289">
        <f>'Unit Savings Calculations'!$F209*'Unit Savings Calculations'!L209</f>
        <v>3500</v>
      </c>
      <c r="K213" s="289">
        <f>'Unit Savings Calculations'!$F209*'Unit Savings Calculations'!M209</f>
        <v>3500</v>
      </c>
      <c r="L213" s="287" t="str">
        <f>'Unit Savings Calculations'!U209</f>
        <v>CI-HVC-BOIL-V05-150601</v>
      </c>
      <c r="M213" s="363" t="s">
        <v>830</v>
      </c>
      <c r="N213" s="290">
        <v>1.5869999999999991</v>
      </c>
      <c r="O213" s="290">
        <v>1.5869999999999991</v>
      </c>
      <c r="P213" s="290">
        <v>1.5869999999999991</v>
      </c>
      <c r="Q213" s="290">
        <v>1.5869999999999991</v>
      </c>
      <c r="R213" s="291">
        <f>'Unit Savings Calculations'!$G209</f>
        <v>0.92</v>
      </c>
      <c r="S213" s="291">
        <f>'Unit Savings Calculations'!$G209</f>
        <v>0.92</v>
      </c>
      <c r="T213" s="291">
        <f>'Unit Savings Calculations'!$G209</f>
        <v>0.92</v>
      </c>
      <c r="U213" s="291">
        <f>'Unit Savings Calculations'!$G209</f>
        <v>0.92</v>
      </c>
      <c r="V213" s="292">
        <f t="shared" si="104"/>
        <v>5110.1399999999967</v>
      </c>
      <c r="W213" s="292">
        <f t="shared" si="105"/>
        <v>5110.1399999999967</v>
      </c>
      <c r="X213" s="292">
        <f t="shared" si="106"/>
        <v>5110.1399999999967</v>
      </c>
      <c r="Y213" s="292">
        <f t="shared" si="107"/>
        <v>5110.1399999999967</v>
      </c>
      <c r="Z213" s="292">
        <f t="shared" si="108"/>
        <v>20440.559999999987</v>
      </c>
      <c r="AA213" s="287"/>
      <c r="AB213" s="287"/>
      <c r="AC213" s="293">
        <f>'Unit Savings Calculations'!N209</f>
        <v>1.6289999999999993</v>
      </c>
      <c r="AD213" s="287"/>
      <c r="AE213" s="292">
        <f t="shared" si="116"/>
        <v>5245.3799999999974</v>
      </c>
      <c r="AF213" s="289">
        <f t="shared" si="117"/>
        <v>135.24000000000069</v>
      </c>
      <c r="AG213" s="287"/>
      <c r="AH213" s="287">
        <f t="shared" si="118"/>
        <v>0</v>
      </c>
      <c r="AI213" s="290">
        <f>'Unit Savings Calculations'!O209</f>
        <v>1.6289999999999993</v>
      </c>
      <c r="AJ213" s="287" t="s">
        <v>872</v>
      </c>
      <c r="AK213" s="292">
        <f t="shared" si="119"/>
        <v>5245.3799999999974</v>
      </c>
      <c r="AL213" s="289">
        <f t="shared" si="120"/>
        <v>135.24000000000069</v>
      </c>
      <c r="AM213" s="287"/>
      <c r="AN213" s="287"/>
      <c r="AO213" s="290">
        <f>'Unit Savings Calculations'!P209</f>
        <v>1.6289999999999993</v>
      </c>
      <c r="AP213" s="287" t="s">
        <v>1450</v>
      </c>
      <c r="AQ213" s="292">
        <f t="shared" si="121"/>
        <v>5245.3799999999974</v>
      </c>
      <c r="AR213" s="289">
        <f t="shared" si="122"/>
        <v>135.24000000000069</v>
      </c>
      <c r="AS213" s="287"/>
      <c r="AT213" s="287"/>
      <c r="AU213" s="290">
        <f>'Unit Savings Calculations'!Q209</f>
        <v>1.6289999999999993</v>
      </c>
      <c r="AV213" s="287" t="str">
        <f t="shared" si="109"/>
        <v>Updated heating EFLH</v>
      </c>
      <c r="AW213" s="292">
        <f t="shared" si="123"/>
        <v>5245.3799999999974</v>
      </c>
      <c r="AX213" s="289">
        <f t="shared" si="124"/>
        <v>135.24000000000069</v>
      </c>
      <c r="AY213" s="292">
        <f t="shared" si="110"/>
        <v>5245.3799999999974</v>
      </c>
      <c r="AZ213" s="292">
        <f t="shared" si="111"/>
        <v>5245.3799999999974</v>
      </c>
      <c r="BA213" s="292">
        <f t="shared" si="112"/>
        <v>5245.3799999999974</v>
      </c>
      <c r="BB213" s="292">
        <f t="shared" si="113"/>
        <v>5245.3799999999974</v>
      </c>
      <c r="BC213" s="294">
        <f t="shared" si="114"/>
        <v>20981.51999999999</v>
      </c>
      <c r="BD213" s="287" t="s">
        <v>764</v>
      </c>
      <c r="BE213" s="295" t="str">
        <f t="shared" si="115"/>
        <v>Exhibit 1.5B_R Peoples Gas EEPS_Adjustable_Savings_Goal_Template.xlsx, Unit Savings Calculations Tab</v>
      </c>
      <c r="BF213" s="297"/>
    </row>
    <row r="214" spans="1:58" ht="13.5" customHeight="1">
      <c r="A214" s="287" t="str">
        <f>'Unit Savings Calculations'!C210</f>
        <v>Bus - SB Rebates -PTA</v>
      </c>
      <c r="B214" s="287" t="str">
        <f>'Unit Savings Calculations'!D210</f>
        <v>Boiler Reset Controls (SB)</v>
      </c>
      <c r="C214" s="288">
        <f t="shared" si="88"/>
        <v>1</v>
      </c>
      <c r="D214" s="287" t="str">
        <f>'Unit Savings Calculations'!T210</f>
        <v>4.4.4</v>
      </c>
      <c r="E214" s="287">
        <f>INDEX('Unit Savings Calculations'!$H$4:$H$421,MATCH('Measure-Level Adjustments Tab'!$A214&amp;"_"&amp;'Measure-Level Adjustments Tab'!$B214,'Unit Savings Calculations'!$A$4:$A$421,0))</f>
        <v>20</v>
      </c>
      <c r="F214" s="287">
        <f>INDEX('Unit Savings Calculations'!$I$4:$I$421,MATCH('Measure-Level Adjustments Tab'!A214&amp;"_"&amp;'Measure-Level Adjustments Tab'!B214,'Unit Savings Calculations'!$A$4:$A$421,0))</f>
        <v>20</v>
      </c>
      <c r="G214" s="287" t="str">
        <f>'Unit Savings Calculations'!E210</f>
        <v>MBH</v>
      </c>
      <c r="H214" s="289">
        <f>'Unit Savings Calculations'!$F210*'Unit Savings Calculations'!J210</f>
        <v>3000</v>
      </c>
      <c r="I214" s="289">
        <f>'Unit Savings Calculations'!$F210*'Unit Savings Calculations'!K210</f>
        <v>3000</v>
      </c>
      <c r="J214" s="289">
        <f>'Unit Savings Calculations'!$F210*'Unit Savings Calculations'!L210</f>
        <v>3000</v>
      </c>
      <c r="K214" s="289">
        <f>'Unit Savings Calculations'!$F210*'Unit Savings Calculations'!M210</f>
        <v>3000</v>
      </c>
      <c r="L214" s="287" t="str">
        <f>'Unit Savings Calculations'!U210</f>
        <v>CI-HVC-BLRC-V03-150601</v>
      </c>
      <c r="M214" s="363" t="s">
        <v>830</v>
      </c>
      <c r="N214" s="290">
        <v>1.2696000000000001</v>
      </c>
      <c r="O214" s="290">
        <v>1.2696000000000001</v>
      </c>
      <c r="P214" s="290">
        <v>1.2696000000000001</v>
      </c>
      <c r="Q214" s="290">
        <v>1.2696000000000001</v>
      </c>
      <c r="R214" s="291">
        <f>'Unit Savings Calculations'!$G210</f>
        <v>0.92</v>
      </c>
      <c r="S214" s="291">
        <f>'Unit Savings Calculations'!$G210</f>
        <v>0.92</v>
      </c>
      <c r="T214" s="291">
        <f>'Unit Savings Calculations'!$G210</f>
        <v>0.92</v>
      </c>
      <c r="U214" s="291">
        <f>'Unit Savings Calculations'!$G210</f>
        <v>0.92</v>
      </c>
      <c r="V214" s="292">
        <f t="shared" si="104"/>
        <v>3504.0960000000005</v>
      </c>
      <c r="W214" s="292">
        <f t="shared" si="105"/>
        <v>3504.0960000000005</v>
      </c>
      <c r="X214" s="292">
        <f t="shared" si="106"/>
        <v>3504.0960000000005</v>
      </c>
      <c r="Y214" s="292">
        <f t="shared" si="107"/>
        <v>3504.0960000000005</v>
      </c>
      <c r="Z214" s="292">
        <f t="shared" si="108"/>
        <v>14016.384000000002</v>
      </c>
      <c r="AA214" s="287"/>
      <c r="AB214" s="287"/>
      <c r="AC214" s="293">
        <f>'Unit Savings Calculations'!N210</f>
        <v>1.3031999999999999</v>
      </c>
      <c r="AD214" s="287"/>
      <c r="AE214" s="292">
        <f t="shared" si="116"/>
        <v>3596.8319999999999</v>
      </c>
      <c r="AF214" s="289">
        <f t="shared" si="117"/>
        <v>92.735999999999422</v>
      </c>
      <c r="AG214" s="287"/>
      <c r="AH214" s="287">
        <f t="shared" si="118"/>
        <v>0</v>
      </c>
      <c r="AI214" s="290">
        <f>'Unit Savings Calculations'!O210</f>
        <v>1.3031999999999999</v>
      </c>
      <c r="AJ214" s="287" t="s">
        <v>872</v>
      </c>
      <c r="AK214" s="292">
        <f t="shared" si="119"/>
        <v>3596.8319999999999</v>
      </c>
      <c r="AL214" s="289">
        <f t="shared" si="120"/>
        <v>92.735999999999422</v>
      </c>
      <c r="AM214" s="287"/>
      <c r="AN214" s="287"/>
      <c r="AO214" s="290">
        <f>'Unit Savings Calculations'!P210</f>
        <v>1.3031999999999999</v>
      </c>
      <c r="AP214" s="287" t="s">
        <v>1450</v>
      </c>
      <c r="AQ214" s="292">
        <f t="shared" si="121"/>
        <v>3596.8319999999999</v>
      </c>
      <c r="AR214" s="289">
        <f t="shared" si="122"/>
        <v>92.735999999999422</v>
      </c>
      <c r="AS214" s="287"/>
      <c r="AT214" s="287"/>
      <c r="AU214" s="290">
        <f>'Unit Savings Calculations'!Q210</f>
        <v>1.3031999999999999</v>
      </c>
      <c r="AV214" s="287" t="str">
        <f t="shared" si="109"/>
        <v>Updated heating EFLH</v>
      </c>
      <c r="AW214" s="292">
        <f t="shared" si="123"/>
        <v>3596.8319999999999</v>
      </c>
      <c r="AX214" s="289">
        <f t="shared" si="124"/>
        <v>92.735999999999422</v>
      </c>
      <c r="AY214" s="292">
        <f t="shared" si="110"/>
        <v>3596.8319999999999</v>
      </c>
      <c r="AZ214" s="292">
        <f t="shared" si="111"/>
        <v>3596.8319999999999</v>
      </c>
      <c r="BA214" s="292">
        <f t="shared" si="112"/>
        <v>3596.8319999999999</v>
      </c>
      <c r="BB214" s="292">
        <f t="shared" si="113"/>
        <v>3596.8319999999999</v>
      </c>
      <c r="BC214" s="294">
        <f t="shared" si="114"/>
        <v>14387.328</v>
      </c>
      <c r="BD214" s="287" t="s">
        <v>764</v>
      </c>
      <c r="BE214" s="295" t="str">
        <f t="shared" si="115"/>
        <v>Exhibit 1.5B_R Peoples Gas EEPS_Adjustable_Savings_Goal_Template.xlsx, Unit Savings Calculations Tab</v>
      </c>
      <c r="BF214" s="297"/>
    </row>
    <row r="215" spans="1:58" ht="13.5" customHeight="1">
      <c r="A215" s="287" t="str">
        <f>'Unit Savings Calculations'!C211</f>
        <v>Bus - SB Rebates -PTA</v>
      </c>
      <c r="B215" s="287" t="str">
        <f>'Unit Savings Calculations'!D211</f>
        <v>Boiler Tune Up - Process</v>
      </c>
      <c r="C215" s="288">
        <f t="shared" si="88"/>
        <v>1</v>
      </c>
      <c r="D215" s="287" t="str">
        <f>'Unit Savings Calculations'!T211</f>
        <v>4.4.3</v>
      </c>
      <c r="E215" s="287">
        <f>INDEX('Unit Savings Calculations'!$H$4:$H$421,MATCH('Measure-Level Adjustments Tab'!$A215&amp;"_"&amp;'Measure-Level Adjustments Tab'!$B215,'Unit Savings Calculations'!$A$4:$A$421,0))</f>
        <v>3</v>
      </c>
      <c r="F215" s="287">
        <f>INDEX('Unit Savings Calculations'!$I$4:$I$421,MATCH('Measure-Level Adjustments Tab'!A215&amp;"_"&amp;'Measure-Level Adjustments Tab'!B215,'Unit Savings Calculations'!$A$4:$A$421,0))</f>
        <v>3</v>
      </c>
      <c r="G215" s="287" t="str">
        <f>'Unit Savings Calculations'!E211</f>
        <v>MBH</v>
      </c>
      <c r="H215" s="289">
        <f>'Unit Savings Calculations'!$F211*'Unit Savings Calculations'!J211</f>
        <v>3000</v>
      </c>
      <c r="I215" s="289">
        <f>'Unit Savings Calculations'!$F211*'Unit Savings Calculations'!K211</f>
        <v>3000</v>
      </c>
      <c r="J215" s="289">
        <f>'Unit Savings Calculations'!$F211*'Unit Savings Calculations'!L211</f>
        <v>3000</v>
      </c>
      <c r="K215" s="289">
        <f>'Unit Savings Calculations'!$F211*'Unit Savings Calculations'!M211</f>
        <v>3000</v>
      </c>
      <c r="L215" s="287" t="str">
        <f>'Unit Savings Calculations'!U211</f>
        <v>CI-HVC-PBTU-V05-160601</v>
      </c>
      <c r="M215" s="363" t="s">
        <v>830</v>
      </c>
      <c r="N215" s="290">
        <v>0.83823507428978783</v>
      </c>
      <c r="O215" s="290">
        <v>0.83823507428978783</v>
      </c>
      <c r="P215" s="290">
        <v>0.83823507428978783</v>
      </c>
      <c r="Q215" s="290">
        <v>0.83823507428978783</v>
      </c>
      <c r="R215" s="291">
        <f>'Unit Savings Calculations'!$G211</f>
        <v>0.92</v>
      </c>
      <c r="S215" s="291">
        <f>'Unit Savings Calculations'!$G211</f>
        <v>0.92</v>
      </c>
      <c r="T215" s="291">
        <f>'Unit Savings Calculations'!$G211</f>
        <v>0.92</v>
      </c>
      <c r="U215" s="291">
        <f>'Unit Savings Calculations'!$G211</f>
        <v>0.92</v>
      </c>
      <c r="V215" s="292">
        <f t="shared" si="104"/>
        <v>2313.5288050398144</v>
      </c>
      <c r="W215" s="292">
        <f t="shared" si="105"/>
        <v>2313.5288050398144</v>
      </c>
      <c r="X215" s="292">
        <f t="shared" si="106"/>
        <v>2313.5288050398144</v>
      </c>
      <c r="Y215" s="292">
        <f t="shared" si="107"/>
        <v>2313.5288050398144</v>
      </c>
      <c r="Z215" s="292">
        <f t="shared" si="108"/>
        <v>9254.1152201592577</v>
      </c>
      <c r="AA215" s="287"/>
      <c r="AB215" s="287"/>
      <c r="AC215" s="293">
        <f>'Unit Savings Calculations'!N211</f>
        <v>0.83823507428978783</v>
      </c>
      <c r="AD215" s="287"/>
      <c r="AE215" s="292">
        <f t="shared" si="116"/>
        <v>2313.5288050398144</v>
      </c>
      <c r="AF215" s="289">
        <f t="shared" si="117"/>
        <v>0</v>
      </c>
      <c r="AG215" s="287"/>
      <c r="AH215" s="287">
        <f t="shared" si="118"/>
        <v>0</v>
      </c>
      <c r="AI215" s="290">
        <f>'Unit Savings Calculations'!O211</f>
        <v>0.83823507428978783</v>
      </c>
      <c r="AJ215" s="287" t="s">
        <v>872</v>
      </c>
      <c r="AK215" s="292">
        <f t="shared" si="119"/>
        <v>2313.5288050398144</v>
      </c>
      <c r="AL215" s="289">
        <f t="shared" si="120"/>
        <v>0</v>
      </c>
      <c r="AM215" s="287"/>
      <c r="AN215" s="287"/>
      <c r="AO215" s="290">
        <f>'Unit Savings Calculations'!P211</f>
        <v>0.83823507428978783</v>
      </c>
      <c r="AP215" s="287" t="s">
        <v>764</v>
      </c>
      <c r="AQ215" s="292">
        <f t="shared" si="121"/>
        <v>2313.5288050398144</v>
      </c>
      <c r="AR215" s="289">
        <f t="shared" si="122"/>
        <v>0</v>
      </c>
      <c r="AS215" s="287"/>
      <c r="AT215" s="287"/>
      <c r="AU215" s="290">
        <f>'Unit Savings Calculations'!Q211</f>
        <v>0.83823507428978783</v>
      </c>
      <c r="AV215" s="287" t="str">
        <f t="shared" si="109"/>
        <v>n/a</v>
      </c>
      <c r="AW215" s="292">
        <f t="shared" si="123"/>
        <v>2313.5288050398144</v>
      </c>
      <c r="AX215" s="289">
        <f t="shared" si="124"/>
        <v>0</v>
      </c>
      <c r="AY215" s="292">
        <f t="shared" si="110"/>
        <v>2313.5288050398144</v>
      </c>
      <c r="AZ215" s="292">
        <f t="shared" si="111"/>
        <v>2313.5288050398144</v>
      </c>
      <c r="BA215" s="292">
        <f t="shared" si="112"/>
        <v>2313.5288050398144</v>
      </c>
      <c r="BB215" s="292">
        <f t="shared" si="113"/>
        <v>2313.5288050398144</v>
      </c>
      <c r="BC215" s="294">
        <f t="shared" si="114"/>
        <v>9254.1152201592577</v>
      </c>
      <c r="BD215" s="287" t="s">
        <v>764</v>
      </c>
      <c r="BE215" s="295" t="str">
        <f t="shared" si="115"/>
        <v>Exhibit 1.5B_R Peoples Gas EEPS_Adjustable_Savings_Goal_Template.xlsx, Unit Savings Calculations Tab</v>
      </c>
      <c r="BF215" s="297"/>
    </row>
    <row r="216" spans="1:58" ht="13.5" customHeight="1">
      <c r="A216" s="287" t="str">
        <f>'Unit Savings Calculations'!C212</f>
        <v>Bus - SB Rebates -PTA</v>
      </c>
      <c r="B216" s="287" t="str">
        <f>'Unit Savings Calculations'!D212</f>
        <v>Boiler Tune Up - Space Heating (SB)</v>
      </c>
      <c r="C216" s="288">
        <f t="shared" ref="C216:C279" si="125">IF(D216="Custom",0,1)</f>
        <v>1</v>
      </c>
      <c r="D216" s="287" t="str">
        <f>'Unit Savings Calculations'!T212</f>
        <v>4.4.2</v>
      </c>
      <c r="E216" s="287">
        <f>INDEX('Unit Savings Calculations'!$H$4:$H$421,MATCH('Measure-Level Adjustments Tab'!$A216&amp;"_"&amp;'Measure-Level Adjustments Tab'!$B216,'Unit Savings Calculations'!$A$4:$A$421,0))</f>
        <v>3</v>
      </c>
      <c r="F216" s="287">
        <f>INDEX('Unit Savings Calculations'!$I$4:$I$421,MATCH('Measure-Level Adjustments Tab'!A216&amp;"_"&amp;'Measure-Level Adjustments Tab'!B216,'Unit Savings Calculations'!$A$4:$A$421,0))</f>
        <v>3</v>
      </c>
      <c r="G216" s="287" t="str">
        <f>'Unit Savings Calculations'!E212</f>
        <v>MBH</v>
      </c>
      <c r="H216" s="289">
        <f>'Unit Savings Calculations'!$F212*'Unit Savings Calculations'!J212</f>
        <v>18000</v>
      </c>
      <c r="I216" s="289">
        <f>'Unit Savings Calculations'!$F212*'Unit Savings Calculations'!K212</f>
        <v>18000</v>
      </c>
      <c r="J216" s="289">
        <f>'Unit Savings Calculations'!$F212*'Unit Savings Calculations'!L212</f>
        <v>18000</v>
      </c>
      <c r="K216" s="289">
        <f>'Unit Savings Calculations'!$F212*'Unit Savings Calculations'!M212</f>
        <v>18000</v>
      </c>
      <c r="L216" s="287" t="str">
        <f>'Unit Savings Calculations'!U212</f>
        <v>CI-HVC-BLRT-V06-160601</v>
      </c>
      <c r="M216" s="363" t="s">
        <v>830</v>
      </c>
      <c r="N216" s="290">
        <v>0.37064104123585789</v>
      </c>
      <c r="O216" s="290">
        <v>0.37064104123585789</v>
      </c>
      <c r="P216" s="290">
        <v>0.37064104123585789</v>
      </c>
      <c r="Q216" s="290">
        <v>0.37064104123585789</v>
      </c>
      <c r="R216" s="291">
        <f>'Unit Savings Calculations'!$G212</f>
        <v>0.92</v>
      </c>
      <c r="S216" s="291">
        <f>'Unit Savings Calculations'!$G212</f>
        <v>0.92</v>
      </c>
      <c r="T216" s="291">
        <f>'Unit Savings Calculations'!$G212</f>
        <v>0.92</v>
      </c>
      <c r="U216" s="291">
        <f>'Unit Savings Calculations'!$G212</f>
        <v>0.92</v>
      </c>
      <c r="V216" s="292">
        <f t="shared" si="104"/>
        <v>6137.8156428658076</v>
      </c>
      <c r="W216" s="292">
        <f t="shared" si="105"/>
        <v>6137.8156428658076</v>
      </c>
      <c r="X216" s="292">
        <f t="shared" si="106"/>
        <v>6137.8156428658076</v>
      </c>
      <c r="Y216" s="292">
        <f t="shared" si="107"/>
        <v>6137.8156428658076</v>
      </c>
      <c r="Z216" s="292">
        <f t="shared" si="108"/>
        <v>24551.26257146323</v>
      </c>
      <c r="AA216" s="287"/>
      <c r="AB216" s="287"/>
      <c r="AC216" s="293">
        <f>'Unit Savings Calculations'!N212</f>
        <v>0.38045006690183525</v>
      </c>
      <c r="AD216" s="287"/>
      <c r="AE216" s="292">
        <f t="shared" si="116"/>
        <v>6300.2531078943921</v>
      </c>
      <c r="AF216" s="289">
        <f t="shared" si="117"/>
        <v>162.43746502858448</v>
      </c>
      <c r="AG216" s="287"/>
      <c r="AH216" s="287">
        <f t="shared" si="118"/>
        <v>0</v>
      </c>
      <c r="AI216" s="290">
        <f>'Unit Savings Calculations'!O212</f>
        <v>0.38045006690183525</v>
      </c>
      <c r="AJ216" s="287" t="s">
        <v>872</v>
      </c>
      <c r="AK216" s="292">
        <f t="shared" si="119"/>
        <v>6300.2531078943921</v>
      </c>
      <c r="AL216" s="289">
        <f t="shared" si="120"/>
        <v>162.43746502858448</v>
      </c>
      <c r="AM216" s="287"/>
      <c r="AN216" s="287"/>
      <c r="AO216" s="290">
        <f>'Unit Savings Calculations'!P212</f>
        <v>0.38045006690183525</v>
      </c>
      <c r="AP216" s="287" t="s">
        <v>1450</v>
      </c>
      <c r="AQ216" s="292">
        <f t="shared" si="121"/>
        <v>6300.2531078943921</v>
      </c>
      <c r="AR216" s="289">
        <f t="shared" si="122"/>
        <v>162.43746502858448</v>
      </c>
      <c r="AS216" s="287"/>
      <c r="AT216" s="287"/>
      <c r="AU216" s="290">
        <f>'Unit Savings Calculations'!Q212</f>
        <v>0.38045006690183525</v>
      </c>
      <c r="AV216" s="287" t="str">
        <f t="shared" si="109"/>
        <v>Updated heating EFLH</v>
      </c>
      <c r="AW216" s="292">
        <f t="shared" si="123"/>
        <v>6300.2531078943921</v>
      </c>
      <c r="AX216" s="289">
        <f t="shared" si="124"/>
        <v>162.43746502858448</v>
      </c>
      <c r="AY216" s="292">
        <f t="shared" si="110"/>
        <v>6300.2531078943921</v>
      </c>
      <c r="AZ216" s="292">
        <f t="shared" si="111"/>
        <v>6300.2531078943921</v>
      </c>
      <c r="BA216" s="292">
        <f t="shared" si="112"/>
        <v>6300.2531078943921</v>
      </c>
      <c r="BB216" s="292">
        <f t="shared" si="113"/>
        <v>6300.2531078943921</v>
      </c>
      <c r="BC216" s="294">
        <f t="shared" si="114"/>
        <v>25201.012431577568</v>
      </c>
      <c r="BD216" s="287" t="s">
        <v>764</v>
      </c>
      <c r="BE216" s="295" t="str">
        <f t="shared" si="115"/>
        <v>Exhibit 1.5B_R Peoples Gas EEPS_Adjustable_Savings_Goal_Template.xlsx, Unit Savings Calculations Tab</v>
      </c>
      <c r="BF216" s="297"/>
    </row>
    <row r="217" spans="1:58" ht="13.5" customHeight="1">
      <c r="A217" s="287" t="str">
        <f>'Unit Savings Calculations'!C213</f>
        <v>Bus - SB Rebates -PTA</v>
      </c>
      <c r="B217" s="287" t="str">
        <f>'Unit Savings Calculations'!D213</f>
        <v>Condensing Unit Heater</v>
      </c>
      <c r="C217" s="288">
        <f t="shared" si="125"/>
        <v>1</v>
      </c>
      <c r="D217" s="287" t="str">
        <f>'Unit Savings Calculations'!T213</f>
        <v>4.4.5</v>
      </c>
      <c r="E217" s="287">
        <f>INDEX('Unit Savings Calculations'!$H$4:$H$421,MATCH('Measure-Level Adjustments Tab'!$A217&amp;"_"&amp;'Measure-Level Adjustments Tab'!$B217,'Unit Savings Calculations'!$A$4:$A$421,0))</f>
        <v>12</v>
      </c>
      <c r="F217" s="287">
        <f>INDEX('Unit Savings Calculations'!$I$4:$I$421,MATCH('Measure-Level Adjustments Tab'!A217&amp;"_"&amp;'Measure-Level Adjustments Tab'!B217,'Unit Savings Calculations'!$A$4:$A$421,0))</f>
        <v>12</v>
      </c>
      <c r="G217" s="287" t="str">
        <f>'Unit Savings Calculations'!E213</f>
        <v>MBH</v>
      </c>
      <c r="H217" s="289">
        <f>'Unit Savings Calculations'!$F213*'Unit Savings Calculations'!J213</f>
        <v>0</v>
      </c>
      <c r="I217" s="289">
        <f>'Unit Savings Calculations'!$F213*'Unit Savings Calculations'!K213</f>
        <v>0</v>
      </c>
      <c r="J217" s="289">
        <f>'Unit Savings Calculations'!$F213*'Unit Savings Calculations'!L213</f>
        <v>0</v>
      </c>
      <c r="K217" s="289">
        <f>'Unit Savings Calculations'!$F213*'Unit Savings Calculations'!M213</f>
        <v>0</v>
      </c>
      <c r="L217" s="287" t="str">
        <f>'Unit Savings Calculations'!U213</f>
        <v>CI-HVC-CUHT-V01-120601</v>
      </c>
      <c r="M217" s="363" t="s">
        <v>830</v>
      </c>
      <c r="N217" s="290">
        <v>1.7733333333333334</v>
      </c>
      <c r="O217" s="290">
        <v>1.7733333333333334</v>
      </c>
      <c r="P217" s="290">
        <v>1.7733333333333334</v>
      </c>
      <c r="Q217" s="290">
        <v>1.7733333333333334</v>
      </c>
      <c r="R217" s="291">
        <f>'Unit Savings Calculations'!$G213</f>
        <v>0.92</v>
      </c>
      <c r="S217" s="291">
        <f>'Unit Savings Calculations'!$G213</f>
        <v>0.92</v>
      </c>
      <c r="T217" s="291">
        <f>'Unit Savings Calculations'!$G213</f>
        <v>0.92</v>
      </c>
      <c r="U217" s="291">
        <f>'Unit Savings Calculations'!$G213</f>
        <v>0.92</v>
      </c>
      <c r="V217" s="292">
        <f t="shared" si="104"/>
        <v>0</v>
      </c>
      <c r="W217" s="292">
        <f t="shared" si="105"/>
        <v>0</v>
      </c>
      <c r="X217" s="292">
        <f t="shared" si="106"/>
        <v>0</v>
      </c>
      <c r="Y217" s="292">
        <f t="shared" si="107"/>
        <v>0</v>
      </c>
      <c r="Z217" s="292">
        <f t="shared" si="108"/>
        <v>0</v>
      </c>
      <c r="AA217" s="287"/>
      <c r="AB217" s="287"/>
      <c r="AC217" s="293">
        <f>'Unit Savings Calculations'!N213</f>
        <v>1.7733333333333334</v>
      </c>
      <c r="AD217" s="287"/>
      <c r="AE217" s="292">
        <f t="shared" si="116"/>
        <v>0</v>
      </c>
      <c r="AF217" s="289">
        <f t="shared" si="117"/>
        <v>0</v>
      </c>
      <c r="AG217" s="287"/>
      <c r="AH217" s="287">
        <f t="shared" si="118"/>
        <v>0</v>
      </c>
      <c r="AI217" s="290">
        <f>'Unit Savings Calculations'!O213</f>
        <v>1.7733333333333334</v>
      </c>
      <c r="AJ217" s="287" t="s">
        <v>872</v>
      </c>
      <c r="AK217" s="292">
        <f t="shared" si="119"/>
        <v>0</v>
      </c>
      <c r="AL217" s="289">
        <f t="shared" si="120"/>
        <v>0</v>
      </c>
      <c r="AM217" s="287"/>
      <c r="AN217" s="287"/>
      <c r="AO217" s="290">
        <f>'Unit Savings Calculations'!P213</f>
        <v>1.7733333333333334</v>
      </c>
      <c r="AP217" s="287" t="s">
        <v>764</v>
      </c>
      <c r="AQ217" s="292">
        <f t="shared" si="121"/>
        <v>0</v>
      </c>
      <c r="AR217" s="289">
        <f t="shared" si="122"/>
        <v>0</v>
      </c>
      <c r="AS217" s="287"/>
      <c r="AT217" s="287"/>
      <c r="AU217" s="290">
        <f>'Unit Savings Calculations'!Q213</f>
        <v>1.7733333333333334</v>
      </c>
      <c r="AV217" s="287" t="str">
        <f t="shared" si="109"/>
        <v>n/a</v>
      </c>
      <c r="AW217" s="292">
        <f t="shared" si="123"/>
        <v>0</v>
      </c>
      <c r="AX217" s="289">
        <f t="shared" si="124"/>
        <v>0</v>
      </c>
      <c r="AY217" s="292">
        <f t="shared" si="110"/>
        <v>0</v>
      </c>
      <c r="AZ217" s="292">
        <f t="shared" si="111"/>
        <v>0</v>
      </c>
      <c r="BA217" s="292">
        <f t="shared" si="112"/>
        <v>0</v>
      </c>
      <c r="BB217" s="292">
        <f t="shared" si="113"/>
        <v>0</v>
      </c>
      <c r="BC217" s="294">
        <f t="shared" si="114"/>
        <v>0</v>
      </c>
      <c r="BD217" s="287" t="s">
        <v>764</v>
      </c>
      <c r="BE217" s="295" t="str">
        <f t="shared" si="115"/>
        <v>Exhibit 1.5B_R Peoples Gas EEPS_Adjustable_Savings_Goal_Template.xlsx, Unit Savings Calculations Tab</v>
      </c>
      <c r="BF217" s="297"/>
    </row>
    <row r="218" spans="1:58" ht="13.5" customHeight="1">
      <c r="A218" s="287" t="str">
        <f>'Unit Savings Calculations'!C214</f>
        <v>Bus - SB Rebates -PTA</v>
      </c>
      <c r="B218" s="287" t="str">
        <f>'Unit Savings Calculations'!D214</f>
        <v>DCV - Kitchen</v>
      </c>
      <c r="C218" s="288">
        <f t="shared" si="125"/>
        <v>1</v>
      </c>
      <c r="D218" s="287" t="str">
        <f>'Unit Savings Calculations'!T214</f>
        <v>4.2.16</v>
      </c>
      <c r="E218" s="287">
        <f>INDEX('Unit Savings Calculations'!$H$4:$H$421,MATCH('Measure-Level Adjustments Tab'!$A218&amp;"_"&amp;'Measure-Level Adjustments Tab'!$B218,'Unit Savings Calculations'!$A$4:$A$421,0))</f>
        <v>15</v>
      </c>
      <c r="F218" s="287">
        <f>INDEX('Unit Savings Calculations'!$I$4:$I$421,MATCH('Measure-Level Adjustments Tab'!A218&amp;"_"&amp;'Measure-Level Adjustments Tab'!B218,'Unit Savings Calculations'!$A$4:$A$421,0))</f>
        <v>15</v>
      </c>
      <c r="G218" s="287" t="str">
        <f>'Unit Savings Calculations'!E214</f>
        <v>each</v>
      </c>
      <c r="H218" s="289">
        <f>'Unit Savings Calculations'!$F214*'Unit Savings Calculations'!J214</f>
        <v>0</v>
      </c>
      <c r="I218" s="289">
        <f>'Unit Savings Calculations'!$F214*'Unit Savings Calculations'!K214</f>
        <v>0</v>
      </c>
      <c r="J218" s="289">
        <f>'Unit Savings Calculations'!$F214*'Unit Savings Calculations'!L214</f>
        <v>0</v>
      </c>
      <c r="K218" s="289">
        <f>'Unit Savings Calculations'!$F214*'Unit Savings Calculations'!M214</f>
        <v>0</v>
      </c>
      <c r="L218" s="287" t="str">
        <f>'Unit Savings Calculations'!U214</f>
        <v>CI-FSE-VENT-V03-160601</v>
      </c>
      <c r="M218" s="363" t="s">
        <v>830</v>
      </c>
      <c r="N218" s="290">
        <v>5998.5</v>
      </c>
      <c r="O218" s="290">
        <v>5998.5</v>
      </c>
      <c r="P218" s="290">
        <v>5998.5</v>
      </c>
      <c r="Q218" s="290">
        <v>5998.5</v>
      </c>
      <c r="R218" s="291">
        <f>'Unit Savings Calculations'!$G214</f>
        <v>0.92</v>
      </c>
      <c r="S218" s="291">
        <f>'Unit Savings Calculations'!$G214</f>
        <v>0.92</v>
      </c>
      <c r="T218" s="291">
        <f>'Unit Savings Calculations'!$G214</f>
        <v>0.92</v>
      </c>
      <c r="U218" s="291">
        <f>'Unit Savings Calculations'!$G214</f>
        <v>0.92</v>
      </c>
      <c r="V218" s="292">
        <f t="shared" si="104"/>
        <v>0</v>
      </c>
      <c r="W218" s="292">
        <f t="shared" si="105"/>
        <v>0</v>
      </c>
      <c r="X218" s="292">
        <f t="shared" si="106"/>
        <v>0</v>
      </c>
      <c r="Y218" s="292">
        <f t="shared" si="107"/>
        <v>0</v>
      </c>
      <c r="Z218" s="292">
        <f t="shared" si="108"/>
        <v>0</v>
      </c>
      <c r="AA218" s="287"/>
      <c r="AB218" s="287"/>
      <c r="AC218" s="293">
        <f>'Unit Savings Calculations'!N214</f>
        <v>5998.5</v>
      </c>
      <c r="AD218" s="287"/>
      <c r="AE218" s="292">
        <f t="shared" si="116"/>
        <v>0</v>
      </c>
      <c r="AF218" s="289">
        <f t="shared" si="117"/>
        <v>0</v>
      </c>
      <c r="AG218" s="287"/>
      <c r="AH218" s="287">
        <f t="shared" si="118"/>
        <v>0</v>
      </c>
      <c r="AI218" s="290">
        <f>'Unit Savings Calculations'!O214</f>
        <v>5998.5</v>
      </c>
      <c r="AJ218" s="287" t="s">
        <v>872</v>
      </c>
      <c r="AK218" s="292">
        <f t="shared" si="119"/>
        <v>0</v>
      </c>
      <c r="AL218" s="289">
        <f t="shared" si="120"/>
        <v>0</v>
      </c>
      <c r="AM218" s="287"/>
      <c r="AN218" s="287"/>
      <c r="AO218" s="290">
        <f>'Unit Savings Calculations'!P214</f>
        <v>5998.5</v>
      </c>
      <c r="AP218" s="287" t="s">
        <v>764</v>
      </c>
      <c r="AQ218" s="292">
        <f t="shared" si="121"/>
        <v>0</v>
      </c>
      <c r="AR218" s="289">
        <f t="shared" si="122"/>
        <v>0</v>
      </c>
      <c r="AS218" s="287"/>
      <c r="AT218" s="287"/>
      <c r="AU218" s="290">
        <f>'Unit Savings Calculations'!Q214</f>
        <v>5998.5</v>
      </c>
      <c r="AV218" s="287" t="str">
        <f t="shared" si="109"/>
        <v>n/a</v>
      </c>
      <c r="AW218" s="292">
        <f t="shared" si="123"/>
        <v>0</v>
      </c>
      <c r="AX218" s="289">
        <f t="shared" si="124"/>
        <v>0</v>
      </c>
      <c r="AY218" s="292">
        <f t="shared" si="110"/>
        <v>0</v>
      </c>
      <c r="AZ218" s="292">
        <f t="shared" si="111"/>
        <v>0</v>
      </c>
      <c r="BA218" s="292">
        <f t="shared" si="112"/>
        <v>0</v>
      </c>
      <c r="BB218" s="292">
        <f t="shared" si="113"/>
        <v>0</v>
      </c>
      <c r="BC218" s="294">
        <f t="shared" si="114"/>
        <v>0</v>
      </c>
      <c r="BD218" s="287" t="s">
        <v>764</v>
      </c>
      <c r="BE218" s="295" t="str">
        <f t="shared" si="115"/>
        <v>Exhibit 1.5B_R Peoples Gas EEPS_Adjustable_Savings_Goal_Template.xlsx, Unit Savings Calculations Tab</v>
      </c>
      <c r="BF218" s="297"/>
    </row>
    <row r="219" spans="1:58" ht="13.5" customHeight="1">
      <c r="A219" s="287" t="str">
        <f>'Unit Savings Calculations'!C215</f>
        <v>Bus - SB Rebates -PTA</v>
      </c>
      <c r="B219" s="287" t="str">
        <f>'Unit Savings Calculations'!D215</f>
        <v>Direct Fired Heaters</v>
      </c>
      <c r="C219" s="288">
        <f t="shared" si="125"/>
        <v>0</v>
      </c>
      <c r="D219" s="287" t="str">
        <f>'Unit Savings Calculations'!T215</f>
        <v>Custom</v>
      </c>
      <c r="E219" s="287">
        <f>INDEX('Unit Savings Calculations'!$H$4:$H$421,MATCH('Measure-Level Adjustments Tab'!$A219&amp;"_"&amp;'Measure-Level Adjustments Tab'!$B219,'Unit Savings Calculations'!$A$4:$A$421,0))</f>
        <v>20</v>
      </c>
      <c r="F219" s="287">
        <f>INDEX('Unit Savings Calculations'!$I$4:$I$421,MATCH('Measure-Level Adjustments Tab'!A219&amp;"_"&amp;'Measure-Level Adjustments Tab'!B219,'Unit Savings Calculations'!$A$4:$A$421,0))</f>
        <v>20</v>
      </c>
      <c r="G219" s="287" t="str">
        <f>'Unit Savings Calculations'!E215</f>
        <v>MBH</v>
      </c>
      <c r="H219" s="289">
        <f>'Unit Savings Calculations'!$F215*'Unit Savings Calculations'!J215</f>
        <v>0</v>
      </c>
      <c r="I219" s="289">
        <f>'Unit Savings Calculations'!$F215*'Unit Savings Calculations'!K215</f>
        <v>0</v>
      </c>
      <c r="J219" s="289">
        <f>'Unit Savings Calculations'!$F215*'Unit Savings Calculations'!L215</f>
        <v>0</v>
      </c>
      <c r="K219" s="289">
        <f>'Unit Savings Calculations'!$F215*'Unit Savings Calculations'!M215</f>
        <v>0</v>
      </c>
      <c r="L219" s="287" t="str">
        <f>'Unit Savings Calculations'!U215</f>
        <v>Custom</v>
      </c>
      <c r="M219" s="287" t="str">
        <f>'Unit Savings Calculations'!S215</f>
        <v>Custom</v>
      </c>
      <c r="N219" s="290">
        <v>2.3084999999999987</v>
      </c>
      <c r="O219" s="290">
        <v>2.3084999999999987</v>
      </c>
      <c r="P219" s="290">
        <v>2.3084999999999987</v>
      </c>
      <c r="Q219" s="290">
        <v>2.3084999999999987</v>
      </c>
      <c r="R219" s="291">
        <f>'Unit Savings Calculations'!$G215</f>
        <v>0.92</v>
      </c>
      <c r="S219" s="291">
        <f>'Unit Savings Calculations'!$G215</f>
        <v>0.92</v>
      </c>
      <c r="T219" s="291">
        <f>'Unit Savings Calculations'!$G215</f>
        <v>0.92</v>
      </c>
      <c r="U219" s="291">
        <f>'Unit Savings Calculations'!$G215</f>
        <v>0.92</v>
      </c>
      <c r="V219" s="292">
        <f t="shared" si="104"/>
        <v>0</v>
      </c>
      <c r="W219" s="292">
        <f t="shared" si="105"/>
        <v>0</v>
      </c>
      <c r="X219" s="292">
        <f t="shared" si="106"/>
        <v>0</v>
      </c>
      <c r="Y219" s="292">
        <f t="shared" si="107"/>
        <v>0</v>
      </c>
      <c r="Z219" s="292">
        <f t="shared" si="108"/>
        <v>0</v>
      </c>
      <c r="AA219" s="364"/>
      <c r="AB219" s="364"/>
      <c r="AC219" s="365">
        <f>'Unit Savings Calculations'!N215</f>
        <v>2.5169999999999986</v>
      </c>
      <c r="AD219" s="364"/>
      <c r="AE219" s="366">
        <f t="shared" si="116"/>
        <v>0</v>
      </c>
      <c r="AF219" s="367">
        <f t="shared" si="117"/>
        <v>0</v>
      </c>
      <c r="AG219" s="364"/>
      <c r="AH219" s="364">
        <f t="shared" si="118"/>
        <v>0</v>
      </c>
      <c r="AI219" s="368">
        <f>'Unit Savings Calculations'!O215</f>
        <v>2.5169999999999986</v>
      </c>
      <c r="AJ219" s="364" t="s">
        <v>872</v>
      </c>
      <c r="AK219" s="366">
        <f t="shared" si="119"/>
        <v>0</v>
      </c>
      <c r="AL219" s="367">
        <f t="shared" si="120"/>
        <v>0</v>
      </c>
      <c r="AM219" s="364"/>
      <c r="AN219" s="364"/>
      <c r="AO219" s="368">
        <f>'Unit Savings Calculations'!P215</f>
        <v>2.5169999999999986</v>
      </c>
      <c r="AP219" s="364" t="s">
        <v>1450</v>
      </c>
      <c r="AQ219" s="366">
        <f t="shared" si="121"/>
        <v>0</v>
      </c>
      <c r="AR219" s="367">
        <f t="shared" si="122"/>
        <v>0</v>
      </c>
      <c r="AS219" s="364"/>
      <c r="AT219" s="364"/>
      <c r="AU219" s="368">
        <f>'Unit Savings Calculations'!Q215</f>
        <v>2.5169999999999986</v>
      </c>
      <c r="AV219" s="364" t="str">
        <f t="shared" si="109"/>
        <v>Updated heating EFLH</v>
      </c>
      <c r="AW219" s="366">
        <f t="shared" si="123"/>
        <v>0</v>
      </c>
      <c r="AX219" s="367">
        <f t="shared" si="124"/>
        <v>0</v>
      </c>
      <c r="AY219" s="292">
        <f t="shared" si="110"/>
        <v>0</v>
      </c>
      <c r="AZ219" s="292">
        <f t="shared" si="111"/>
        <v>0</v>
      </c>
      <c r="BA219" s="292">
        <f t="shared" si="112"/>
        <v>0</v>
      </c>
      <c r="BB219" s="292">
        <f t="shared" si="113"/>
        <v>0</v>
      </c>
      <c r="BC219" s="294">
        <f t="shared" si="114"/>
        <v>0</v>
      </c>
      <c r="BD219" s="287" t="s">
        <v>764</v>
      </c>
      <c r="BE219" s="295" t="str">
        <f t="shared" si="115"/>
        <v>Custom</v>
      </c>
      <c r="BF219" s="297"/>
    </row>
    <row r="220" spans="1:58" ht="13.5" customHeight="1">
      <c r="A220" s="287" t="str">
        <f>'Unit Savings Calculations'!C216</f>
        <v>Bus - SB Rebates -PTA</v>
      </c>
      <c r="B220" s="287" t="str">
        <f>'Unit Savings Calculations'!D216</f>
        <v>High Speed Washer - Hotel/Motel/Hospital</v>
      </c>
      <c r="C220" s="288">
        <f t="shared" si="125"/>
        <v>1</v>
      </c>
      <c r="D220" s="287" t="str">
        <f>'Unit Savings Calculations'!T216</f>
        <v>4.8.5</v>
      </c>
      <c r="E220" s="287">
        <f>INDEX('Unit Savings Calculations'!$H$4:$H$421,MATCH('Measure-Level Adjustments Tab'!$A220&amp;"_"&amp;'Measure-Level Adjustments Tab'!$B220,'Unit Savings Calculations'!$A$4:$A$421,0))</f>
        <v>7</v>
      </c>
      <c r="F220" s="287">
        <f>INDEX('Unit Savings Calculations'!$I$4:$I$421,MATCH('Measure-Level Adjustments Tab'!A220&amp;"_"&amp;'Measure-Level Adjustments Tab'!B220,'Unit Savings Calculations'!$A$4:$A$421,0))</f>
        <v>7</v>
      </c>
      <c r="G220" s="287" t="str">
        <f>'Unit Savings Calculations'!E216</f>
        <v>lb-capacity</v>
      </c>
      <c r="H220" s="289">
        <f>'Unit Savings Calculations'!$F216*'Unit Savings Calculations'!J216</f>
        <v>0</v>
      </c>
      <c r="I220" s="289">
        <f>'Unit Savings Calculations'!$F216*'Unit Savings Calculations'!K216</f>
        <v>0</v>
      </c>
      <c r="J220" s="289">
        <f>'Unit Savings Calculations'!$F216*'Unit Savings Calculations'!L216</f>
        <v>0</v>
      </c>
      <c r="K220" s="289">
        <f>'Unit Savings Calculations'!$F216*'Unit Savings Calculations'!M216</f>
        <v>0</v>
      </c>
      <c r="L220" s="287" t="str">
        <f>'Unit Savings Calculations'!U216</f>
        <v>CI-MSC-HSCW-V01-180101</v>
      </c>
      <c r="M220" s="363" t="s">
        <v>830</v>
      </c>
      <c r="N220" s="290">
        <v>11.243232000000003</v>
      </c>
      <c r="O220" s="290">
        <v>11.243232000000003</v>
      </c>
      <c r="P220" s="290">
        <v>11.243232000000003</v>
      </c>
      <c r="Q220" s="290">
        <v>11.243232000000003</v>
      </c>
      <c r="R220" s="291">
        <f>'Unit Savings Calculations'!$G216</f>
        <v>0.92</v>
      </c>
      <c r="S220" s="291">
        <f>'Unit Savings Calculations'!$G216</f>
        <v>0.92</v>
      </c>
      <c r="T220" s="291">
        <f>'Unit Savings Calculations'!$G216</f>
        <v>0.92</v>
      </c>
      <c r="U220" s="291">
        <f>'Unit Savings Calculations'!$G216</f>
        <v>0.92</v>
      </c>
      <c r="V220" s="292">
        <f t="shared" si="104"/>
        <v>0</v>
      </c>
      <c r="W220" s="292">
        <f t="shared" si="105"/>
        <v>0</v>
      </c>
      <c r="X220" s="292">
        <f t="shared" si="106"/>
        <v>0</v>
      </c>
      <c r="Y220" s="292">
        <f t="shared" si="107"/>
        <v>0</v>
      </c>
      <c r="Z220" s="292">
        <f t="shared" si="108"/>
        <v>0</v>
      </c>
      <c r="AA220" s="287"/>
      <c r="AB220" s="287"/>
      <c r="AC220" s="293">
        <f>'Unit Savings Calculations'!N216</f>
        <v>11.243232000000003</v>
      </c>
      <c r="AD220" s="287"/>
      <c r="AE220" s="292">
        <f t="shared" si="116"/>
        <v>0</v>
      </c>
      <c r="AF220" s="289">
        <f t="shared" si="117"/>
        <v>0</v>
      </c>
      <c r="AG220" s="287"/>
      <c r="AH220" s="287">
        <f t="shared" si="118"/>
        <v>0</v>
      </c>
      <c r="AI220" s="290">
        <f>'Unit Savings Calculations'!O216</f>
        <v>11.243232000000003</v>
      </c>
      <c r="AJ220" s="287" t="s">
        <v>872</v>
      </c>
      <c r="AK220" s="292">
        <f t="shared" si="119"/>
        <v>0</v>
      </c>
      <c r="AL220" s="289">
        <f t="shared" si="120"/>
        <v>0</v>
      </c>
      <c r="AM220" s="287"/>
      <c r="AN220" s="287"/>
      <c r="AO220" s="290">
        <f>'Unit Savings Calculations'!P216</f>
        <v>11.243232000000003</v>
      </c>
      <c r="AP220" s="287" t="s">
        <v>764</v>
      </c>
      <c r="AQ220" s="292">
        <f t="shared" si="121"/>
        <v>0</v>
      </c>
      <c r="AR220" s="289">
        <f t="shared" si="122"/>
        <v>0</v>
      </c>
      <c r="AS220" s="287"/>
      <c r="AT220" s="287"/>
      <c r="AU220" s="290">
        <f>'Unit Savings Calculations'!Q216</f>
        <v>11.243232000000003</v>
      </c>
      <c r="AV220" s="287" t="str">
        <f t="shared" si="109"/>
        <v>n/a</v>
      </c>
      <c r="AW220" s="292">
        <f t="shared" si="123"/>
        <v>0</v>
      </c>
      <c r="AX220" s="289">
        <f t="shared" si="124"/>
        <v>0</v>
      </c>
      <c r="AY220" s="292">
        <f t="shared" si="110"/>
        <v>0</v>
      </c>
      <c r="AZ220" s="292">
        <f t="shared" si="111"/>
        <v>0</v>
      </c>
      <c r="BA220" s="292">
        <f t="shared" si="112"/>
        <v>0</v>
      </c>
      <c r="BB220" s="292">
        <f t="shared" si="113"/>
        <v>0</v>
      </c>
      <c r="BC220" s="294">
        <f t="shared" si="114"/>
        <v>0</v>
      </c>
      <c r="BD220" s="287" t="s">
        <v>764</v>
      </c>
      <c r="BE220" s="295" t="str">
        <f t="shared" si="115"/>
        <v>Exhibit 1.5B_R Peoples Gas EEPS_Adjustable_Savings_Goal_Template.xlsx, Unit Savings Calculations Tab</v>
      </c>
      <c r="BF220" s="297"/>
    </row>
    <row r="221" spans="1:58" ht="13.5" customHeight="1">
      <c r="A221" s="287" t="str">
        <f>'Unit Savings Calculations'!C217</f>
        <v>Bus - SB Rebates -PTA</v>
      </c>
      <c r="B221" s="287" t="str">
        <f>'Unit Savings Calculations'!D217</f>
        <v>High Speed Washer - Laundromat</v>
      </c>
      <c r="C221" s="288">
        <f t="shared" si="125"/>
        <v>1</v>
      </c>
      <c r="D221" s="287" t="str">
        <f>'Unit Savings Calculations'!T217</f>
        <v>4.8.5</v>
      </c>
      <c r="E221" s="287">
        <f>INDEX('Unit Savings Calculations'!$H$4:$H$421,MATCH('Measure-Level Adjustments Tab'!$A221&amp;"_"&amp;'Measure-Level Adjustments Tab'!$B221,'Unit Savings Calculations'!$A$4:$A$421,0))</f>
        <v>7</v>
      </c>
      <c r="F221" s="287">
        <f>INDEX('Unit Savings Calculations'!$I$4:$I$421,MATCH('Measure-Level Adjustments Tab'!A221&amp;"_"&amp;'Measure-Level Adjustments Tab'!B221,'Unit Savings Calculations'!$A$4:$A$421,0))</f>
        <v>7</v>
      </c>
      <c r="G221" s="287" t="str">
        <f>'Unit Savings Calculations'!E217</f>
        <v>lb-capacity</v>
      </c>
      <c r="H221" s="289">
        <f>'Unit Savings Calculations'!$F217*'Unit Savings Calculations'!J217</f>
        <v>0</v>
      </c>
      <c r="I221" s="289">
        <f>'Unit Savings Calculations'!$F217*'Unit Savings Calculations'!K217</f>
        <v>0</v>
      </c>
      <c r="J221" s="289">
        <f>'Unit Savings Calculations'!$F217*'Unit Savings Calculations'!L217</f>
        <v>0</v>
      </c>
      <c r="K221" s="289">
        <f>'Unit Savings Calculations'!$F217*'Unit Savings Calculations'!M217</f>
        <v>0</v>
      </c>
      <c r="L221" s="287" t="str">
        <f>'Unit Savings Calculations'!U217</f>
        <v>CI-MSC-HSCW-V01-180101</v>
      </c>
      <c r="M221" s="363" t="s">
        <v>830</v>
      </c>
      <c r="N221" s="290">
        <v>4.648644</v>
      </c>
      <c r="O221" s="290">
        <v>4.648644</v>
      </c>
      <c r="P221" s="290">
        <v>4.648644</v>
      </c>
      <c r="Q221" s="290">
        <v>4.648644</v>
      </c>
      <c r="R221" s="291">
        <f>'Unit Savings Calculations'!$G217</f>
        <v>0.92</v>
      </c>
      <c r="S221" s="291">
        <f>'Unit Savings Calculations'!$G217</f>
        <v>0.92</v>
      </c>
      <c r="T221" s="291">
        <f>'Unit Savings Calculations'!$G217</f>
        <v>0.92</v>
      </c>
      <c r="U221" s="291">
        <f>'Unit Savings Calculations'!$G217</f>
        <v>0.92</v>
      </c>
      <c r="V221" s="292">
        <f t="shared" si="104"/>
        <v>0</v>
      </c>
      <c r="W221" s="292">
        <f t="shared" si="105"/>
        <v>0</v>
      </c>
      <c r="X221" s="292">
        <f t="shared" si="106"/>
        <v>0</v>
      </c>
      <c r="Y221" s="292">
        <f t="shared" si="107"/>
        <v>0</v>
      </c>
      <c r="Z221" s="292">
        <f t="shared" si="108"/>
        <v>0</v>
      </c>
      <c r="AA221" s="287"/>
      <c r="AB221" s="287"/>
      <c r="AC221" s="293">
        <f>'Unit Savings Calculations'!N217</f>
        <v>4.648644</v>
      </c>
      <c r="AD221" s="287"/>
      <c r="AE221" s="292">
        <f t="shared" si="116"/>
        <v>0</v>
      </c>
      <c r="AF221" s="289">
        <f t="shared" si="117"/>
        <v>0</v>
      </c>
      <c r="AG221" s="287"/>
      <c r="AH221" s="287">
        <f t="shared" si="118"/>
        <v>0</v>
      </c>
      <c r="AI221" s="290">
        <f>'Unit Savings Calculations'!O217</f>
        <v>4.648644</v>
      </c>
      <c r="AJ221" s="287" t="s">
        <v>872</v>
      </c>
      <c r="AK221" s="292">
        <f t="shared" si="119"/>
        <v>0</v>
      </c>
      <c r="AL221" s="289">
        <f t="shared" si="120"/>
        <v>0</v>
      </c>
      <c r="AM221" s="287"/>
      <c r="AN221" s="287"/>
      <c r="AO221" s="290">
        <f>'Unit Savings Calculations'!P217</f>
        <v>4.648644</v>
      </c>
      <c r="AP221" s="287" t="s">
        <v>764</v>
      </c>
      <c r="AQ221" s="292">
        <f t="shared" si="121"/>
        <v>0</v>
      </c>
      <c r="AR221" s="289">
        <f t="shared" si="122"/>
        <v>0</v>
      </c>
      <c r="AS221" s="287"/>
      <c r="AT221" s="287"/>
      <c r="AU221" s="290">
        <f>'Unit Savings Calculations'!Q217</f>
        <v>4.648644</v>
      </c>
      <c r="AV221" s="287" t="str">
        <f t="shared" si="109"/>
        <v>n/a</v>
      </c>
      <c r="AW221" s="292">
        <f t="shared" si="123"/>
        <v>0</v>
      </c>
      <c r="AX221" s="289">
        <f t="shared" si="124"/>
        <v>0</v>
      </c>
      <c r="AY221" s="292">
        <f t="shared" si="110"/>
        <v>0</v>
      </c>
      <c r="AZ221" s="292">
        <f t="shared" si="111"/>
        <v>0</v>
      </c>
      <c r="BA221" s="292">
        <f t="shared" si="112"/>
        <v>0</v>
      </c>
      <c r="BB221" s="292">
        <f t="shared" si="113"/>
        <v>0</v>
      </c>
      <c r="BC221" s="294">
        <f t="shared" si="114"/>
        <v>0</v>
      </c>
      <c r="BD221" s="287" t="s">
        <v>764</v>
      </c>
      <c r="BE221" s="295" t="str">
        <f t="shared" si="115"/>
        <v>Exhibit 1.5B_R Peoples Gas EEPS_Adjustable_Savings_Goal_Template.xlsx, Unit Savings Calculations Tab</v>
      </c>
      <c r="BF221" s="297"/>
    </row>
    <row r="222" spans="1:58" ht="13.5" customHeight="1">
      <c r="A222" s="287" t="str">
        <f>'Unit Savings Calculations'!C218</f>
        <v>Bus - SB Rebates -PTA</v>
      </c>
      <c r="B222" s="287" t="str">
        <f>'Unit Savings Calculations'!D218</f>
        <v>Infrared Heater</v>
      </c>
      <c r="C222" s="288">
        <f t="shared" si="125"/>
        <v>1</v>
      </c>
      <c r="D222" s="287" t="str">
        <f>'Unit Savings Calculations'!T218</f>
        <v>4.4.12</v>
      </c>
      <c r="E222" s="287">
        <f>INDEX('Unit Savings Calculations'!$H$4:$H$421,MATCH('Measure-Level Adjustments Tab'!$A222&amp;"_"&amp;'Measure-Level Adjustments Tab'!$B222,'Unit Savings Calculations'!$A$4:$A$421,0))</f>
        <v>12</v>
      </c>
      <c r="F222" s="287">
        <f>INDEX('Unit Savings Calculations'!$I$4:$I$421,MATCH('Measure-Level Adjustments Tab'!A222&amp;"_"&amp;'Measure-Level Adjustments Tab'!B222,'Unit Savings Calculations'!$A$4:$A$421,0))</f>
        <v>12</v>
      </c>
      <c r="G222" s="287" t="str">
        <f>'Unit Savings Calculations'!E218</f>
        <v>MBH</v>
      </c>
      <c r="H222" s="289">
        <f>'Unit Savings Calculations'!$F218*'Unit Savings Calculations'!J218</f>
        <v>0</v>
      </c>
      <c r="I222" s="289">
        <f>'Unit Savings Calculations'!$F218*'Unit Savings Calculations'!K218</f>
        <v>0</v>
      </c>
      <c r="J222" s="289">
        <f>'Unit Savings Calculations'!$F218*'Unit Savings Calculations'!L218</f>
        <v>0</v>
      </c>
      <c r="K222" s="289">
        <f>'Unit Savings Calculations'!$F218*'Unit Savings Calculations'!M218</f>
        <v>0</v>
      </c>
      <c r="L222" s="287" t="str">
        <f>'Unit Savings Calculations'!U218</f>
        <v>CI-HVC-IRHT-V01-120601</v>
      </c>
      <c r="M222" s="363" t="s">
        <v>830</v>
      </c>
      <c r="N222" s="290">
        <v>3.0066666666666668</v>
      </c>
      <c r="O222" s="290">
        <v>3.0066666666666668</v>
      </c>
      <c r="P222" s="290">
        <v>3.0066666666666668</v>
      </c>
      <c r="Q222" s="290">
        <v>3.0066666666666668</v>
      </c>
      <c r="R222" s="291">
        <f>'Unit Savings Calculations'!$G218</f>
        <v>0.92</v>
      </c>
      <c r="S222" s="291">
        <f>'Unit Savings Calculations'!$G218</f>
        <v>0.92</v>
      </c>
      <c r="T222" s="291">
        <f>'Unit Savings Calculations'!$G218</f>
        <v>0.92</v>
      </c>
      <c r="U222" s="291">
        <f>'Unit Savings Calculations'!$G218</f>
        <v>0.92</v>
      </c>
      <c r="V222" s="292">
        <f t="shared" ref="V222:V285" si="126">H222*N222*R222</f>
        <v>0</v>
      </c>
      <c r="W222" s="292">
        <f t="shared" ref="W222:W285" si="127">I222*O222*S222</f>
        <v>0</v>
      </c>
      <c r="X222" s="292">
        <f t="shared" ref="X222:X285" si="128">J222*P222*T222</f>
        <v>0</v>
      </c>
      <c r="Y222" s="292">
        <f t="shared" ref="Y222:Y285" si="129">K222*Q222*U222</f>
        <v>0</v>
      </c>
      <c r="Z222" s="292">
        <f t="shared" ref="Z222:Z285" si="130">V222+W222+X222+Y222</f>
        <v>0</v>
      </c>
      <c r="AA222" s="287"/>
      <c r="AB222" s="287"/>
      <c r="AC222" s="293">
        <f>'Unit Savings Calculations'!N218</f>
        <v>3.0066666666666668</v>
      </c>
      <c r="AD222" s="287"/>
      <c r="AE222" s="292">
        <f t="shared" si="116"/>
        <v>0</v>
      </c>
      <c r="AF222" s="289">
        <f t="shared" si="117"/>
        <v>0</v>
      </c>
      <c r="AG222" s="287"/>
      <c r="AH222" s="287">
        <f t="shared" si="118"/>
        <v>0</v>
      </c>
      <c r="AI222" s="290">
        <f>'Unit Savings Calculations'!O218</f>
        <v>3.0066666666666668</v>
      </c>
      <c r="AJ222" s="287" t="s">
        <v>872</v>
      </c>
      <c r="AK222" s="292">
        <f t="shared" si="119"/>
        <v>0</v>
      </c>
      <c r="AL222" s="289">
        <f t="shared" si="120"/>
        <v>0</v>
      </c>
      <c r="AM222" s="287"/>
      <c r="AN222" s="287"/>
      <c r="AO222" s="290">
        <f>'Unit Savings Calculations'!P218</f>
        <v>3.0066666666666668</v>
      </c>
      <c r="AP222" s="287" t="s">
        <v>764</v>
      </c>
      <c r="AQ222" s="292">
        <f t="shared" si="121"/>
        <v>0</v>
      </c>
      <c r="AR222" s="289">
        <f t="shared" si="122"/>
        <v>0</v>
      </c>
      <c r="AS222" s="287"/>
      <c r="AT222" s="287"/>
      <c r="AU222" s="290">
        <f>'Unit Savings Calculations'!Q218</f>
        <v>3.0066666666666668</v>
      </c>
      <c r="AV222" s="287" t="str">
        <f t="shared" si="109"/>
        <v>n/a</v>
      </c>
      <c r="AW222" s="292">
        <f t="shared" si="123"/>
        <v>0</v>
      </c>
      <c r="AX222" s="289">
        <f t="shared" si="124"/>
        <v>0</v>
      </c>
      <c r="AY222" s="292">
        <f t="shared" si="110"/>
        <v>0</v>
      </c>
      <c r="AZ222" s="292">
        <f t="shared" si="111"/>
        <v>0</v>
      </c>
      <c r="BA222" s="292">
        <f t="shared" si="112"/>
        <v>0</v>
      </c>
      <c r="BB222" s="292">
        <f t="shared" si="113"/>
        <v>0</v>
      </c>
      <c r="BC222" s="294">
        <f t="shared" si="114"/>
        <v>0</v>
      </c>
      <c r="BD222" s="287" t="s">
        <v>764</v>
      </c>
      <c r="BE222" s="295" t="str">
        <f t="shared" si="115"/>
        <v>Exhibit 1.5B_R Peoples Gas EEPS_Adjustable_Savings_Goal_Template.xlsx, Unit Savings Calculations Tab</v>
      </c>
      <c r="BF222" s="297"/>
    </row>
    <row r="223" spans="1:58" ht="13.5" customHeight="1">
      <c r="A223" s="287" t="str">
        <f>'Unit Savings Calculations'!C219</f>
        <v>Bus - SB Rebates -PTA</v>
      </c>
      <c r="B223" s="287" t="str">
        <f>'Unit Savings Calculations'!D219</f>
        <v>Modulating Commercial Gas Clothes Dryer</v>
      </c>
      <c r="C223" s="288">
        <f t="shared" si="125"/>
        <v>1</v>
      </c>
      <c r="D223" s="287" t="str">
        <f>'Unit Savings Calculations'!T219</f>
        <v>4.8.4</v>
      </c>
      <c r="E223" s="287">
        <f>INDEX('Unit Savings Calculations'!$H$4:$H$421,MATCH('Measure-Level Adjustments Tab'!$A223&amp;"_"&amp;'Measure-Level Adjustments Tab'!$B223,'Unit Savings Calculations'!$A$4:$A$421,0))</f>
        <v>14</v>
      </c>
      <c r="F223" s="287">
        <f>INDEX('Unit Savings Calculations'!$I$4:$I$421,MATCH('Measure-Level Adjustments Tab'!A223&amp;"_"&amp;'Measure-Level Adjustments Tab'!B223,'Unit Savings Calculations'!$A$4:$A$421,0))</f>
        <v>14</v>
      </c>
      <c r="G223" s="287" t="str">
        <f>'Unit Savings Calculations'!E219</f>
        <v>each</v>
      </c>
      <c r="H223" s="289">
        <f>'Unit Savings Calculations'!$F219*'Unit Savings Calculations'!J219</f>
        <v>0</v>
      </c>
      <c r="I223" s="289">
        <f>'Unit Savings Calculations'!$F219*'Unit Savings Calculations'!K219</f>
        <v>0</v>
      </c>
      <c r="J223" s="289">
        <f>'Unit Savings Calculations'!$F219*'Unit Savings Calculations'!L219</f>
        <v>0</v>
      </c>
      <c r="K223" s="289">
        <f>'Unit Savings Calculations'!$F219*'Unit Savings Calculations'!M219</f>
        <v>0</v>
      </c>
      <c r="L223" s="287" t="str">
        <f>'Unit Savings Calculations'!U219</f>
        <v>CI-MSC-MODD-V01-160601</v>
      </c>
      <c r="M223" s="363" t="s">
        <v>830</v>
      </c>
      <c r="N223" s="290">
        <v>266.94</v>
      </c>
      <c r="O223" s="290">
        <v>266.94</v>
      </c>
      <c r="P223" s="290">
        <v>266.94</v>
      </c>
      <c r="Q223" s="290">
        <v>266.94</v>
      </c>
      <c r="R223" s="291">
        <f>'Unit Savings Calculations'!$G219</f>
        <v>0.92</v>
      </c>
      <c r="S223" s="291">
        <f>'Unit Savings Calculations'!$G219</f>
        <v>0.92</v>
      </c>
      <c r="T223" s="291">
        <f>'Unit Savings Calculations'!$G219</f>
        <v>0.92</v>
      </c>
      <c r="U223" s="291">
        <f>'Unit Savings Calculations'!$G219</f>
        <v>0.92</v>
      </c>
      <c r="V223" s="292">
        <f t="shared" si="126"/>
        <v>0</v>
      </c>
      <c r="W223" s="292">
        <f t="shared" si="127"/>
        <v>0</v>
      </c>
      <c r="X223" s="292">
        <f t="shared" si="128"/>
        <v>0</v>
      </c>
      <c r="Y223" s="292">
        <f t="shared" si="129"/>
        <v>0</v>
      </c>
      <c r="Z223" s="292">
        <f t="shared" si="130"/>
        <v>0</v>
      </c>
      <c r="AA223" s="287"/>
      <c r="AB223" s="287"/>
      <c r="AC223" s="293">
        <f>'Unit Savings Calculations'!N219</f>
        <v>266.94</v>
      </c>
      <c r="AD223" s="287"/>
      <c r="AE223" s="292">
        <f t="shared" si="116"/>
        <v>0</v>
      </c>
      <c r="AF223" s="289">
        <f t="shared" si="117"/>
        <v>0</v>
      </c>
      <c r="AG223" s="287"/>
      <c r="AH223" s="287">
        <f t="shared" si="118"/>
        <v>0</v>
      </c>
      <c r="AI223" s="290">
        <f>'Unit Savings Calculations'!O219</f>
        <v>266.94</v>
      </c>
      <c r="AJ223" s="287" t="s">
        <v>872</v>
      </c>
      <c r="AK223" s="292">
        <f t="shared" si="119"/>
        <v>0</v>
      </c>
      <c r="AL223" s="289">
        <f t="shared" si="120"/>
        <v>0</v>
      </c>
      <c r="AM223" s="287"/>
      <c r="AN223" s="287"/>
      <c r="AO223" s="290">
        <f>'Unit Savings Calculations'!P219</f>
        <v>266.94</v>
      </c>
      <c r="AP223" s="287" t="s">
        <v>764</v>
      </c>
      <c r="AQ223" s="292">
        <f t="shared" si="121"/>
        <v>0</v>
      </c>
      <c r="AR223" s="289">
        <f t="shared" si="122"/>
        <v>0</v>
      </c>
      <c r="AS223" s="287"/>
      <c r="AT223" s="287"/>
      <c r="AU223" s="290">
        <f>'Unit Savings Calculations'!Q219</f>
        <v>266.94</v>
      </c>
      <c r="AV223" s="287" t="str">
        <f t="shared" si="109"/>
        <v>n/a</v>
      </c>
      <c r="AW223" s="292">
        <f t="shared" si="123"/>
        <v>0</v>
      </c>
      <c r="AX223" s="289">
        <f t="shared" si="124"/>
        <v>0</v>
      </c>
      <c r="AY223" s="292">
        <f t="shared" si="110"/>
        <v>0</v>
      </c>
      <c r="AZ223" s="292">
        <f t="shared" si="111"/>
        <v>0</v>
      </c>
      <c r="BA223" s="292">
        <f t="shared" si="112"/>
        <v>0</v>
      </c>
      <c r="BB223" s="292">
        <f t="shared" si="113"/>
        <v>0</v>
      </c>
      <c r="BC223" s="294">
        <f t="shared" si="114"/>
        <v>0</v>
      </c>
      <c r="BD223" s="287" t="s">
        <v>764</v>
      </c>
      <c r="BE223" s="295" t="str">
        <f t="shared" si="115"/>
        <v>Exhibit 1.5B_R Peoples Gas EEPS_Adjustable_Savings_Goal_Template.xlsx, Unit Savings Calculations Tab</v>
      </c>
      <c r="BF223" s="297"/>
    </row>
    <row r="224" spans="1:58" ht="13.5" customHeight="1">
      <c r="A224" s="287" t="str">
        <f>'Unit Savings Calculations'!C220</f>
        <v>Bus - SB Rebates -PTA</v>
      </c>
      <c r="B224" s="287" t="str">
        <f>'Unit Savings Calculations'!D220</f>
        <v>Ozone Laundry</v>
      </c>
      <c r="C224" s="288">
        <f t="shared" si="125"/>
        <v>1</v>
      </c>
      <c r="D224" s="287" t="str">
        <f>'Unit Savings Calculations'!T220</f>
        <v>4.3.6</v>
      </c>
      <c r="E224" s="287">
        <f>INDEX('Unit Savings Calculations'!$H$4:$H$421,MATCH('Measure-Level Adjustments Tab'!$A224&amp;"_"&amp;'Measure-Level Adjustments Tab'!$B224,'Unit Savings Calculations'!$A$4:$A$421,0))</f>
        <v>10</v>
      </c>
      <c r="F224" s="287">
        <f>INDEX('Unit Savings Calculations'!$I$4:$I$421,MATCH('Measure-Level Adjustments Tab'!A224&amp;"_"&amp;'Measure-Level Adjustments Tab'!B224,'Unit Savings Calculations'!$A$4:$A$421,0))</f>
        <v>10</v>
      </c>
      <c r="G224" s="287" t="str">
        <f>'Unit Savings Calculations'!E220</f>
        <v>lb-capacity</v>
      </c>
      <c r="H224" s="289">
        <f>'Unit Savings Calculations'!$F220*'Unit Savings Calculations'!J220</f>
        <v>0</v>
      </c>
      <c r="I224" s="289">
        <f>'Unit Savings Calculations'!$F220*'Unit Savings Calculations'!K220</f>
        <v>0</v>
      </c>
      <c r="J224" s="289">
        <f>'Unit Savings Calculations'!$F220*'Unit Savings Calculations'!L220</f>
        <v>0</v>
      </c>
      <c r="K224" s="289">
        <f>'Unit Savings Calculations'!$F220*'Unit Savings Calculations'!M220</f>
        <v>0</v>
      </c>
      <c r="L224" s="287" t="str">
        <f>'Unit Savings Calculations'!U220</f>
        <v>CI-HW-OZLD-VO1-140601</v>
      </c>
      <c r="M224" s="363" t="s">
        <v>830</v>
      </c>
      <c r="N224" s="290">
        <v>30.722664192350027</v>
      </c>
      <c r="O224" s="290">
        <v>30.722664192350027</v>
      </c>
      <c r="P224" s="290">
        <v>30.722664192350027</v>
      </c>
      <c r="Q224" s="290">
        <v>30.722664192350027</v>
      </c>
      <c r="R224" s="291">
        <f>'Unit Savings Calculations'!$G220</f>
        <v>0.92</v>
      </c>
      <c r="S224" s="291">
        <f>'Unit Savings Calculations'!$G220</f>
        <v>0.92</v>
      </c>
      <c r="T224" s="291">
        <f>'Unit Savings Calculations'!$G220</f>
        <v>0.92</v>
      </c>
      <c r="U224" s="291">
        <f>'Unit Savings Calculations'!$G220</f>
        <v>0.92</v>
      </c>
      <c r="V224" s="292">
        <f t="shared" si="126"/>
        <v>0</v>
      </c>
      <c r="W224" s="292">
        <f t="shared" si="127"/>
        <v>0</v>
      </c>
      <c r="X224" s="292">
        <f t="shared" si="128"/>
        <v>0</v>
      </c>
      <c r="Y224" s="292">
        <f t="shared" si="129"/>
        <v>0</v>
      </c>
      <c r="Z224" s="292">
        <f t="shared" si="130"/>
        <v>0</v>
      </c>
      <c r="AA224" s="287"/>
      <c r="AB224" s="287"/>
      <c r="AC224" s="293">
        <f>'Unit Savings Calculations'!N220</f>
        <v>30.722664192350027</v>
      </c>
      <c r="AD224" s="287"/>
      <c r="AE224" s="292">
        <f t="shared" si="116"/>
        <v>0</v>
      </c>
      <c r="AF224" s="289">
        <f t="shared" si="117"/>
        <v>0</v>
      </c>
      <c r="AG224" s="287"/>
      <c r="AH224" s="287">
        <f t="shared" si="118"/>
        <v>0</v>
      </c>
      <c r="AI224" s="290">
        <f>'Unit Savings Calculations'!O220</f>
        <v>30.722664192350027</v>
      </c>
      <c r="AJ224" s="287" t="s">
        <v>872</v>
      </c>
      <c r="AK224" s="292">
        <f t="shared" si="119"/>
        <v>0</v>
      </c>
      <c r="AL224" s="289">
        <f t="shared" si="120"/>
        <v>0</v>
      </c>
      <c r="AM224" s="287"/>
      <c r="AN224" s="287"/>
      <c r="AO224" s="290">
        <f>'Unit Savings Calculations'!P220</f>
        <v>30.722664192350027</v>
      </c>
      <c r="AP224" s="287" t="s">
        <v>764</v>
      </c>
      <c r="AQ224" s="292">
        <f t="shared" si="121"/>
        <v>0</v>
      </c>
      <c r="AR224" s="289">
        <f t="shared" si="122"/>
        <v>0</v>
      </c>
      <c r="AS224" s="287"/>
      <c r="AT224" s="287"/>
      <c r="AU224" s="290">
        <f>'Unit Savings Calculations'!Q220</f>
        <v>30.722664192350027</v>
      </c>
      <c r="AV224" s="287" t="str">
        <f t="shared" si="109"/>
        <v>n/a</v>
      </c>
      <c r="AW224" s="292">
        <f t="shared" si="123"/>
        <v>0</v>
      </c>
      <c r="AX224" s="289">
        <f t="shared" si="124"/>
        <v>0</v>
      </c>
      <c r="AY224" s="292">
        <f t="shared" si="110"/>
        <v>0</v>
      </c>
      <c r="AZ224" s="292">
        <f t="shared" si="111"/>
        <v>0</v>
      </c>
      <c r="BA224" s="292">
        <f t="shared" si="112"/>
        <v>0</v>
      </c>
      <c r="BB224" s="292">
        <f t="shared" si="113"/>
        <v>0</v>
      </c>
      <c r="BC224" s="294">
        <f t="shared" si="114"/>
        <v>0</v>
      </c>
      <c r="BD224" s="287" t="s">
        <v>764</v>
      </c>
      <c r="BE224" s="295" t="str">
        <f t="shared" si="115"/>
        <v>Exhibit 1.5B_R Peoples Gas EEPS_Adjustable_Savings_Goal_Template.xlsx, Unit Savings Calculations Tab</v>
      </c>
      <c r="BF224" s="297"/>
    </row>
    <row r="225" spans="1:58" ht="13.5" customHeight="1">
      <c r="A225" s="287" t="str">
        <f>'Unit Savings Calculations'!C221</f>
        <v>Bus - SB Rebates -PTA</v>
      </c>
      <c r="B225" s="287" t="str">
        <f>'Unit Savings Calculations'!D221</f>
        <v>Pipe Insulation - Dry Cleaners</v>
      </c>
      <c r="C225" s="288">
        <f t="shared" si="125"/>
        <v>1</v>
      </c>
      <c r="D225" s="287" t="str">
        <f>'Unit Savings Calculations'!T221</f>
        <v>4.4.14</v>
      </c>
      <c r="E225" s="287">
        <f>INDEX('Unit Savings Calculations'!$H$4:$H$421,MATCH('Measure-Level Adjustments Tab'!$A225&amp;"_"&amp;'Measure-Level Adjustments Tab'!$B225,'Unit Savings Calculations'!$A$4:$A$421,0))</f>
        <v>15</v>
      </c>
      <c r="F225" s="287">
        <f>INDEX('Unit Savings Calculations'!$I$4:$I$421,MATCH('Measure-Level Adjustments Tab'!A225&amp;"_"&amp;'Measure-Level Adjustments Tab'!B225,'Unit Savings Calculations'!$A$4:$A$421,0))</f>
        <v>15</v>
      </c>
      <c r="G225" s="287" t="str">
        <f>'Unit Savings Calculations'!E221</f>
        <v>ft</v>
      </c>
      <c r="H225" s="289">
        <f>'Unit Savings Calculations'!$F221*'Unit Savings Calculations'!J221</f>
        <v>0</v>
      </c>
      <c r="I225" s="289">
        <f>'Unit Savings Calculations'!$F221*'Unit Savings Calculations'!K221</f>
        <v>0</v>
      </c>
      <c r="J225" s="289">
        <f>'Unit Savings Calculations'!$F221*'Unit Savings Calculations'!L221</f>
        <v>0</v>
      </c>
      <c r="K225" s="289">
        <f>'Unit Savings Calculations'!$F221*'Unit Savings Calculations'!M221</f>
        <v>0</v>
      </c>
      <c r="L225" s="287" t="str">
        <f>'Unit Savings Calculations'!U221</f>
        <v>CI-HVC-PINS-V04-160601</v>
      </c>
      <c r="M225" s="363" t="s">
        <v>830</v>
      </c>
      <c r="N225" s="290">
        <v>4.1509563815028345</v>
      </c>
      <c r="O225" s="290">
        <v>4.1509563815028345</v>
      </c>
      <c r="P225" s="290">
        <v>4.1509563815028345</v>
      </c>
      <c r="Q225" s="290">
        <v>4.1509563815028345</v>
      </c>
      <c r="R225" s="291">
        <f>'Unit Savings Calculations'!$G221</f>
        <v>0.92</v>
      </c>
      <c r="S225" s="291">
        <f>'Unit Savings Calculations'!$G221</f>
        <v>0.92</v>
      </c>
      <c r="T225" s="291">
        <f>'Unit Savings Calculations'!$G221</f>
        <v>0.92</v>
      </c>
      <c r="U225" s="291">
        <f>'Unit Savings Calculations'!$G221</f>
        <v>0.92</v>
      </c>
      <c r="V225" s="292">
        <f t="shared" si="126"/>
        <v>0</v>
      </c>
      <c r="W225" s="292">
        <f t="shared" si="127"/>
        <v>0</v>
      </c>
      <c r="X225" s="292">
        <f t="shared" si="128"/>
        <v>0</v>
      </c>
      <c r="Y225" s="292">
        <f t="shared" si="129"/>
        <v>0</v>
      </c>
      <c r="Z225" s="292">
        <f t="shared" si="130"/>
        <v>0</v>
      </c>
      <c r="AA225" s="287"/>
      <c r="AB225" s="287"/>
      <c r="AC225" s="293">
        <f>'Unit Savings Calculations'!N221</f>
        <v>4.1509563815028345</v>
      </c>
      <c r="AD225" s="287"/>
      <c r="AE225" s="292">
        <f t="shared" si="116"/>
        <v>0</v>
      </c>
      <c r="AF225" s="289">
        <f t="shared" si="117"/>
        <v>0</v>
      </c>
      <c r="AG225" s="287"/>
      <c r="AH225" s="287">
        <f t="shared" si="118"/>
        <v>0</v>
      </c>
      <c r="AI225" s="290">
        <f>'Unit Savings Calculations'!O221</f>
        <v>4.1509563815028345</v>
      </c>
      <c r="AJ225" s="287" t="s">
        <v>872</v>
      </c>
      <c r="AK225" s="292">
        <f t="shared" si="119"/>
        <v>0</v>
      </c>
      <c r="AL225" s="289">
        <f t="shared" si="120"/>
        <v>0</v>
      </c>
      <c r="AM225" s="287"/>
      <c r="AN225" s="287"/>
      <c r="AO225" s="290">
        <f>'Unit Savings Calculations'!P221</f>
        <v>4.1509563815028345</v>
      </c>
      <c r="AP225" s="287" t="s">
        <v>764</v>
      </c>
      <c r="AQ225" s="292">
        <f t="shared" si="121"/>
        <v>0</v>
      </c>
      <c r="AR225" s="289">
        <f t="shared" si="122"/>
        <v>0</v>
      </c>
      <c r="AS225" s="287"/>
      <c r="AT225" s="287"/>
      <c r="AU225" s="290">
        <f>'Unit Savings Calculations'!Q221</f>
        <v>4.1509563815028345</v>
      </c>
      <c r="AV225" s="287" t="str">
        <f t="shared" si="109"/>
        <v>n/a</v>
      </c>
      <c r="AW225" s="292">
        <f t="shared" si="123"/>
        <v>0</v>
      </c>
      <c r="AX225" s="289">
        <f t="shared" si="124"/>
        <v>0</v>
      </c>
      <c r="AY225" s="292">
        <f t="shared" si="110"/>
        <v>0</v>
      </c>
      <c r="AZ225" s="292">
        <f t="shared" si="111"/>
        <v>0</v>
      </c>
      <c r="BA225" s="292">
        <f t="shared" si="112"/>
        <v>0</v>
      </c>
      <c r="BB225" s="292">
        <f t="shared" si="113"/>
        <v>0</v>
      </c>
      <c r="BC225" s="294">
        <f t="shared" si="114"/>
        <v>0</v>
      </c>
      <c r="BD225" s="287" t="s">
        <v>764</v>
      </c>
      <c r="BE225" s="295" t="str">
        <f t="shared" si="115"/>
        <v>Exhibit 1.5B_R Peoples Gas EEPS_Adjustable_Savings_Goal_Template.xlsx, Unit Savings Calculations Tab</v>
      </c>
      <c r="BF225" s="297"/>
    </row>
    <row r="226" spans="1:58" ht="13.5" customHeight="1">
      <c r="A226" s="287" t="str">
        <f>'Unit Savings Calculations'!C222</f>
        <v>Bus - SB Rebates -PTA</v>
      </c>
      <c r="B226" s="287" t="str">
        <f>'Unit Savings Calculations'!D222</f>
        <v>Pipe Insulation - Dry Cleaners -Elbows</v>
      </c>
      <c r="C226" s="288">
        <f t="shared" si="125"/>
        <v>1</v>
      </c>
      <c r="D226" s="287" t="str">
        <f>'Unit Savings Calculations'!T222</f>
        <v>4.4.14</v>
      </c>
      <c r="E226" s="287">
        <f>INDEX('Unit Savings Calculations'!$H$4:$H$421,MATCH('Measure-Level Adjustments Tab'!$A226&amp;"_"&amp;'Measure-Level Adjustments Tab'!$B226,'Unit Savings Calculations'!$A$4:$A$421,0))</f>
        <v>15</v>
      </c>
      <c r="F226" s="287">
        <f>INDEX('Unit Savings Calculations'!$I$4:$I$421,MATCH('Measure-Level Adjustments Tab'!A226&amp;"_"&amp;'Measure-Level Adjustments Tab'!B226,'Unit Savings Calculations'!$A$4:$A$421,0))</f>
        <v>15</v>
      </c>
      <c r="G226" s="287" t="str">
        <f>'Unit Savings Calculations'!E222</f>
        <v>ft</v>
      </c>
      <c r="H226" s="289">
        <f>'Unit Savings Calculations'!$F222*'Unit Savings Calculations'!J222</f>
        <v>0</v>
      </c>
      <c r="I226" s="289">
        <f>'Unit Savings Calculations'!$F222*'Unit Savings Calculations'!K222</f>
        <v>0</v>
      </c>
      <c r="J226" s="289">
        <f>'Unit Savings Calculations'!$F222*'Unit Savings Calculations'!L222</f>
        <v>0</v>
      </c>
      <c r="K226" s="289">
        <f>'Unit Savings Calculations'!$F222*'Unit Savings Calculations'!M222</f>
        <v>0</v>
      </c>
      <c r="L226" s="287" t="str">
        <f>'Unit Savings Calculations'!U222</f>
        <v>CI-HVC-PINS-V04-160601</v>
      </c>
      <c r="M226" s="363" t="s">
        <v>830</v>
      </c>
      <c r="N226" s="290">
        <v>1.9924590631213606</v>
      </c>
      <c r="O226" s="290">
        <v>1.9924590631213606</v>
      </c>
      <c r="P226" s="290">
        <v>1.9924590631213606</v>
      </c>
      <c r="Q226" s="290">
        <v>1.9924590631213606</v>
      </c>
      <c r="R226" s="291">
        <f>'Unit Savings Calculations'!$G222</f>
        <v>0.92</v>
      </c>
      <c r="S226" s="291">
        <f>'Unit Savings Calculations'!$G222</f>
        <v>0.92</v>
      </c>
      <c r="T226" s="291">
        <f>'Unit Savings Calculations'!$G222</f>
        <v>0.92</v>
      </c>
      <c r="U226" s="291">
        <f>'Unit Savings Calculations'!$G222</f>
        <v>0.92</v>
      </c>
      <c r="V226" s="292">
        <f t="shared" si="126"/>
        <v>0</v>
      </c>
      <c r="W226" s="292">
        <f t="shared" si="127"/>
        <v>0</v>
      </c>
      <c r="X226" s="292">
        <f t="shared" si="128"/>
        <v>0</v>
      </c>
      <c r="Y226" s="292">
        <f t="shared" si="129"/>
        <v>0</v>
      </c>
      <c r="Z226" s="292">
        <f t="shared" si="130"/>
        <v>0</v>
      </c>
      <c r="AA226" s="287"/>
      <c r="AB226" s="287"/>
      <c r="AC226" s="293">
        <f>'Unit Savings Calculations'!N222</f>
        <v>1.9924590631213606</v>
      </c>
      <c r="AD226" s="287"/>
      <c r="AE226" s="292">
        <f t="shared" si="116"/>
        <v>0</v>
      </c>
      <c r="AF226" s="289">
        <f t="shared" si="117"/>
        <v>0</v>
      </c>
      <c r="AG226" s="287"/>
      <c r="AH226" s="287">
        <f t="shared" si="118"/>
        <v>0</v>
      </c>
      <c r="AI226" s="290">
        <f>'Unit Savings Calculations'!O222</f>
        <v>1.9924590631213606</v>
      </c>
      <c r="AJ226" s="287" t="s">
        <v>872</v>
      </c>
      <c r="AK226" s="292">
        <f t="shared" si="119"/>
        <v>0</v>
      </c>
      <c r="AL226" s="289">
        <f t="shared" si="120"/>
        <v>0</v>
      </c>
      <c r="AM226" s="287"/>
      <c r="AN226" s="287"/>
      <c r="AO226" s="290">
        <f>'Unit Savings Calculations'!P222</f>
        <v>1.9924590631213606</v>
      </c>
      <c r="AP226" s="287" t="s">
        <v>764</v>
      </c>
      <c r="AQ226" s="292">
        <f t="shared" si="121"/>
        <v>0</v>
      </c>
      <c r="AR226" s="289">
        <f t="shared" si="122"/>
        <v>0</v>
      </c>
      <c r="AS226" s="287"/>
      <c r="AT226" s="287"/>
      <c r="AU226" s="290">
        <f>'Unit Savings Calculations'!Q222</f>
        <v>1.9924590631213606</v>
      </c>
      <c r="AV226" s="287" t="str">
        <f t="shared" si="109"/>
        <v>n/a</v>
      </c>
      <c r="AW226" s="292">
        <f t="shared" si="123"/>
        <v>0</v>
      </c>
      <c r="AX226" s="289">
        <f t="shared" si="124"/>
        <v>0</v>
      </c>
      <c r="AY226" s="292">
        <f t="shared" si="110"/>
        <v>0</v>
      </c>
      <c r="AZ226" s="292">
        <f t="shared" si="111"/>
        <v>0</v>
      </c>
      <c r="BA226" s="292">
        <f t="shared" si="112"/>
        <v>0</v>
      </c>
      <c r="BB226" s="292">
        <f t="shared" si="113"/>
        <v>0</v>
      </c>
      <c r="BC226" s="294">
        <f t="shared" si="114"/>
        <v>0</v>
      </c>
      <c r="BD226" s="287" t="s">
        <v>764</v>
      </c>
      <c r="BE226" s="295" t="str">
        <f t="shared" si="115"/>
        <v>Exhibit 1.5B_R Peoples Gas EEPS_Adjustable_Savings_Goal_Template.xlsx, Unit Savings Calculations Tab</v>
      </c>
      <c r="BF226" s="297"/>
    </row>
    <row r="227" spans="1:58" ht="13.5" customHeight="1">
      <c r="A227" s="287" t="str">
        <f>'Unit Savings Calculations'!C223</f>
        <v>Bus - SB Rebates -PTA</v>
      </c>
      <c r="B227" s="287" t="str">
        <f>'Unit Savings Calculations'!D223</f>
        <v>Pipe Insulation - HW Small 1" to 2"</v>
      </c>
      <c r="C227" s="288">
        <f t="shared" si="125"/>
        <v>1</v>
      </c>
      <c r="D227" s="287" t="str">
        <f>'Unit Savings Calculations'!T223</f>
        <v>4.4.14</v>
      </c>
      <c r="E227" s="287">
        <f>INDEX('Unit Savings Calculations'!$H$4:$H$421,MATCH('Measure-Level Adjustments Tab'!$A227&amp;"_"&amp;'Measure-Level Adjustments Tab'!$B227,'Unit Savings Calculations'!$A$4:$A$421,0))</f>
        <v>15</v>
      </c>
      <c r="F227" s="287">
        <f>INDEX('Unit Savings Calculations'!$I$4:$I$421,MATCH('Measure-Level Adjustments Tab'!A227&amp;"_"&amp;'Measure-Level Adjustments Tab'!B227,'Unit Savings Calculations'!$A$4:$A$421,0))</f>
        <v>15</v>
      </c>
      <c r="G227" s="287" t="str">
        <f>'Unit Savings Calculations'!E223</f>
        <v>ft</v>
      </c>
      <c r="H227" s="289">
        <f>'Unit Savings Calculations'!$F223*'Unit Savings Calculations'!J223</f>
        <v>0</v>
      </c>
      <c r="I227" s="289">
        <f>'Unit Savings Calculations'!$F223*'Unit Savings Calculations'!K223</f>
        <v>0</v>
      </c>
      <c r="J227" s="289">
        <f>'Unit Savings Calculations'!$F223*'Unit Savings Calculations'!L223</f>
        <v>0</v>
      </c>
      <c r="K227" s="289">
        <f>'Unit Savings Calculations'!$F223*'Unit Savings Calculations'!M223</f>
        <v>0</v>
      </c>
      <c r="L227" s="287" t="str">
        <f>'Unit Savings Calculations'!U223</f>
        <v>CI-HVC-PINS-V04-160601</v>
      </c>
      <c r="M227" s="363" t="s">
        <v>830</v>
      </c>
      <c r="N227" s="290">
        <v>2.6588140926267867</v>
      </c>
      <c r="O227" s="290">
        <v>2.6588140926267867</v>
      </c>
      <c r="P227" s="290">
        <v>2.6588140926267867</v>
      </c>
      <c r="Q227" s="290">
        <v>2.6588140926267867</v>
      </c>
      <c r="R227" s="291">
        <f>'Unit Savings Calculations'!$G223</f>
        <v>0.92</v>
      </c>
      <c r="S227" s="291">
        <f>'Unit Savings Calculations'!$G223</f>
        <v>0.92</v>
      </c>
      <c r="T227" s="291">
        <f>'Unit Savings Calculations'!$G223</f>
        <v>0.92</v>
      </c>
      <c r="U227" s="291">
        <f>'Unit Savings Calculations'!$G223</f>
        <v>0.92</v>
      </c>
      <c r="V227" s="292">
        <f t="shared" si="126"/>
        <v>0</v>
      </c>
      <c r="W227" s="292">
        <f t="shared" si="127"/>
        <v>0</v>
      </c>
      <c r="X227" s="292">
        <f t="shared" si="128"/>
        <v>0</v>
      </c>
      <c r="Y227" s="292">
        <f t="shared" si="129"/>
        <v>0</v>
      </c>
      <c r="Z227" s="292">
        <f t="shared" si="130"/>
        <v>0</v>
      </c>
      <c r="AA227" s="287"/>
      <c r="AB227" s="287"/>
      <c r="AC227" s="293">
        <f>'Unit Savings Calculations'!N223</f>
        <v>2.6588140926267867</v>
      </c>
      <c r="AD227" s="287"/>
      <c r="AE227" s="292">
        <f t="shared" si="116"/>
        <v>0</v>
      </c>
      <c r="AF227" s="289">
        <f t="shared" si="117"/>
        <v>0</v>
      </c>
      <c r="AG227" s="287"/>
      <c r="AH227" s="287">
        <f t="shared" si="118"/>
        <v>0</v>
      </c>
      <c r="AI227" s="290">
        <f>'Unit Savings Calculations'!O223</f>
        <v>2.6588140926267867</v>
      </c>
      <c r="AJ227" s="287" t="s">
        <v>872</v>
      </c>
      <c r="AK227" s="292">
        <f t="shared" si="119"/>
        <v>0</v>
      </c>
      <c r="AL227" s="289">
        <f t="shared" si="120"/>
        <v>0</v>
      </c>
      <c r="AM227" s="287"/>
      <c r="AN227" s="287"/>
      <c r="AO227" s="290">
        <f>'Unit Savings Calculations'!P223</f>
        <v>2.6588140926267867</v>
      </c>
      <c r="AP227" s="287" t="s">
        <v>764</v>
      </c>
      <c r="AQ227" s="292">
        <f t="shared" si="121"/>
        <v>0</v>
      </c>
      <c r="AR227" s="289">
        <f t="shared" si="122"/>
        <v>0</v>
      </c>
      <c r="AS227" s="287"/>
      <c r="AT227" s="287"/>
      <c r="AU227" s="290">
        <f>'Unit Savings Calculations'!Q223</f>
        <v>2.6588140926267867</v>
      </c>
      <c r="AV227" s="287" t="str">
        <f t="shared" si="109"/>
        <v>n/a</v>
      </c>
      <c r="AW227" s="292">
        <f t="shared" si="123"/>
        <v>0</v>
      </c>
      <c r="AX227" s="289">
        <f t="shared" si="124"/>
        <v>0</v>
      </c>
      <c r="AY227" s="292">
        <f t="shared" si="110"/>
        <v>0</v>
      </c>
      <c r="AZ227" s="292">
        <f t="shared" si="111"/>
        <v>0</v>
      </c>
      <c r="BA227" s="292">
        <f t="shared" si="112"/>
        <v>0</v>
      </c>
      <c r="BB227" s="292">
        <f t="shared" si="113"/>
        <v>0</v>
      </c>
      <c r="BC227" s="294">
        <f t="shared" si="114"/>
        <v>0</v>
      </c>
      <c r="BD227" s="287" t="s">
        <v>764</v>
      </c>
      <c r="BE227" s="295" t="str">
        <f t="shared" si="115"/>
        <v>Exhibit 1.5B_R Peoples Gas EEPS_Adjustable_Savings_Goal_Template.xlsx, Unit Savings Calculations Tab</v>
      </c>
      <c r="BF227" s="297"/>
    </row>
    <row r="228" spans="1:58" ht="13.5" customHeight="1">
      <c r="A228" s="287" t="str">
        <f>'Unit Savings Calculations'!C224</f>
        <v>Bus - SB Rebates -PTA</v>
      </c>
      <c r="B228" s="287" t="str">
        <f>'Unit Savings Calculations'!D224</f>
        <v>Pipe Insulation - HW Medium 2.1" to 4"</v>
      </c>
      <c r="C228" s="288">
        <f t="shared" si="125"/>
        <v>1</v>
      </c>
      <c r="D228" s="287" t="str">
        <f>'Unit Savings Calculations'!T224</f>
        <v>4.4.14</v>
      </c>
      <c r="E228" s="287">
        <f>INDEX('Unit Savings Calculations'!$H$4:$H$421,MATCH('Measure-Level Adjustments Tab'!$A228&amp;"_"&amp;'Measure-Level Adjustments Tab'!$B228,'Unit Savings Calculations'!$A$4:$A$421,0))</f>
        <v>15</v>
      </c>
      <c r="F228" s="287">
        <f>INDEX('Unit Savings Calculations'!$I$4:$I$421,MATCH('Measure-Level Adjustments Tab'!A228&amp;"_"&amp;'Measure-Level Adjustments Tab'!B228,'Unit Savings Calculations'!$A$4:$A$421,0))</f>
        <v>15</v>
      </c>
      <c r="G228" s="287" t="str">
        <f>'Unit Savings Calculations'!E224</f>
        <v>ft</v>
      </c>
      <c r="H228" s="289">
        <f>'Unit Savings Calculations'!$F224*'Unit Savings Calculations'!J224</f>
        <v>0</v>
      </c>
      <c r="I228" s="289">
        <f>'Unit Savings Calculations'!$F224*'Unit Savings Calculations'!K224</f>
        <v>0</v>
      </c>
      <c r="J228" s="289">
        <f>'Unit Savings Calculations'!$F224*'Unit Savings Calculations'!L224</f>
        <v>0</v>
      </c>
      <c r="K228" s="289">
        <f>'Unit Savings Calculations'!$F224*'Unit Savings Calculations'!M224</f>
        <v>0</v>
      </c>
      <c r="L228" s="287" t="str">
        <f>'Unit Savings Calculations'!U224</f>
        <v>CI-HVC-PINS-V04-160601</v>
      </c>
      <c r="M228" s="363" t="s">
        <v>830</v>
      </c>
      <c r="N228" s="290">
        <v>5.2492031493764015</v>
      </c>
      <c r="O228" s="290">
        <v>5.2492031493764015</v>
      </c>
      <c r="P228" s="290">
        <v>5.2492031493764015</v>
      </c>
      <c r="Q228" s="290">
        <v>5.2492031493764015</v>
      </c>
      <c r="R228" s="291">
        <f>'Unit Savings Calculations'!$G224</f>
        <v>0.92</v>
      </c>
      <c r="S228" s="291">
        <f>'Unit Savings Calculations'!$G224</f>
        <v>0.92</v>
      </c>
      <c r="T228" s="291">
        <f>'Unit Savings Calculations'!$G224</f>
        <v>0.92</v>
      </c>
      <c r="U228" s="291">
        <f>'Unit Savings Calculations'!$G224</f>
        <v>0.92</v>
      </c>
      <c r="V228" s="292">
        <f t="shared" si="126"/>
        <v>0</v>
      </c>
      <c r="W228" s="292">
        <f t="shared" si="127"/>
        <v>0</v>
      </c>
      <c r="X228" s="292">
        <f t="shared" si="128"/>
        <v>0</v>
      </c>
      <c r="Y228" s="292">
        <f t="shared" si="129"/>
        <v>0</v>
      </c>
      <c r="Z228" s="292">
        <f t="shared" si="130"/>
        <v>0</v>
      </c>
      <c r="AA228" s="287"/>
      <c r="AB228" s="287"/>
      <c r="AC228" s="293">
        <f>'Unit Savings Calculations'!N224</f>
        <v>5.2492031493764015</v>
      </c>
      <c r="AD228" s="287"/>
      <c r="AE228" s="292">
        <f t="shared" si="116"/>
        <v>0</v>
      </c>
      <c r="AF228" s="289">
        <f t="shared" si="117"/>
        <v>0</v>
      </c>
      <c r="AG228" s="287"/>
      <c r="AH228" s="287">
        <f t="shared" si="118"/>
        <v>0</v>
      </c>
      <c r="AI228" s="290">
        <f>'Unit Savings Calculations'!O224</f>
        <v>5.2492031493764015</v>
      </c>
      <c r="AJ228" s="287" t="s">
        <v>872</v>
      </c>
      <c r="AK228" s="292">
        <f t="shared" si="119"/>
        <v>0</v>
      </c>
      <c r="AL228" s="289">
        <f t="shared" si="120"/>
        <v>0</v>
      </c>
      <c r="AM228" s="287"/>
      <c r="AN228" s="287"/>
      <c r="AO228" s="290">
        <f>'Unit Savings Calculations'!P224</f>
        <v>5.2492031493764015</v>
      </c>
      <c r="AP228" s="287" t="s">
        <v>764</v>
      </c>
      <c r="AQ228" s="292">
        <f t="shared" si="121"/>
        <v>0</v>
      </c>
      <c r="AR228" s="289">
        <f t="shared" si="122"/>
        <v>0</v>
      </c>
      <c r="AS228" s="287"/>
      <c r="AT228" s="287"/>
      <c r="AU228" s="290">
        <f>'Unit Savings Calculations'!Q224</f>
        <v>5.2492031493764015</v>
      </c>
      <c r="AV228" s="287" t="str">
        <f t="shared" si="109"/>
        <v>n/a</v>
      </c>
      <c r="AW228" s="292">
        <f t="shared" si="123"/>
        <v>0</v>
      </c>
      <c r="AX228" s="289">
        <f t="shared" si="124"/>
        <v>0</v>
      </c>
      <c r="AY228" s="292">
        <f t="shared" si="110"/>
        <v>0</v>
      </c>
      <c r="AZ228" s="292">
        <f t="shared" si="111"/>
        <v>0</v>
      </c>
      <c r="BA228" s="292">
        <f t="shared" si="112"/>
        <v>0</v>
      </c>
      <c r="BB228" s="292">
        <f t="shared" si="113"/>
        <v>0</v>
      </c>
      <c r="BC228" s="294">
        <f t="shared" si="114"/>
        <v>0</v>
      </c>
      <c r="BD228" s="287" t="s">
        <v>764</v>
      </c>
      <c r="BE228" s="295" t="str">
        <f t="shared" si="115"/>
        <v>Exhibit 1.5B_R Peoples Gas EEPS_Adjustable_Savings_Goal_Template.xlsx, Unit Savings Calculations Tab</v>
      </c>
      <c r="BF228" s="297"/>
    </row>
    <row r="229" spans="1:58" ht="13.5" customHeight="1">
      <c r="A229" s="287" t="str">
        <f>'Unit Savings Calculations'!C225</f>
        <v>Bus - SB Rebates -PTA</v>
      </c>
      <c r="B229" s="287" t="str">
        <f>'Unit Savings Calculations'!D225</f>
        <v>Pipe Insulation - HW Large &gt;4"</v>
      </c>
      <c r="C229" s="288">
        <f t="shared" si="125"/>
        <v>1</v>
      </c>
      <c r="D229" s="287" t="str">
        <f>'Unit Savings Calculations'!T225</f>
        <v>4.4.14</v>
      </c>
      <c r="E229" s="287">
        <f>INDEX('Unit Savings Calculations'!$H$4:$H$421,MATCH('Measure-Level Adjustments Tab'!$A229&amp;"_"&amp;'Measure-Level Adjustments Tab'!$B229,'Unit Savings Calculations'!$A$4:$A$421,0))</f>
        <v>15</v>
      </c>
      <c r="F229" s="287">
        <f>INDEX('Unit Savings Calculations'!$I$4:$I$421,MATCH('Measure-Level Adjustments Tab'!A229&amp;"_"&amp;'Measure-Level Adjustments Tab'!B229,'Unit Savings Calculations'!$A$4:$A$421,0))</f>
        <v>15</v>
      </c>
      <c r="G229" s="287" t="str">
        <f>'Unit Savings Calculations'!E225</f>
        <v>ft</v>
      </c>
      <c r="H229" s="289">
        <f>'Unit Savings Calculations'!$F225*'Unit Savings Calculations'!J225</f>
        <v>0</v>
      </c>
      <c r="I229" s="289">
        <f>'Unit Savings Calculations'!$F225*'Unit Savings Calculations'!K225</f>
        <v>0</v>
      </c>
      <c r="J229" s="289">
        <f>'Unit Savings Calculations'!$F225*'Unit Savings Calculations'!L225</f>
        <v>0</v>
      </c>
      <c r="K229" s="289">
        <f>'Unit Savings Calculations'!$F225*'Unit Savings Calculations'!M225</f>
        <v>0</v>
      </c>
      <c r="L229" s="287" t="str">
        <f>'Unit Savings Calculations'!U225</f>
        <v>CI-HVC-PINS-V04-160601</v>
      </c>
      <c r="M229" s="363" t="s">
        <v>830</v>
      </c>
      <c r="N229" s="290">
        <v>9.0407613085908682</v>
      </c>
      <c r="O229" s="290">
        <v>9.0407613085908682</v>
      </c>
      <c r="P229" s="290">
        <v>9.0407613085908682</v>
      </c>
      <c r="Q229" s="290">
        <v>9.0407613085908682</v>
      </c>
      <c r="R229" s="291">
        <f>'Unit Savings Calculations'!$G225</f>
        <v>0.92</v>
      </c>
      <c r="S229" s="291">
        <f>'Unit Savings Calculations'!$G225</f>
        <v>0.92</v>
      </c>
      <c r="T229" s="291">
        <f>'Unit Savings Calculations'!$G225</f>
        <v>0.92</v>
      </c>
      <c r="U229" s="291">
        <f>'Unit Savings Calculations'!$G225</f>
        <v>0.92</v>
      </c>
      <c r="V229" s="292">
        <f t="shared" si="126"/>
        <v>0</v>
      </c>
      <c r="W229" s="292">
        <f t="shared" si="127"/>
        <v>0</v>
      </c>
      <c r="X229" s="292">
        <f t="shared" si="128"/>
        <v>0</v>
      </c>
      <c r="Y229" s="292">
        <f t="shared" si="129"/>
        <v>0</v>
      </c>
      <c r="Z229" s="292">
        <f t="shared" si="130"/>
        <v>0</v>
      </c>
      <c r="AA229" s="287"/>
      <c r="AB229" s="287"/>
      <c r="AC229" s="293">
        <f>'Unit Savings Calculations'!N225</f>
        <v>9.0407613085908682</v>
      </c>
      <c r="AD229" s="287"/>
      <c r="AE229" s="292">
        <f t="shared" si="116"/>
        <v>0</v>
      </c>
      <c r="AF229" s="289">
        <f t="shared" si="117"/>
        <v>0</v>
      </c>
      <c r="AG229" s="287"/>
      <c r="AH229" s="287">
        <f t="shared" si="118"/>
        <v>0</v>
      </c>
      <c r="AI229" s="290">
        <f>'Unit Savings Calculations'!O225</f>
        <v>9.0407613085908682</v>
      </c>
      <c r="AJ229" s="287" t="s">
        <v>872</v>
      </c>
      <c r="AK229" s="292">
        <f t="shared" si="119"/>
        <v>0</v>
      </c>
      <c r="AL229" s="289">
        <f t="shared" si="120"/>
        <v>0</v>
      </c>
      <c r="AM229" s="287"/>
      <c r="AN229" s="287"/>
      <c r="AO229" s="290">
        <f>'Unit Savings Calculations'!P225</f>
        <v>9.0407613085908682</v>
      </c>
      <c r="AP229" s="287" t="s">
        <v>764</v>
      </c>
      <c r="AQ229" s="292">
        <f t="shared" si="121"/>
        <v>0</v>
      </c>
      <c r="AR229" s="289">
        <f t="shared" si="122"/>
        <v>0</v>
      </c>
      <c r="AS229" s="287"/>
      <c r="AT229" s="287"/>
      <c r="AU229" s="290">
        <f>'Unit Savings Calculations'!Q225</f>
        <v>9.0407613085908682</v>
      </c>
      <c r="AV229" s="287" t="str">
        <f t="shared" si="109"/>
        <v>n/a</v>
      </c>
      <c r="AW229" s="292">
        <f t="shared" si="123"/>
        <v>0</v>
      </c>
      <c r="AX229" s="289">
        <f t="shared" si="124"/>
        <v>0</v>
      </c>
      <c r="AY229" s="292">
        <f t="shared" si="110"/>
        <v>0</v>
      </c>
      <c r="AZ229" s="292">
        <f t="shared" si="111"/>
        <v>0</v>
      </c>
      <c r="BA229" s="292">
        <f t="shared" si="112"/>
        <v>0</v>
      </c>
      <c r="BB229" s="292">
        <f t="shared" si="113"/>
        <v>0</v>
      </c>
      <c r="BC229" s="294">
        <f t="shared" si="114"/>
        <v>0</v>
      </c>
      <c r="BD229" s="287" t="s">
        <v>764</v>
      </c>
      <c r="BE229" s="295" t="str">
        <f t="shared" si="115"/>
        <v>Exhibit 1.5B_R Peoples Gas EEPS_Adjustable_Savings_Goal_Template.xlsx, Unit Savings Calculations Tab</v>
      </c>
      <c r="BF229" s="297"/>
    </row>
    <row r="230" spans="1:58" ht="13.5" customHeight="1">
      <c r="A230" s="287" t="str">
        <f>'Unit Savings Calculations'!C226</f>
        <v>Bus - SB Rebates -PTA</v>
      </c>
      <c r="B230" s="287" t="str">
        <f>'Unit Savings Calculations'!D226</f>
        <v>Pipe Insulation - Steam - Small 1" to 2"</v>
      </c>
      <c r="C230" s="288">
        <f t="shared" si="125"/>
        <v>1</v>
      </c>
      <c r="D230" s="287" t="str">
        <f>'Unit Savings Calculations'!T226</f>
        <v>4.4.14</v>
      </c>
      <c r="E230" s="287">
        <f>INDEX('Unit Savings Calculations'!$H$4:$H$421,MATCH('Measure-Level Adjustments Tab'!$A230&amp;"_"&amp;'Measure-Level Adjustments Tab'!$B230,'Unit Savings Calculations'!$A$4:$A$421,0))</f>
        <v>15</v>
      </c>
      <c r="F230" s="287">
        <f>INDEX('Unit Savings Calculations'!$I$4:$I$421,MATCH('Measure-Level Adjustments Tab'!A230&amp;"_"&amp;'Measure-Level Adjustments Tab'!B230,'Unit Savings Calculations'!$A$4:$A$421,0))</f>
        <v>15</v>
      </c>
      <c r="G230" s="287" t="str">
        <f>'Unit Savings Calculations'!E226</f>
        <v>ft</v>
      </c>
      <c r="H230" s="289">
        <f>'Unit Savings Calculations'!$F226*'Unit Savings Calculations'!J226</f>
        <v>2250</v>
      </c>
      <c r="I230" s="289">
        <f>'Unit Savings Calculations'!$F226*'Unit Savings Calculations'!K226</f>
        <v>2250</v>
      </c>
      <c r="J230" s="289">
        <f>'Unit Savings Calculations'!$F226*'Unit Savings Calculations'!L226</f>
        <v>2250</v>
      </c>
      <c r="K230" s="289">
        <f>'Unit Savings Calculations'!$F226*'Unit Savings Calculations'!M226</f>
        <v>2250</v>
      </c>
      <c r="L230" s="287" t="str">
        <f>'Unit Savings Calculations'!U226</f>
        <v>CI-HVC-PINS-V04-160601</v>
      </c>
      <c r="M230" s="363" t="s">
        <v>830</v>
      </c>
      <c r="N230" s="290">
        <v>3.1854757047967208</v>
      </c>
      <c r="O230" s="290">
        <v>3.1854757047967208</v>
      </c>
      <c r="P230" s="290">
        <v>3.1854757047967208</v>
      </c>
      <c r="Q230" s="290">
        <v>3.1854757047967208</v>
      </c>
      <c r="R230" s="291">
        <f>'Unit Savings Calculations'!$G226</f>
        <v>0.92</v>
      </c>
      <c r="S230" s="291">
        <f>'Unit Savings Calculations'!$G226</f>
        <v>0.92</v>
      </c>
      <c r="T230" s="291">
        <f>'Unit Savings Calculations'!$G226</f>
        <v>0.92</v>
      </c>
      <c r="U230" s="291">
        <f>'Unit Savings Calculations'!$G226</f>
        <v>0.92</v>
      </c>
      <c r="V230" s="292">
        <f t="shared" si="126"/>
        <v>6593.9347089292123</v>
      </c>
      <c r="W230" s="292">
        <f t="shared" si="127"/>
        <v>6593.9347089292123</v>
      </c>
      <c r="X230" s="292">
        <f t="shared" si="128"/>
        <v>6593.9347089292123</v>
      </c>
      <c r="Y230" s="292">
        <f t="shared" si="129"/>
        <v>6593.9347089292123</v>
      </c>
      <c r="Z230" s="292">
        <f t="shared" si="130"/>
        <v>26375.738835716849</v>
      </c>
      <c r="AA230" s="287"/>
      <c r="AB230" s="287"/>
      <c r="AC230" s="293">
        <f>'Unit Savings Calculations'!N226</f>
        <v>3.1854757047967208</v>
      </c>
      <c r="AD230" s="287"/>
      <c r="AE230" s="292">
        <f t="shared" si="116"/>
        <v>6593.9347089292123</v>
      </c>
      <c r="AF230" s="289">
        <f t="shared" si="117"/>
        <v>0</v>
      </c>
      <c r="AG230" s="287"/>
      <c r="AH230" s="287">
        <f t="shared" si="118"/>
        <v>0</v>
      </c>
      <c r="AI230" s="290">
        <f>'Unit Savings Calculations'!O226</f>
        <v>3.1854757047967208</v>
      </c>
      <c r="AJ230" s="287" t="s">
        <v>872</v>
      </c>
      <c r="AK230" s="292">
        <f t="shared" si="119"/>
        <v>6593.9347089292123</v>
      </c>
      <c r="AL230" s="289">
        <f t="shared" si="120"/>
        <v>0</v>
      </c>
      <c r="AM230" s="287"/>
      <c r="AN230" s="287"/>
      <c r="AO230" s="290">
        <f>'Unit Savings Calculations'!P226</f>
        <v>3.1854757047967208</v>
      </c>
      <c r="AP230" s="287" t="s">
        <v>764</v>
      </c>
      <c r="AQ230" s="292">
        <f t="shared" si="121"/>
        <v>6593.9347089292123</v>
      </c>
      <c r="AR230" s="289">
        <f t="shared" si="122"/>
        <v>0</v>
      </c>
      <c r="AS230" s="287"/>
      <c r="AT230" s="287"/>
      <c r="AU230" s="290">
        <f>'Unit Savings Calculations'!Q226</f>
        <v>3.1854757047967208</v>
      </c>
      <c r="AV230" s="287" t="str">
        <f t="shared" si="109"/>
        <v>n/a</v>
      </c>
      <c r="AW230" s="292">
        <f t="shared" si="123"/>
        <v>6593.9347089292123</v>
      </c>
      <c r="AX230" s="289">
        <f t="shared" si="124"/>
        <v>0</v>
      </c>
      <c r="AY230" s="292">
        <f t="shared" si="110"/>
        <v>6593.9347089292123</v>
      </c>
      <c r="AZ230" s="292">
        <f t="shared" si="111"/>
        <v>6593.9347089292123</v>
      </c>
      <c r="BA230" s="292">
        <f t="shared" si="112"/>
        <v>6593.9347089292123</v>
      </c>
      <c r="BB230" s="292">
        <f t="shared" si="113"/>
        <v>6593.9347089292123</v>
      </c>
      <c r="BC230" s="294">
        <f t="shared" si="114"/>
        <v>26375.738835716849</v>
      </c>
      <c r="BD230" s="287" t="s">
        <v>764</v>
      </c>
      <c r="BE230" s="295" t="str">
        <f t="shared" si="115"/>
        <v>Exhibit 1.5B_R Peoples Gas EEPS_Adjustable_Savings_Goal_Template.xlsx, Unit Savings Calculations Tab</v>
      </c>
      <c r="BF230" s="297"/>
    </row>
    <row r="231" spans="1:58" ht="13.5" customHeight="1">
      <c r="A231" s="287" t="str">
        <f>'Unit Savings Calculations'!C227</f>
        <v>Bus - SB Rebates -PTA</v>
      </c>
      <c r="B231" s="287" t="str">
        <f>'Unit Savings Calculations'!D227</f>
        <v>Pipe Insulation - Steam - Med 2.1" to 5"</v>
      </c>
      <c r="C231" s="288">
        <f t="shared" si="125"/>
        <v>1</v>
      </c>
      <c r="D231" s="287" t="str">
        <f>'Unit Savings Calculations'!T227</f>
        <v>4.4.14</v>
      </c>
      <c r="E231" s="287">
        <f>INDEX('Unit Savings Calculations'!$H$4:$H$421,MATCH('Measure-Level Adjustments Tab'!$A231&amp;"_"&amp;'Measure-Level Adjustments Tab'!$B231,'Unit Savings Calculations'!$A$4:$A$421,0))</f>
        <v>15</v>
      </c>
      <c r="F231" s="287">
        <f>INDEX('Unit Savings Calculations'!$I$4:$I$421,MATCH('Measure-Level Adjustments Tab'!A231&amp;"_"&amp;'Measure-Level Adjustments Tab'!B231,'Unit Savings Calculations'!$A$4:$A$421,0))</f>
        <v>15</v>
      </c>
      <c r="G231" s="287" t="str">
        <f>'Unit Savings Calculations'!E227</f>
        <v>ft</v>
      </c>
      <c r="H231" s="289">
        <f>'Unit Savings Calculations'!$F227*'Unit Savings Calculations'!J227</f>
        <v>1650</v>
      </c>
      <c r="I231" s="289">
        <f>'Unit Savings Calculations'!$F227*'Unit Savings Calculations'!K227</f>
        <v>1650</v>
      </c>
      <c r="J231" s="289">
        <f>'Unit Savings Calculations'!$F227*'Unit Savings Calculations'!L227</f>
        <v>1650</v>
      </c>
      <c r="K231" s="289">
        <f>'Unit Savings Calculations'!$F227*'Unit Savings Calculations'!M227</f>
        <v>1650</v>
      </c>
      <c r="L231" s="287" t="str">
        <f>'Unit Savings Calculations'!U227</f>
        <v>CI-HVC-PINS-V04-160601</v>
      </c>
      <c r="M231" s="363" t="s">
        <v>830</v>
      </c>
      <c r="N231" s="290">
        <v>13.148126788517139</v>
      </c>
      <c r="O231" s="290">
        <v>13.148126788517139</v>
      </c>
      <c r="P231" s="290">
        <v>13.148126788517139</v>
      </c>
      <c r="Q231" s="290">
        <v>13.148126788517139</v>
      </c>
      <c r="R231" s="291">
        <f>'Unit Savings Calculations'!$G227</f>
        <v>0.92</v>
      </c>
      <c r="S231" s="291">
        <f>'Unit Savings Calculations'!$G227</f>
        <v>0.92</v>
      </c>
      <c r="T231" s="291">
        <f>'Unit Savings Calculations'!$G227</f>
        <v>0.92</v>
      </c>
      <c r="U231" s="291">
        <f>'Unit Savings Calculations'!$G227</f>
        <v>0.92</v>
      </c>
      <c r="V231" s="292">
        <f t="shared" si="126"/>
        <v>19958.85646496902</v>
      </c>
      <c r="W231" s="292">
        <f t="shared" si="127"/>
        <v>19958.85646496902</v>
      </c>
      <c r="X231" s="292">
        <f t="shared" si="128"/>
        <v>19958.85646496902</v>
      </c>
      <c r="Y231" s="292">
        <f t="shared" si="129"/>
        <v>19958.85646496902</v>
      </c>
      <c r="Z231" s="292">
        <f t="shared" si="130"/>
        <v>79835.425859876079</v>
      </c>
      <c r="AA231" s="287"/>
      <c r="AB231" s="287"/>
      <c r="AC231" s="293">
        <f>'Unit Savings Calculations'!N227</f>
        <v>13.148126788517139</v>
      </c>
      <c r="AD231" s="287"/>
      <c r="AE231" s="292">
        <f t="shared" si="116"/>
        <v>19958.85646496902</v>
      </c>
      <c r="AF231" s="289">
        <f t="shared" si="117"/>
        <v>0</v>
      </c>
      <c r="AG231" s="287"/>
      <c r="AH231" s="287">
        <f t="shared" si="118"/>
        <v>0</v>
      </c>
      <c r="AI231" s="290">
        <f>'Unit Savings Calculations'!O227</f>
        <v>13.148126788517139</v>
      </c>
      <c r="AJ231" s="287" t="s">
        <v>872</v>
      </c>
      <c r="AK231" s="292">
        <f t="shared" si="119"/>
        <v>19958.85646496902</v>
      </c>
      <c r="AL231" s="289">
        <f t="shared" si="120"/>
        <v>0</v>
      </c>
      <c r="AM231" s="287"/>
      <c r="AN231" s="287"/>
      <c r="AO231" s="290">
        <f>'Unit Savings Calculations'!P227</f>
        <v>13.148126788517139</v>
      </c>
      <c r="AP231" s="287" t="s">
        <v>764</v>
      </c>
      <c r="AQ231" s="292">
        <f t="shared" si="121"/>
        <v>19958.85646496902</v>
      </c>
      <c r="AR231" s="289">
        <f t="shared" si="122"/>
        <v>0</v>
      </c>
      <c r="AS231" s="287"/>
      <c r="AT231" s="287"/>
      <c r="AU231" s="290">
        <f>'Unit Savings Calculations'!Q227</f>
        <v>13.148126788517139</v>
      </c>
      <c r="AV231" s="287" t="str">
        <f t="shared" si="109"/>
        <v>n/a</v>
      </c>
      <c r="AW231" s="292">
        <f t="shared" si="123"/>
        <v>19958.85646496902</v>
      </c>
      <c r="AX231" s="289">
        <f t="shared" si="124"/>
        <v>0</v>
      </c>
      <c r="AY231" s="292">
        <f t="shared" si="110"/>
        <v>19958.85646496902</v>
      </c>
      <c r="AZ231" s="292">
        <f t="shared" si="111"/>
        <v>19958.85646496902</v>
      </c>
      <c r="BA231" s="292">
        <f t="shared" si="112"/>
        <v>19958.85646496902</v>
      </c>
      <c r="BB231" s="292">
        <f t="shared" si="113"/>
        <v>19958.85646496902</v>
      </c>
      <c r="BC231" s="294">
        <f t="shared" si="114"/>
        <v>79835.425859876079</v>
      </c>
      <c r="BD231" s="287" t="s">
        <v>764</v>
      </c>
      <c r="BE231" s="295" t="str">
        <f t="shared" si="115"/>
        <v>Exhibit 1.5B_R Peoples Gas EEPS_Adjustable_Savings_Goal_Template.xlsx, Unit Savings Calculations Tab</v>
      </c>
      <c r="BF231" s="297"/>
    </row>
    <row r="232" spans="1:58" ht="13.5" customHeight="1">
      <c r="A232" s="287" t="str">
        <f>'Unit Savings Calculations'!C228</f>
        <v>Bus - SB Rebates -PTA</v>
      </c>
      <c r="B232" s="287" t="str">
        <f>'Unit Savings Calculations'!D228</f>
        <v>Pipe Insulation - Steam - Large 5.1" to 8"</v>
      </c>
      <c r="C232" s="288">
        <f t="shared" si="125"/>
        <v>1</v>
      </c>
      <c r="D232" s="287" t="str">
        <f>'Unit Savings Calculations'!T228</f>
        <v>4.4.14</v>
      </c>
      <c r="E232" s="287">
        <f>INDEX('Unit Savings Calculations'!$H$4:$H$421,MATCH('Measure-Level Adjustments Tab'!$A232&amp;"_"&amp;'Measure-Level Adjustments Tab'!$B232,'Unit Savings Calculations'!$A$4:$A$421,0))</f>
        <v>15</v>
      </c>
      <c r="F232" s="287">
        <f>INDEX('Unit Savings Calculations'!$I$4:$I$421,MATCH('Measure-Level Adjustments Tab'!A232&amp;"_"&amp;'Measure-Level Adjustments Tab'!B232,'Unit Savings Calculations'!$A$4:$A$421,0))</f>
        <v>15</v>
      </c>
      <c r="G232" s="287" t="str">
        <f>'Unit Savings Calculations'!E228</f>
        <v>ft</v>
      </c>
      <c r="H232" s="289">
        <f>'Unit Savings Calculations'!$F228*'Unit Savings Calculations'!J228</f>
        <v>750</v>
      </c>
      <c r="I232" s="289">
        <f>'Unit Savings Calculations'!$F228*'Unit Savings Calculations'!K228</f>
        <v>750</v>
      </c>
      <c r="J232" s="289">
        <f>'Unit Savings Calculations'!$F228*'Unit Savings Calculations'!L228</f>
        <v>750</v>
      </c>
      <c r="K232" s="289">
        <f>'Unit Savings Calculations'!$F228*'Unit Savings Calculations'!M228</f>
        <v>750</v>
      </c>
      <c r="L232" s="287" t="str">
        <f>'Unit Savings Calculations'!U228</f>
        <v>CI-HVC-PINS-V04-160601</v>
      </c>
      <c r="M232" s="363" t="s">
        <v>830</v>
      </c>
      <c r="N232" s="290">
        <v>24.25563238537794</v>
      </c>
      <c r="O232" s="290">
        <v>24.25563238537794</v>
      </c>
      <c r="P232" s="290">
        <v>24.25563238537794</v>
      </c>
      <c r="Q232" s="290">
        <v>24.25563238537794</v>
      </c>
      <c r="R232" s="291">
        <f>'Unit Savings Calculations'!$G228</f>
        <v>0.92</v>
      </c>
      <c r="S232" s="291">
        <f>'Unit Savings Calculations'!$G228</f>
        <v>0.92</v>
      </c>
      <c r="T232" s="291">
        <f>'Unit Savings Calculations'!$G228</f>
        <v>0.92</v>
      </c>
      <c r="U232" s="291">
        <f>'Unit Savings Calculations'!$G228</f>
        <v>0.92</v>
      </c>
      <c r="V232" s="292">
        <f t="shared" si="126"/>
        <v>16736.386345910782</v>
      </c>
      <c r="W232" s="292">
        <f t="shared" si="127"/>
        <v>16736.386345910782</v>
      </c>
      <c r="X232" s="292">
        <f t="shared" si="128"/>
        <v>16736.386345910782</v>
      </c>
      <c r="Y232" s="292">
        <f t="shared" si="129"/>
        <v>16736.386345910782</v>
      </c>
      <c r="Z232" s="292">
        <f t="shared" si="130"/>
        <v>66945.545383643126</v>
      </c>
      <c r="AA232" s="287"/>
      <c r="AB232" s="287"/>
      <c r="AC232" s="293">
        <f>'Unit Savings Calculations'!N228</f>
        <v>24.25563238537794</v>
      </c>
      <c r="AD232" s="287"/>
      <c r="AE232" s="292">
        <f t="shared" si="116"/>
        <v>16736.386345910782</v>
      </c>
      <c r="AF232" s="289">
        <f t="shared" si="117"/>
        <v>0</v>
      </c>
      <c r="AG232" s="287"/>
      <c r="AH232" s="287">
        <f t="shared" si="118"/>
        <v>0</v>
      </c>
      <c r="AI232" s="290">
        <f>'Unit Savings Calculations'!O228</f>
        <v>24.25563238537794</v>
      </c>
      <c r="AJ232" s="287" t="s">
        <v>872</v>
      </c>
      <c r="AK232" s="292">
        <f t="shared" si="119"/>
        <v>16736.386345910782</v>
      </c>
      <c r="AL232" s="289">
        <f t="shared" si="120"/>
        <v>0</v>
      </c>
      <c r="AM232" s="287"/>
      <c r="AN232" s="287"/>
      <c r="AO232" s="290">
        <f>'Unit Savings Calculations'!P228</f>
        <v>24.25563238537794</v>
      </c>
      <c r="AP232" s="287" t="s">
        <v>764</v>
      </c>
      <c r="AQ232" s="292">
        <f t="shared" si="121"/>
        <v>16736.386345910782</v>
      </c>
      <c r="AR232" s="289">
        <f t="shared" si="122"/>
        <v>0</v>
      </c>
      <c r="AS232" s="287"/>
      <c r="AT232" s="287"/>
      <c r="AU232" s="290">
        <f>'Unit Savings Calculations'!Q228</f>
        <v>24.25563238537794</v>
      </c>
      <c r="AV232" s="287" t="str">
        <f t="shared" si="109"/>
        <v>n/a</v>
      </c>
      <c r="AW232" s="292">
        <f t="shared" si="123"/>
        <v>16736.386345910782</v>
      </c>
      <c r="AX232" s="289">
        <f t="shared" si="124"/>
        <v>0</v>
      </c>
      <c r="AY232" s="292">
        <f t="shared" si="110"/>
        <v>16736.386345910782</v>
      </c>
      <c r="AZ232" s="292">
        <f t="shared" si="111"/>
        <v>16736.386345910782</v>
      </c>
      <c r="BA232" s="292">
        <f t="shared" si="112"/>
        <v>16736.386345910782</v>
      </c>
      <c r="BB232" s="292">
        <f t="shared" si="113"/>
        <v>16736.386345910782</v>
      </c>
      <c r="BC232" s="294">
        <f t="shared" si="114"/>
        <v>66945.545383643126</v>
      </c>
      <c r="BD232" s="287" t="s">
        <v>764</v>
      </c>
      <c r="BE232" s="295" t="str">
        <f t="shared" si="115"/>
        <v>Exhibit 1.5B_R Peoples Gas EEPS_Adjustable_Savings_Goal_Template.xlsx, Unit Savings Calculations Tab</v>
      </c>
      <c r="BF232" s="297"/>
    </row>
    <row r="233" spans="1:58" ht="13.5" customHeight="1">
      <c r="A233" s="287" t="str">
        <f>'Unit Savings Calculations'!C229</f>
        <v>Bus - SB Rebates -PTA</v>
      </c>
      <c r="B233" s="287" t="str">
        <f>'Unit Savings Calculations'!D229</f>
        <v>Pipe Insulation - Steam - X-Large &gt;8"</v>
      </c>
      <c r="C233" s="288">
        <f t="shared" si="125"/>
        <v>1</v>
      </c>
      <c r="D233" s="287" t="str">
        <f>'Unit Savings Calculations'!T229</f>
        <v>4.4.14</v>
      </c>
      <c r="E233" s="287">
        <f>INDEX('Unit Savings Calculations'!$H$4:$H$421,MATCH('Measure-Level Adjustments Tab'!$A233&amp;"_"&amp;'Measure-Level Adjustments Tab'!$B233,'Unit Savings Calculations'!$A$4:$A$421,0))</f>
        <v>15</v>
      </c>
      <c r="F233" s="287">
        <f>INDEX('Unit Savings Calculations'!$I$4:$I$421,MATCH('Measure-Level Adjustments Tab'!A233&amp;"_"&amp;'Measure-Level Adjustments Tab'!B233,'Unit Savings Calculations'!$A$4:$A$421,0))</f>
        <v>15</v>
      </c>
      <c r="G233" s="287" t="str">
        <f>'Unit Savings Calculations'!E229</f>
        <v>ft</v>
      </c>
      <c r="H233" s="289">
        <f>'Unit Savings Calculations'!$F229*'Unit Savings Calculations'!J229</f>
        <v>300</v>
      </c>
      <c r="I233" s="289">
        <f>'Unit Savings Calculations'!$F229*'Unit Savings Calculations'!K229</f>
        <v>300</v>
      </c>
      <c r="J233" s="289">
        <f>'Unit Savings Calculations'!$F229*'Unit Savings Calculations'!L229</f>
        <v>300</v>
      </c>
      <c r="K233" s="289">
        <f>'Unit Savings Calculations'!$F229*'Unit Savings Calculations'!M229</f>
        <v>300</v>
      </c>
      <c r="L233" s="287" t="str">
        <f>'Unit Savings Calculations'!U229</f>
        <v>CI-HVC-PINS-V04-160601</v>
      </c>
      <c r="M233" s="363" t="s">
        <v>830</v>
      </c>
      <c r="N233" s="290">
        <v>35.984797966765058</v>
      </c>
      <c r="O233" s="290">
        <v>35.984797966765058</v>
      </c>
      <c r="P233" s="290">
        <v>35.984797966765058</v>
      </c>
      <c r="Q233" s="290">
        <v>35.984797966765058</v>
      </c>
      <c r="R233" s="291">
        <f>'Unit Savings Calculations'!$G229</f>
        <v>0.92</v>
      </c>
      <c r="S233" s="291">
        <f>'Unit Savings Calculations'!$G229</f>
        <v>0.92</v>
      </c>
      <c r="T233" s="291">
        <f>'Unit Savings Calculations'!$G229</f>
        <v>0.92</v>
      </c>
      <c r="U233" s="291">
        <f>'Unit Savings Calculations'!$G229</f>
        <v>0.92</v>
      </c>
      <c r="V233" s="292">
        <f t="shared" si="126"/>
        <v>9931.804238827157</v>
      </c>
      <c r="W233" s="292">
        <f t="shared" si="127"/>
        <v>9931.804238827157</v>
      </c>
      <c r="X233" s="292">
        <f t="shared" si="128"/>
        <v>9931.804238827157</v>
      </c>
      <c r="Y233" s="292">
        <f t="shared" si="129"/>
        <v>9931.804238827157</v>
      </c>
      <c r="Z233" s="292">
        <f t="shared" si="130"/>
        <v>39727.216955308628</v>
      </c>
      <c r="AA233" s="287"/>
      <c r="AB233" s="287"/>
      <c r="AC233" s="293">
        <f>'Unit Savings Calculations'!N229</f>
        <v>35.984797966765058</v>
      </c>
      <c r="AD233" s="287"/>
      <c r="AE233" s="292">
        <f t="shared" si="116"/>
        <v>9931.804238827157</v>
      </c>
      <c r="AF233" s="289">
        <f t="shared" si="117"/>
        <v>0</v>
      </c>
      <c r="AG233" s="287"/>
      <c r="AH233" s="287">
        <f t="shared" si="118"/>
        <v>0</v>
      </c>
      <c r="AI233" s="290">
        <f>'Unit Savings Calculations'!O229</f>
        <v>35.984797966765058</v>
      </c>
      <c r="AJ233" s="287" t="s">
        <v>872</v>
      </c>
      <c r="AK233" s="292">
        <f t="shared" si="119"/>
        <v>9931.804238827157</v>
      </c>
      <c r="AL233" s="289">
        <f t="shared" si="120"/>
        <v>0</v>
      </c>
      <c r="AM233" s="287"/>
      <c r="AN233" s="287"/>
      <c r="AO233" s="290">
        <f>'Unit Savings Calculations'!P229</f>
        <v>35.984797966765058</v>
      </c>
      <c r="AP233" s="287" t="s">
        <v>764</v>
      </c>
      <c r="AQ233" s="292">
        <f t="shared" si="121"/>
        <v>9931.804238827157</v>
      </c>
      <c r="AR233" s="289">
        <f t="shared" si="122"/>
        <v>0</v>
      </c>
      <c r="AS233" s="287"/>
      <c r="AT233" s="287"/>
      <c r="AU233" s="290">
        <f>'Unit Savings Calculations'!Q229</f>
        <v>35.984797966765058</v>
      </c>
      <c r="AV233" s="287" t="str">
        <f t="shared" si="109"/>
        <v>n/a</v>
      </c>
      <c r="AW233" s="292">
        <f t="shared" si="123"/>
        <v>9931.804238827157</v>
      </c>
      <c r="AX233" s="289">
        <f t="shared" si="124"/>
        <v>0</v>
      </c>
      <c r="AY233" s="292">
        <f t="shared" si="110"/>
        <v>9931.804238827157</v>
      </c>
      <c r="AZ233" s="292">
        <f t="shared" si="111"/>
        <v>9931.804238827157</v>
      </c>
      <c r="BA233" s="292">
        <f t="shared" si="112"/>
        <v>9931.804238827157</v>
      </c>
      <c r="BB233" s="292">
        <f t="shared" si="113"/>
        <v>9931.804238827157</v>
      </c>
      <c r="BC233" s="294">
        <f t="shared" si="114"/>
        <v>39727.216955308628</v>
      </c>
      <c r="BD233" s="287" t="s">
        <v>764</v>
      </c>
      <c r="BE233" s="295" t="str">
        <f t="shared" si="115"/>
        <v>Exhibit 1.5B_R Peoples Gas EEPS_Adjustable_Savings_Goal_Template.xlsx, Unit Savings Calculations Tab</v>
      </c>
      <c r="BF233" s="297"/>
    </row>
    <row r="234" spans="1:58" ht="13.5" customHeight="1">
      <c r="A234" s="287" t="str">
        <f>'Unit Savings Calculations'!C230</f>
        <v>Bus - SB Rebates -PTA</v>
      </c>
      <c r="B234" s="287" t="str">
        <f>'Unit Savings Calculations'!D230</f>
        <v>Pipe Insulation - Steam Med Fitting</v>
      </c>
      <c r="C234" s="288">
        <f t="shared" si="125"/>
        <v>1</v>
      </c>
      <c r="D234" s="287" t="str">
        <f>'Unit Savings Calculations'!T230</f>
        <v>4.4.14</v>
      </c>
      <c r="E234" s="287">
        <f>INDEX('Unit Savings Calculations'!$H$4:$H$421,MATCH('Measure-Level Adjustments Tab'!$A234&amp;"_"&amp;'Measure-Level Adjustments Tab'!$B234,'Unit Savings Calculations'!$A$4:$A$421,0))</f>
        <v>15</v>
      </c>
      <c r="F234" s="287">
        <f>INDEX('Unit Savings Calculations'!$I$4:$I$421,MATCH('Measure-Level Adjustments Tab'!A234&amp;"_"&amp;'Measure-Level Adjustments Tab'!B234,'Unit Savings Calculations'!$A$4:$A$421,0))</f>
        <v>15</v>
      </c>
      <c r="G234" s="287" t="str">
        <f>'Unit Savings Calculations'!E230</f>
        <v>each</v>
      </c>
      <c r="H234" s="289">
        <f>'Unit Savings Calculations'!$F230*'Unit Savings Calculations'!J230</f>
        <v>90</v>
      </c>
      <c r="I234" s="289">
        <f>'Unit Savings Calculations'!$F230*'Unit Savings Calculations'!K230</f>
        <v>90</v>
      </c>
      <c r="J234" s="289">
        <f>'Unit Savings Calculations'!$F230*'Unit Savings Calculations'!L230</f>
        <v>90</v>
      </c>
      <c r="K234" s="289">
        <f>'Unit Savings Calculations'!$F230*'Unit Savings Calculations'!M230</f>
        <v>90</v>
      </c>
      <c r="L234" s="287" t="str">
        <f>'Unit Savings Calculations'!U230</f>
        <v>CI-HVC-PINS-V04-160601</v>
      </c>
      <c r="M234" s="363" t="s">
        <v>830</v>
      </c>
      <c r="N234" s="290">
        <v>12.515179237984789</v>
      </c>
      <c r="O234" s="290">
        <v>12.515179237984789</v>
      </c>
      <c r="P234" s="290">
        <v>12.515179237984789</v>
      </c>
      <c r="Q234" s="290">
        <v>12.515179237984789</v>
      </c>
      <c r="R234" s="291">
        <f>'Unit Savings Calculations'!$G230</f>
        <v>0.92</v>
      </c>
      <c r="S234" s="291">
        <f>'Unit Savings Calculations'!$G230</f>
        <v>0.92</v>
      </c>
      <c r="T234" s="291">
        <f>'Unit Savings Calculations'!$G230</f>
        <v>0.92</v>
      </c>
      <c r="U234" s="291">
        <f>'Unit Savings Calculations'!$G230</f>
        <v>0.92</v>
      </c>
      <c r="V234" s="292">
        <f t="shared" si="126"/>
        <v>1036.2568409051407</v>
      </c>
      <c r="W234" s="292">
        <f t="shared" si="127"/>
        <v>1036.2568409051407</v>
      </c>
      <c r="X234" s="292">
        <f t="shared" si="128"/>
        <v>1036.2568409051407</v>
      </c>
      <c r="Y234" s="292">
        <f t="shared" si="129"/>
        <v>1036.2568409051407</v>
      </c>
      <c r="Z234" s="292">
        <f t="shared" si="130"/>
        <v>4145.0273636205629</v>
      </c>
      <c r="AA234" s="287"/>
      <c r="AB234" s="287"/>
      <c r="AC234" s="293">
        <f>'Unit Savings Calculations'!N230</f>
        <v>12.515179237984789</v>
      </c>
      <c r="AD234" s="287"/>
      <c r="AE234" s="292">
        <f t="shared" si="116"/>
        <v>1036.2568409051407</v>
      </c>
      <c r="AF234" s="289">
        <f t="shared" si="117"/>
        <v>0</v>
      </c>
      <c r="AG234" s="287"/>
      <c r="AH234" s="287">
        <f t="shared" si="118"/>
        <v>0</v>
      </c>
      <c r="AI234" s="290">
        <f>'Unit Savings Calculations'!O230</f>
        <v>12.515179237984789</v>
      </c>
      <c r="AJ234" s="287" t="s">
        <v>872</v>
      </c>
      <c r="AK234" s="292">
        <f t="shared" si="119"/>
        <v>1036.2568409051407</v>
      </c>
      <c r="AL234" s="289">
        <f t="shared" si="120"/>
        <v>0</v>
      </c>
      <c r="AM234" s="287"/>
      <c r="AN234" s="287"/>
      <c r="AO234" s="290">
        <f>'Unit Savings Calculations'!P230</f>
        <v>12.515179237984789</v>
      </c>
      <c r="AP234" s="287" t="s">
        <v>764</v>
      </c>
      <c r="AQ234" s="292">
        <f t="shared" si="121"/>
        <v>1036.2568409051407</v>
      </c>
      <c r="AR234" s="289">
        <f t="shared" si="122"/>
        <v>0</v>
      </c>
      <c r="AS234" s="287"/>
      <c r="AT234" s="287"/>
      <c r="AU234" s="290">
        <f>'Unit Savings Calculations'!Q230</f>
        <v>12.515179237984789</v>
      </c>
      <c r="AV234" s="287" t="str">
        <f t="shared" si="109"/>
        <v>n/a</v>
      </c>
      <c r="AW234" s="292">
        <f t="shared" si="123"/>
        <v>1036.2568409051407</v>
      </c>
      <c r="AX234" s="289">
        <f t="shared" si="124"/>
        <v>0</v>
      </c>
      <c r="AY234" s="292">
        <f t="shared" si="110"/>
        <v>1036.2568409051407</v>
      </c>
      <c r="AZ234" s="292">
        <f t="shared" si="111"/>
        <v>1036.2568409051407</v>
      </c>
      <c r="BA234" s="292">
        <f t="shared" si="112"/>
        <v>1036.2568409051407</v>
      </c>
      <c r="BB234" s="292">
        <f t="shared" si="113"/>
        <v>1036.2568409051407</v>
      </c>
      <c r="BC234" s="294">
        <f t="shared" si="114"/>
        <v>4145.0273636205629</v>
      </c>
      <c r="BD234" s="287" t="s">
        <v>764</v>
      </c>
      <c r="BE234" s="295" t="str">
        <f t="shared" si="115"/>
        <v>Exhibit 1.5B_R Peoples Gas EEPS_Adjustable_Savings_Goal_Template.xlsx, Unit Savings Calculations Tab</v>
      </c>
      <c r="BF234" s="297"/>
    </row>
    <row r="235" spans="1:58" ht="13.5" customHeight="1">
      <c r="A235" s="287" t="str">
        <f>'Unit Savings Calculations'!C231</f>
        <v>Bus - SB Rebates -PTA</v>
      </c>
      <c r="B235" s="287" t="str">
        <f>'Unit Savings Calculations'!D231</f>
        <v>Pipe Insulation - Steam Large Fitting</v>
      </c>
      <c r="C235" s="288">
        <f t="shared" si="125"/>
        <v>1</v>
      </c>
      <c r="D235" s="287" t="str">
        <f>'Unit Savings Calculations'!T231</f>
        <v>4.4.14</v>
      </c>
      <c r="E235" s="287">
        <f>INDEX('Unit Savings Calculations'!$H$4:$H$421,MATCH('Measure-Level Adjustments Tab'!$A235&amp;"_"&amp;'Measure-Level Adjustments Tab'!$B235,'Unit Savings Calculations'!$A$4:$A$421,0))</f>
        <v>15</v>
      </c>
      <c r="F235" s="287">
        <f>INDEX('Unit Savings Calculations'!$I$4:$I$421,MATCH('Measure-Level Adjustments Tab'!A235&amp;"_"&amp;'Measure-Level Adjustments Tab'!B235,'Unit Savings Calculations'!$A$4:$A$421,0))</f>
        <v>15</v>
      </c>
      <c r="G235" s="287" t="str">
        <f>'Unit Savings Calculations'!E231</f>
        <v>each</v>
      </c>
      <c r="H235" s="289">
        <f>'Unit Savings Calculations'!$F231*'Unit Savings Calculations'!J231</f>
        <v>45</v>
      </c>
      <c r="I235" s="289">
        <f>'Unit Savings Calculations'!$F231*'Unit Savings Calculations'!K231</f>
        <v>45</v>
      </c>
      <c r="J235" s="289">
        <f>'Unit Savings Calculations'!$F231*'Unit Savings Calculations'!L231</f>
        <v>45</v>
      </c>
      <c r="K235" s="289">
        <f>'Unit Savings Calculations'!$F231*'Unit Savings Calculations'!M231</f>
        <v>45</v>
      </c>
      <c r="L235" s="287" t="str">
        <f>'Unit Savings Calculations'!U231</f>
        <v>CI-HVC-PINS-V04-160601</v>
      </c>
      <c r="M235" s="363" t="s">
        <v>830</v>
      </c>
      <c r="N235" s="290">
        <v>51.249515380658096</v>
      </c>
      <c r="O235" s="290">
        <v>51.249515380658096</v>
      </c>
      <c r="P235" s="290">
        <v>51.249515380658096</v>
      </c>
      <c r="Q235" s="290">
        <v>51.249515380658096</v>
      </c>
      <c r="R235" s="291">
        <f>'Unit Savings Calculations'!$G231</f>
        <v>0.92</v>
      </c>
      <c r="S235" s="291">
        <f>'Unit Savings Calculations'!$G231</f>
        <v>0.92</v>
      </c>
      <c r="T235" s="291">
        <f>'Unit Savings Calculations'!$G231</f>
        <v>0.92</v>
      </c>
      <c r="U235" s="291">
        <f>'Unit Savings Calculations'!$G231</f>
        <v>0.92</v>
      </c>
      <c r="V235" s="292">
        <f t="shared" si="126"/>
        <v>2121.7299367592454</v>
      </c>
      <c r="W235" s="292">
        <f t="shared" si="127"/>
        <v>2121.7299367592454</v>
      </c>
      <c r="X235" s="292">
        <f t="shared" si="128"/>
        <v>2121.7299367592454</v>
      </c>
      <c r="Y235" s="292">
        <f t="shared" si="129"/>
        <v>2121.7299367592454</v>
      </c>
      <c r="Z235" s="292">
        <f t="shared" si="130"/>
        <v>8486.9197470369818</v>
      </c>
      <c r="AA235" s="287"/>
      <c r="AB235" s="287"/>
      <c r="AC235" s="293">
        <f>'Unit Savings Calculations'!N231</f>
        <v>51.249515380658096</v>
      </c>
      <c r="AD235" s="287"/>
      <c r="AE235" s="292">
        <f t="shared" si="116"/>
        <v>2121.7299367592454</v>
      </c>
      <c r="AF235" s="289">
        <f t="shared" si="117"/>
        <v>0</v>
      </c>
      <c r="AG235" s="287"/>
      <c r="AH235" s="287">
        <f t="shared" si="118"/>
        <v>0</v>
      </c>
      <c r="AI235" s="290">
        <f>'Unit Savings Calculations'!O231</f>
        <v>51.249515380658096</v>
      </c>
      <c r="AJ235" s="287" t="s">
        <v>872</v>
      </c>
      <c r="AK235" s="292">
        <f t="shared" si="119"/>
        <v>2121.7299367592454</v>
      </c>
      <c r="AL235" s="289">
        <f t="shared" si="120"/>
        <v>0</v>
      </c>
      <c r="AM235" s="287"/>
      <c r="AN235" s="287"/>
      <c r="AO235" s="290">
        <f>'Unit Savings Calculations'!P231</f>
        <v>51.249515380658096</v>
      </c>
      <c r="AP235" s="287" t="s">
        <v>764</v>
      </c>
      <c r="AQ235" s="292">
        <f t="shared" si="121"/>
        <v>2121.7299367592454</v>
      </c>
      <c r="AR235" s="289">
        <f t="shared" si="122"/>
        <v>0</v>
      </c>
      <c r="AS235" s="287"/>
      <c r="AT235" s="287"/>
      <c r="AU235" s="290">
        <f>'Unit Savings Calculations'!Q231</f>
        <v>51.249515380658096</v>
      </c>
      <c r="AV235" s="287" t="str">
        <f t="shared" si="109"/>
        <v>n/a</v>
      </c>
      <c r="AW235" s="292">
        <f t="shared" si="123"/>
        <v>2121.7299367592454</v>
      </c>
      <c r="AX235" s="289">
        <f t="shared" si="124"/>
        <v>0</v>
      </c>
      <c r="AY235" s="292">
        <f t="shared" si="110"/>
        <v>2121.7299367592454</v>
      </c>
      <c r="AZ235" s="292">
        <f t="shared" si="111"/>
        <v>2121.7299367592454</v>
      </c>
      <c r="BA235" s="292">
        <f t="shared" si="112"/>
        <v>2121.7299367592454</v>
      </c>
      <c r="BB235" s="292">
        <f t="shared" si="113"/>
        <v>2121.7299367592454</v>
      </c>
      <c r="BC235" s="294">
        <f t="shared" si="114"/>
        <v>8486.9197470369818</v>
      </c>
      <c r="BD235" s="287" t="s">
        <v>764</v>
      </c>
      <c r="BE235" s="295" t="str">
        <f t="shared" si="115"/>
        <v>Exhibit 1.5B_R Peoples Gas EEPS_Adjustable_Savings_Goal_Template.xlsx, Unit Savings Calculations Tab</v>
      </c>
      <c r="BF235" s="297"/>
    </row>
    <row r="236" spans="1:58" ht="13.5" customHeight="1">
      <c r="A236" s="287" t="str">
        <f>'Unit Savings Calculations'!C232</f>
        <v>Bus - SB Rebates -PTA</v>
      </c>
      <c r="B236" s="287" t="str">
        <f>'Unit Savings Calculations'!D232</f>
        <v>Pipe Insulation - Steam X-Large Fitting</v>
      </c>
      <c r="C236" s="288">
        <f t="shared" si="125"/>
        <v>1</v>
      </c>
      <c r="D236" s="287" t="str">
        <f>'Unit Savings Calculations'!T232</f>
        <v>4.4.14</v>
      </c>
      <c r="E236" s="287">
        <f>INDEX('Unit Savings Calculations'!$H$4:$H$421,MATCH('Measure-Level Adjustments Tab'!$A236&amp;"_"&amp;'Measure-Level Adjustments Tab'!$B236,'Unit Savings Calculations'!$A$4:$A$421,0))</f>
        <v>15</v>
      </c>
      <c r="F236" s="287">
        <f>INDEX('Unit Savings Calculations'!$I$4:$I$421,MATCH('Measure-Level Adjustments Tab'!A236&amp;"_"&amp;'Measure-Level Adjustments Tab'!B236,'Unit Savings Calculations'!$A$4:$A$421,0))</f>
        <v>15</v>
      </c>
      <c r="G236" s="287" t="str">
        <f>'Unit Savings Calculations'!E232</f>
        <v>each</v>
      </c>
      <c r="H236" s="289">
        <f>'Unit Savings Calculations'!$F232*'Unit Savings Calculations'!J232</f>
        <v>8</v>
      </c>
      <c r="I236" s="289">
        <f>'Unit Savings Calculations'!$F232*'Unit Savings Calculations'!K232</f>
        <v>8</v>
      </c>
      <c r="J236" s="289">
        <f>'Unit Savings Calculations'!$F232*'Unit Savings Calculations'!L232</f>
        <v>8</v>
      </c>
      <c r="K236" s="289">
        <f>'Unit Savings Calculations'!$F232*'Unit Savings Calculations'!M232</f>
        <v>8</v>
      </c>
      <c r="L236" s="287" t="str">
        <f>'Unit Savings Calculations'!U232</f>
        <v>CI-HVC-PINS-V04-160601</v>
      </c>
      <c r="M236" s="363" t="s">
        <v>830</v>
      </c>
      <c r="N236" s="290">
        <v>99.138118398437726</v>
      </c>
      <c r="O236" s="290">
        <v>99.138118398437726</v>
      </c>
      <c r="P236" s="290">
        <v>99.138118398437726</v>
      </c>
      <c r="Q236" s="290">
        <v>99.138118398437726</v>
      </c>
      <c r="R236" s="291">
        <f>'Unit Savings Calculations'!$G232</f>
        <v>0.92</v>
      </c>
      <c r="S236" s="291">
        <f>'Unit Savings Calculations'!$G232</f>
        <v>0.92</v>
      </c>
      <c r="T236" s="291">
        <f>'Unit Savings Calculations'!$G232</f>
        <v>0.92</v>
      </c>
      <c r="U236" s="291">
        <f>'Unit Savings Calculations'!$G232</f>
        <v>0.92</v>
      </c>
      <c r="V236" s="292">
        <f t="shared" si="126"/>
        <v>729.6565514125017</v>
      </c>
      <c r="W236" s="292">
        <f t="shared" si="127"/>
        <v>729.6565514125017</v>
      </c>
      <c r="X236" s="292">
        <f t="shared" si="128"/>
        <v>729.6565514125017</v>
      </c>
      <c r="Y236" s="292">
        <f t="shared" si="129"/>
        <v>729.6565514125017</v>
      </c>
      <c r="Z236" s="292">
        <f t="shared" si="130"/>
        <v>2918.6262056500068</v>
      </c>
      <c r="AA236" s="287"/>
      <c r="AB236" s="287"/>
      <c r="AC236" s="293">
        <f>'Unit Savings Calculations'!N232</f>
        <v>99.138118398437726</v>
      </c>
      <c r="AD236" s="287"/>
      <c r="AE236" s="292">
        <f t="shared" si="116"/>
        <v>729.6565514125017</v>
      </c>
      <c r="AF236" s="289">
        <f t="shared" si="117"/>
        <v>0</v>
      </c>
      <c r="AG236" s="287"/>
      <c r="AH236" s="287">
        <f t="shared" si="118"/>
        <v>0</v>
      </c>
      <c r="AI236" s="290">
        <f>'Unit Savings Calculations'!O232</f>
        <v>99.138118398437726</v>
      </c>
      <c r="AJ236" s="287" t="s">
        <v>872</v>
      </c>
      <c r="AK236" s="292">
        <f t="shared" si="119"/>
        <v>729.6565514125017</v>
      </c>
      <c r="AL236" s="289">
        <f t="shared" si="120"/>
        <v>0</v>
      </c>
      <c r="AM236" s="287"/>
      <c r="AN236" s="287"/>
      <c r="AO236" s="290">
        <f>'Unit Savings Calculations'!P232</f>
        <v>99.138118398437726</v>
      </c>
      <c r="AP236" s="287" t="s">
        <v>764</v>
      </c>
      <c r="AQ236" s="292">
        <f t="shared" si="121"/>
        <v>729.6565514125017</v>
      </c>
      <c r="AR236" s="289">
        <f t="shared" si="122"/>
        <v>0</v>
      </c>
      <c r="AS236" s="287"/>
      <c r="AT236" s="287"/>
      <c r="AU236" s="290">
        <f>'Unit Savings Calculations'!Q232</f>
        <v>99.138118398437726</v>
      </c>
      <c r="AV236" s="287" t="str">
        <f t="shared" si="109"/>
        <v>n/a</v>
      </c>
      <c r="AW236" s="292">
        <f t="shared" si="123"/>
        <v>729.6565514125017</v>
      </c>
      <c r="AX236" s="289">
        <f t="shared" si="124"/>
        <v>0</v>
      </c>
      <c r="AY236" s="292">
        <f t="shared" si="110"/>
        <v>729.6565514125017</v>
      </c>
      <c r="AZ236" s="292">
        <f t="shared" si="111"/>
        <v>729.6565514125017</v>
      </c>
      <c r="BA236" s="292">
        <f t="shared" si="112"/>
        <v>729.6565514125017</v>
      </c>
      <c r="BB236" s="292">
        <f t="shared" si="113"/>
        <v>729.6565514125017</v>
      </c>
      <c r="BC236" s="294">
        <f t="shared" si="114"/>
        <v>2918.6262056500068</v>
      </c>
      <c r="BD236" s="287" t="s">
        <v>764</v>
      </c>
      <c r="BE236" s="295" t="str">
        <f t="shared" si="115"/>
        <v>Exhibit 1.5B_R Peoples Gas EEPS_Adjustable_Savings_Goal_Template.xlsx, Unit Savings Calculations Tab</v>
      </c>
      <c r="BF236" s="297"/>
    </row>
    <row r="237" spans="1:58" ht="13.5" customHeight="1">
      <c r="A237" s="287" t="str">
        <f>'Unit Savings Calculations'!C233</f>
        <v>Bus - SB Rebates -PTA</v>
      </c>
      <c r="B237" s="287" t="str">
        <f>'Unit Savings Calculations'!D233</f>
        <v>Pipe Insulation - Steam Med Valve</v>
      </c>
      <c r="C237" s="288">
        <f t="shared" si="125"/>
        <v>1</v>
      </c>
      <c r="D237" s="287" t="str">
        <f>'Unit Savings Calculations'!T233</f>
        <v>4.4.14</v>
      </c>
      <c r="E237" s="287">
        <f>INDEX('Unit Savings Calculations'!$H$4:$H$421,MATCH('Measure-Level Adjustments Tab'!$A237&amp;"_"&amp;'Measure-Level Adjustments Tab'!$B237,'Unit Savings Calculations'!$A$4:$A$421,0))</f>
        <v>15</v>
      </c>
      <c r="F237" s="287">
        <f>INDEX('Unit Savings Calculations'!$I$4:$I$421,MATCH('Measure-Level Adjustments Tab'!A237&amp;"_"&amp;'Measure-Level Adjustments Tab'!B237,'Unit Savings Calculations'!$A$4:$A$421,0))</f>
        <v>15</v>
      </c>
      <c r="G237" s="287" t="str">
        <f>'Unit Savings Calculations'!E233</f>
        <v>each</v>
      </c>
      <c r="H237" s="289">
        <f>'Unit Savings Calculations'!$F233*'Unit Savings Calculations'!J233</f>
        <v>22</v>
      </c>
      <c r="I237" s="289">
        <f>'Unit Savings Calculations'!$F233*'Unit Savings Calculations'!K233</f>
        <v>22</v>
      </c>
      <c r="J237" s="289">
        <f>'Unit Savings Calculations'!$F233*'Unit Savings Calculations'!L233</f>
        <v>22</v>
      </c>
      <c r="K237" s="289">
        <f>'Unit Savings Calculations'!$F233*'Unit Savings Calculations'!M233</f>
        <v>22</v>
      </c>
      <c r="L237" s="287" t="str">
        <f>'Unit Savings Calculations'!U233</f>
        <v>CI-HVC-PINS-V04-160601</v>
      </c>
      <c r="M237" s="363" t="s">
        <v>830</v>
      </c>
      <c r="N237" s="290">
        <v>37.423389683572815</v>
      </c>
      <c r="O237" s="290">
        <v>37.423389683572815</v>
      </c>
      <c r="P237" s="290">
        <v>37.423389683572815</v>
      </c>
      <c r="Q237" s="290">
        <v>37.423389683572815</v>
      </c>
      <c r="R237" s="291">
        <f>'Unit Savings Calculations'!$G233</f>
        <v>0.92</v>
      </c>
      <c r="S237" s="291">
        <f>'Unit Savings Calculations'!$G233</f>
        <v>0.92</v>
      </c>
      <c r="T237" s="291">
        <f>'Unit Savings Calculations'!$G233</f>
        <v>0.92</v>
      </c>
      <c r="U237" s="291">
        <f>'Unit Savings Calculations'!$G233</f>
        <v>0.92</v>
      </c>
      <c r="V237" s="292">
        <f t="shared" si="126"/>
        <v>757.4494071955138</v>
      </c>
      <c r="W237" s="292">
        <f t="shared" si="127"/>
        <v>757.4494071955138</v>
      </c>
      <c r="X237" s="292">
        <f t="shared" si="128"/>
        <v>757.4494071955138</v>
      </c>
      <c r="Y237" s="292">
        <f t="shared" si="129"/>
        <v>757.4494071955138</v>
      </c>
      <c r="Z237" s="292">
        <f t="shared" si="130"/>
        <v>3029.7976287820552</v>
      </c>
      <c r="AA237" s="287"/>
      <c r="AB237" s="287"/>
      <c r="AC237" s="293">
        <f>'Unit Savings Calculations'!N233</f>
        <v>37.423389683572815</v>
      </c>
      <c r="AD237" s="287"/>
      <c r="AE237" s="292">
        <f t="shared" si="116"/>
        <v>757.4494071955138</v>
      </c>
      <c r="AF237" s="289">
        <f t="shared" si="117"/>
        <v>0</v>
      </c>
      <c r="AG237" s="287"/>
      <c r="AH237" s="287">
        <f t="shared" si="118"/>
        <v>0</v>
      </c>
      <c r="AI237" s="290">
        <f>'Unit Savings Calculations'!O233</f>
        <v>37.423389683572815</v>
      </c>
      <c r="AJ237" s="287" t="s">
        <v>872</v>
      </c>
      <c r="AK237" s="292">
        <f t="shared" si="119"/>
        <v>757.4494071955138</v>
      </c>
      <c r="AL237" s="289">
        <f t="shared" si="120"/>
        <v>0</v>
      </c>
      <c r="AM237" s="287"/>
      <c r="AN237" s="287"/>
      <c r="AO237" s="290">
        <f>'Unit Savings Calculations'!P233</f>
        <v>37.423389683572815</v>
      </c>
      <c r="AP237" s="287" t="s">
        <v>764</v>
      </c>
      <c r="AQ237" s="292">
        <f t="shared" si="121"/>
        <v>757.4494071955138</v>
      </c>
      <c r="AR237" s="289">
        <f t="shared" si="122"/>
        <v>0</v>
      </c>
      <c r="AS237" s="287"/>
      <c r="AT237" s="287"/>
      <c r="AU237" s="290">
        <f>'Unit Savings Calculations'!Q233</f>
        <v>37.423389683572815</v>
      </c>
      <c r="AV237" s="287" t="str">
        <f t="shared" si="109"/>
        <v>n/a</v>
      </c>
      <c r="AW237" s="292">
        <f t="shared" si="123"/>
        <v>757.4494071955138</v>
      </c>
      <c r="AX237" s="289">
        <f t="shared" si="124"/>
        <v>0</v>
      </c>
      <c r="AY237" s="292">
        <f t="shared" si="110"/>
        <v>757.4494071955138</v>
      </c>
      <c r="AZ237" s="292">
        <f t="shared" si="111"/>
        <v>757.4494071955138</v>
      </c>
      <c r="BA237" s="292">
        <f t="shared" si="112"/>
        <v>757.4494071955138</v>
      </c>
      <c r="BB237" s="292">
        <f t="shared" si="113"/>
        <v>757.4494071955138</v>
      </c>
      <c r="BC237" s="294">
        <f t="shared" si="114"/>
        <v>3029.7976287820552</v>
      </c>
      <c r="BD237" s="287" t="s">
        <v>764</v>
      </c>
      <c r="BE237" s="295" t="str">
        <f t="shared" si="115"/>
        <v>Exhibit 1.5B_R Peoples Gas EEPS_Adjustable_Savings_Goal_Template.xlsx, Unit Savings Calculations Tab</v>
      </c>
      <c r="BF237" s="297"/>
    </row>
    <row r="238" spans="1:58" ht="13.5" customHeight="1">
      <c r="A238" s="287" t="str">
        <f>'Unit Savings Calculations'!C234</f>
        <v>Bus - SB Rebates -PTA</v>
      </c>
      <c r="B238" s="287" t="str">
        <f>'Unit Savings Calculations'!D234</f>
        <v>Pipe Insulation - Steam Large Valve</v>
      </c>
      <c r="C238" s="288">
        <f t="shared" si="125"/>
        <v>1</v>
      </c>
      <c r="D238" s="287" t="str">
        <f>'Unit Savings Calculations'!T234</f>
        <v>4.4.14</v>
      </c>
      <c r="E238" s="287">
        <f>INDEX('Unit Savings Calculations'!$H$4:$H$421,MATCH('Measure-Level Adjustments Tab'!$A238&amp;"_"&amp;'Measure-Level Adjustments Tab'!$B238,'Unit Savings Calculations'!$A$4:$A$421,0))</f>
        <v>15</v>
      </c>
      <c r="F238" s="287">
        <f>INDEX('Unit Savings Calculations'!$I$4:$I$421,MATCH('Measure-Level Adjustments Tab'!A238&amp;"_"&amp;'Measure-Level Adjustments Tab'!B238,'Unit Savings Calculations'!$A$4:$A$421,0))</f>
        <v>15</v>
      </c>
      <c r="G238" s="287" t="str">
        <f>'Unit Savings Calculations'!E234</f>
        <v>each</v>
      </c>
      <c r="H238" s="289">
        <f>'Unit Savings Calculations'!$F234*'Unit Savings Calculations'!J234</f>
        <v>8</v>
      </c>
      <c r="I238" s="289">
        <f>'Unit Savings Calculations'!$F234*'Unit Savings Calculations'!K234</f>
        <v>8</v>
      </c>
      <c r="J238" s="289">
        <f>'Unit Savings Calculations'!$F234*'Unit Savings Calculations'!L234</f>
        <v>8</v>
      </c>
      <c r="K238" s="289">
        <f>'Unit Savings Calculations'!$F234*'Unit Savings Calculations'!M234</f>
        <v>8</v>
      </c>
      <c r="L238" s="287" t="str">
        <f>'Unit Savings Calculations'!U234</f>
        <v>CI-HVC-PINS-V04-160601</v>
      </c>
      <c r="M238" s="363" t="s">
        <v>830</v>
      </c>
      <c r="N238" s="290">
        <v>107.52607289087437</v>
      </c>
      <c r="O238" s="290">
        <v>107.52607289087437</v>
      </c>
      <c r="P238" s="290">
        <v>107.52607289087437</v>
      </c>
      <c r="Q238" s="290">
        <v>107.52607289087437</v>
      </c>
      <c r="R238" s="291">
        <f>'Unit Savings Calculations'!$G234</f>
        <v>0.92</v>
      </c>
      <c r="S238" s="291">
        <f>'Unit Savings Calculations'!$G234</f>
        <v>0.92</v>
      </c>
      <c r="T238" s="291">
        <f>'Unit Savings Calculations'!$G234</f>
        <v>0.92</v>
      </c>
      <c r="U238" s="291">
        <f>'Unit Savings Calculations'!$G234</f>
        <v>0.92</v>
      </c>
      <c r="V238" s="292">
        <f t="shared" si="126"/>
        <v>791.39189647683543</v>
      </c>
      <c r="W238" s="292">
        <f t="shared" si="127"/>
        <v>791.39189647683543</v>
      </c>
      <c r="X238" s="292">
        <f t="shared" si="128"/>
        <v>791.39189647683543</v>
      </c>
      <c r="Y238" s="292">
        <f t="shared" si="129"/>
        <v>791.39189647683543</v>
      </c>
      <c r="Z238" s="292">
        <f t="shared" si="130"/>
        <v>3165.5675859073417</v>
      </c>
      <c r="AA238" s="287"/>
      <c r="AB238" s="287"/>
      <c r="AC238" s="293">
        <f>'Unit Savings Calculations'!N234</f>
        <v>107.52607289087437</v>
      </c>
      <c r="AD238" s="287"/>
      <c r="AE238" s="292">
        <f t="shared" si="116"/>
        <v>791.39189647683543</v>
      </c>
      <c r="AF238" s="289">
        <f t="shared" si="117"/>
        <v>0</v>
      </c>
      <c r="AG238" s="287"/>
      <c r="AH238" s="287">
        <f t="shared" si="118"/>
        <v>0</v>
      </c>
      <c r="AI238" s="290">
        <f>'Unit Savings Calculations'!O234</f>
        <v>107.52607289087437</v>
      </c>
      <c r="AJ238" s="287" t="s">
        <v>872</v>
      </c>
      <c r="AK238" s="292">
        <f t="shared" si="119"/>
        <v>791.39189647683543</v>
      </c>
      <c r="AL238" s="289">
        <f t="shared" si="120"/>
        <v>0</v>
      </c>
      <c r="AM238" s="287"/>
      <c r="AN238" s="287"/>
      <c r="AO238" s="290">
        <f>'Unit Savings Calculations'!P234</f>
        <v>107.52607289087437</v>
      </c>
      <c r="AP238" s="287" t="s">
        <v>764</v>
      </c>
      <c r="AQ238" s="292">
        <f t="shared" si="121"/>
        <v>791.39189647683543</v>
      </c>
      <c r="AR238" s="289">
        <f t="shared" si="122"/>
        <v>0</v>
      </c>
      <c r="AS238" s="287"/>
      <c r="AT238" s="287"/>
      <c r="AU238" s="290">
        <f>'Unit Savings Calculations'!Q234</f>
        <v>107.52607289087437</v>
      </c>
      <c r="AV238" s="287" t="str">
        <f t="shared" si="109"/>
        <v>n/a</v>
      </c>
      <c r="AW238" s="292">
        <f t="shared" si="123"/>
        <v>791.39189647683543</v>
      </c>
      <c r="AX238" s="289">
        <f t="shared" si="124"/>
        <v>0</v>
      </c>
      <c r="AY238" s="292">
        <f t="shared" si="110"/>
        <v>791.39189647683543</v>
      </c>
      <c r="AZ238" s="292">
        <f t="shared" si="111"/>
        <v>791.39189647683543</v>
      </c>
      <c r="BA238" s="292">
        <f t="shared" si="112"/>
        <v>791.39189647683543</v>
      </c>
      <c r="BB238" s="292">
        <f t="shared" si="113"/>
        <v>791.39189647683543</v>
      </c>
      <c r="BC238" s="294">
        <f t="shared" si="114"/>
        <v>3165.5675859073417</v>
      </c>
      <c r="BD238" s="287" t="s">
        <v>764</v>
      </c>
      <c r="BE238" s="295" t="str">
        <f t="shared" si="115"/>
        <v>Exhibit 1.5B_R Peoples Gas EEPS_Adjustable_Savings_Goal_Template.xlsx, Unit Savings Calculations Tab</v>
      </c>
      <c r="BF238" s="297"/>
    </row>
    <row r="239" spans="1:58" ht="13.5" customHeight="1">
      <c r="A239" s="287" t="str">
        <f>'Unit Savings Calculations'!C235</f>
        <v>Bus - SB Rebates -PTA</v>
      </c>
      <c r="B239" s="287" t="str">
        <f>'Unit Savings Calculations'!D235</f>
        <v>Pipe Insulation - Steam X-Large Valve</v>
      </c>
      <c r="C239" s="288">
        <f t="shared" si="125"/>
        <v>1</v>
      </c>
      <c r="D239" s="287" t="str">
        <f>'Unit Savings Calculations'!T235</f>
        <v>4.4.14</v>
      </c>
      <c r="E239" s="287">
        <f>INDEX('Unit Savings Calculations'!$H$4:$H$421,MATCH('Measure-Level Adjustments Tab'!$A239&amp;"_"&amp;'Measure-Level Adjustments Tab'!$B239,'Unit Savings Calculations'!$A$4:$A$421,0))</f>
        <v>15</v>
      </c>
      <c r="F239" s="287">
        <f>INDEX('Unit Savings Calculations'!$I$4:$I$421,MATCH('Measure-Level Adjustments Tab'!A239&amp;"_"&amp;'Measure-Level Adjustments Tab'!B239,'Unit Savings Calculations'!$A$4:$A$421,0))</f>
        <v>15</v>
      </c>
      <c r="G239" s="287" t="str">
        <f>'Unit Savings Calculations'!E235</f>
        <v>each</v>
      </c>
      <c r="H239" s="289">
        <f>'Unit Savings Calculations'!$F235*'Unit Savings Calculations'!J235</f>
        <v>8</v>
      </c>
      <c r="I239" s="289">
        <f>'Unit Savings Calculations'!$F235*'Unit Savings Calculations'!K235</f>
        <v>8</v>
      </c>
      <c r="J239" s="289">
        <f>'Unit Savings Calculations'!$F235*'Unit Savings Calculations'!L235</f>
        <v>8</v>
      </c>
      <c r="K239" s="289">
        <f>'Unit Savings Calculations'!$F235*'Unit Savings Calculations'!M235</f>
        <v>8</v>
      </c>
      <c r="L239" s="287" t="str">
        <f>'Unit Savings Calculations'!U235</f>
        <v>CI-HVC-PINS-V04-160601</v>
      </c>
      <c r="M239" s="363" t="s">
        <v>830</v>
      </c>
      <c r="N239" s="290">
        <v>175.06254164158375</v>
      </c>
      <c r="O239" s="290">
        <v>175.06254164158375</v>
      </c>
      <c r="P239" s="290">
        <v>175.06254164158375</v>
      </c>
      <c r="Q239" s="290">
        <v>175.06254164158375</v>
      </c>
      <c r="R239" s="291">
        <f>'Unit Savings Calculations'!$G235</f>
        <v>0.92</v>
      </c>
      <c r="S239" s="291">
        <f>'Unit Savings Calculations'!$G235</f>
        <v>0.92</v>
      </c>
      <c r="T239" s="291">
        <f>'Unit Savings Calculations'!$G235</f>
        <v>0.92</v>
      </c>
      <c r="U239" s="291">
        <f>'Unit Savings Calculations'!$G235</f>
        <v>0.92</v>
      </c>
      <c r="V239" s="292">
        <f t="shared" si="126"/>
        <v>1288.4603064820565</v>
      </c>
      <c r="W239" s="292">
        <f t="shared" si="127"/>
        <v>1288.4603064820565</v>
      </c>
      <c r="X239" s="292">
        <f t="shared" si="128"/>
        <v>1288.4603064820565</v>
      </c>
      <c r="Y239" s="292">
        <f t="shared" si="129"/>
        <v>1288.4603064820565</v>
      </c>
      <c r="Z239" s="292">
        <f t="shared" si="130"/>
        <v>5153.8412259282259</v>
      </c>
      <c r="AA239" s="287"/>
      <c r="AB239" s="287"/>
      <c r="AC239" s="293">
        <f>'Unit Savings Calculations'!N235</f>
        <v>175.06254164158375</v>
      </c>
      <c r="AD239" s="287"/>
      <c r="AE239" s="292">
        <f t="shared" si="116"/>
        <v>1288.4603064820565</v>
      </c>
      <c r="AF239" s="289">
        <f t="shared" si="117"/>
        <v>0</v>
      </c>
      <c r="AG239" s="287"/>
      <c r="AH239" s="287">
        <f t="shared" si="118"/>
        <v>0</v>
      </c>
      <c r="AI239" s="290">
        <f>'Unit Savings Calculations'!O235</f>
        <v>175.06254164158375</v>
      </c>
      <c r="AJ239" s="287" t="s">
        <v>872</v>
      </c>
      <c r="AK239" s="292">
        <f t="shared" si="119"/>
        <v>1288.4603064820565</v>
      </c>
      <c r="AL239" s="289">
        <f t="shared" si="120"/>
        <v>0</v>
      </c>
      <c r="AM239" s="287"/>
      <c r="AN239" s="287"/>
      <c r="AO239" s="290">
        <f>'Unit Savings Calculations'!P235</f>
        <v>175.06254164158375</v>
      </c>
      <c r="AP239" s="287" t="s">
        <v>764</v>
      </c>
      <c r="AQ239" s="292">
        <f t="shared" si="121"/>
        <v>1288.4603064820565</v>
      </c>
      <c r="AR239" s="289">
        <f t="shared" si="122"/>
        <v>0</v>
      </c>
      <c r="AS239" s="287"/>
      <c r="AT239" s="287"/>
      <c r="AU239" s="290">
        <f>'Unit Savings Calculations'!Q235</f>
        <v>175.06254164158375</v>
      </c>
      <c r="AV239" s="287" t="str">
        <f t="shared" si="109"/>
        <v>n/a</v>
      </c>
      <c r="AW239" s="292">
        <f t="shared" si="123"/>
        <v>1288.4603064820565</v>
      </c>
      <c r="AX239" s="289">
        <f t="shared" si="124"/>
        <v>0</v>
      </c>
      <c r="AY239" s="292">
        <f t="shared" si="110"/>
        <v>1288.4603064820565</v>
      </c>
      <c r="AZ239" s="292">
        <f t="shared" si="111"/>
        <v>1288.4603064820565</v>
      </c>
      <c r="BA239" s="292">
        <f t="shared" si="112"/>
        <v>1288.4603064820565</v>
      </c>
      <c r="BB239" s="292">
        <f t="shared" si="113"/>
        <v>1288.4603064820565</v>
      </c>
      <c r="BC239" s="294">
        <f t="shared" si="114"/>
        <v>5153.8412259282259</v>
      </c>
      <c r="BD239" s="287" t="s">
        <v>764</v>
      </c>
      <c r="BE239" s="295" t="str">
        <f t="shared" si="115"/>
        <v>Exhibit 1.5B_R Peoples Gas EEPS_Adjustable_Savings_Goal_Template.xlsx, Unit Savings Calculations Tab</v>
      </c>
      <c r="BF239" s="297"/>
    </row>
    <row r="240" spans="1:58" ht="13.5" customHeight="1">
      <c r="A240" s="287" t="str">
        <f>'Unit Savings Calculations'!C236</f>
        <v>Bus - SB Rebates -PTA</v>
      </c>
      <c r="B240" s="287" t="str">
        <f>'Unit Savings Calculations'!D236</f>
        <v>Pre Rinse Sprayer (P)</v>
      </c>
      <c r="C240" s="288">
        <f t="shared" si="125"/>
        <v>1</v>
      </c>
      <c r="D240" s="287" t="str">
        <f>'Unit Savings Calculations'!T236</f>
        <v>4.2.11</v>
      </c>
      <c r="E240" s="287">
        <f>INDEX('Unit Savings Calculations'!$H$4:$H$421,MATCH('Measure-Level Adjustments Tab'!$A240&amp;"_"&amp;'Measure-Level Adjustments Tab'!$B240,'Unit Savings Calculations'!$A$4:$A$421,0))</f>
        <v>5</v>
      </c>
      <c r="F240" s="287">
        <f>INDEX('Unit Savings Calculations'!$I$4:$I$421,MATCH('Measure-Level Adjustments Tab'!A240&amp;"_"&amp;'Measure-Level Adjustments Tab'!B240,'Unit Savings Calculations'!$A$4:$A$421,0))</f>
        <v>5</v>
      </c>
      <c r="G240" s="287" t="str">
        <f>'Unit Savings Calculations'!E236</f>
        <v>each</v>
      </c>
      <c r="H240" s="289">
        <f>'Unit Savings Calculations'!$F236*'Unit Savings Calculations'!J236</f>
        <v>0</v>
      </c>
      <c r="I240" s="289">
        <f>'Unit Savings Calculations'!$F236*'Unit Savings Calculations'!K236</f>
        <v>0</v>
      </c>
      <c r="J240" s="289">
        <f>'Unit Savings Calculations'!$F236*'Unit Savings Calculations'!L236</f>
        <v>0</v>
      </c>
      <c r="K240" s="289">
        <f>'Unit Savings Calculations'!$F236*'Unit Savings Calculations'!M236</f>
        <v>0</v>
      </c>
      <c r="L240" s="287" t="str">
        <f>'Unit Savings Calculations'!U236</f>
        <v>CI-FSE-SPRY-V04-180101</v>
      </c>
      <c r="M240" s="363" t="s">
        <v>830</v>
      </c>
      <c r="N240" s="290">
        <v>110.52077400000002</v>
      </c>
      <c r="O240" s="290">
        <v>110.52077400000002</v>
      </c>
      <c r="P240" s="290">
        <v>110.52077400000002</v>
      </c>
      <c r="Q240" s="290">
        <v>110.52077400000002</v>
      </c>
      <c r="R240" s="291">
        <f>'Unit Savings Calculations'!$G236</f>
        <v>0.92</v>
      </c>
      <c r="S240" s="291">
        <f>'Unit Savings Calculations'!$G236</f>
        <v>0.92</v>
      </c>
      <c r="T240" s="291">
        <f>'Unit Savings Calculations'!$G236</f>
        <v>0.92</v>
      </c>
      <c r="U240" s="291">
        <f>'Unit Savings Calculations'!$G236</f>
        <v>0.92</v>
      </c>
      <c r="V240" s="292">
        <f t="shared" si="126"/>
        <v>0</v>
      </c>
      <c r="W240" s="292">
        <f t="shared" si="127"/>
        <v>0</v>
      </c>
      <c r="X240" s="292">
        <f t="shared" si="128"/>
        <v>0</v>
      </c>
      <c r="Y240" s="292">
        <f t="shared" si="129"/>
        <v>0</v>
      </c>
      <c r="Z240" s="292">
        <f t="shared" si="130"/>
        <v>0</v>
      </c>
      <c r="AA240" s="287"/>
      <c r="AB240" s="287"/>
      <c r="AC240" s="293">
        <f>'Unit Savings Calculations'!N236</f>
        <v>51.167025000000002</v>
      </c>
      <c r="AD240" s="287"/>
      <c r="AE240" s="292">
        <f t="shared" si="116"/>
        <v>0</v>
      </c>
      <c r="AF240" s="289">
        <f t="shared" si="117"/>
        <v>0</v>
      </c>
      <c r="AG240" s="287"/>
      <c r="AH240" s="287">
        <f t="shared" si="118"/>
        <v>0</v>
      </c>
      <c r="AI240" s="290">
        <f>'Unit Savings Calculations'!O236</f>
        <v>51.167025000000002</v>
      </c>
      <c r="AJ240" s="287" t="s">
        <v>872</v>
      </c>
      <c r="AK240" s="292">
        <f t="shared" si="119"/>
        <v>0</v>
      </c>
      <c r="AL240" s="289">
        <f t="shared" si="120"/>
        <v>0</v>
      </c>
      <c r="AM240" s="287"/>
      <c r="AN240" s="287"/>
      <c r="AO240" s="290">
        <f>'Unit Savings Calculations'!P236</f>
        <v>51.167025000000002</v>
      </c>
      <c r="AP240" s="287" t="s">
        <v>1430</v>
      </c>
      <c r="AQ240" s="292">
        <f t="shared" si="121"/>
        <v>0</v>
      </c>
      <c r="AR240" s="289">
        <f t="shared" si="122"/>
        <v>0</v>
      </c>
      <c r="AS240" s="287"/>
      <c r="AT240" s="287"/>
      <c r="AU240" s="290">
        <f>'Unit Savings Calculations'!Q236</f>
        <v>51.167025000000002</v>
      </c>
      <c r="AV240" s="287" t="str">
        <f t="shared" si="109"/>
        <v>Updated base and EE flow rates</v>
      </c>
      <c r="AW240" s="292">
        <f t="shared" si="123"/>
        <v>0</v>
      </c>
      <c r="AX240" s="289">
        <f t="shared" si="124"/>
        <v>0</v>
      </c>
      <c r="AY240" s="292">
        <f t="shared" si="110"/>
        <v>0</v>
      </c>
      <c r="AZ240" s="292">
        <f t="shared" si="111"/>
        <v>0</v>
      </c>
      <c r="BA240" s="292">
        <f t="shared" si="112"/>
        <v>0</v>
      </c>
      <c r="BB240" s="292">
        <f t="shared" si="113"/>
        <v>0</v>
      </c>
      <c r="BC240" s="294">
        <f t="shared" si="114"/>
        <v>0</v>
      </c>
      <c r="BD240" s="287" t="s">
        <v>764</v>
      </c>
      <c r="BE240" s="295" t="str">
        <f t="shared" si="115"/>
        <v>Exhibit 1.5B_R Peoples Gas EEPS_Adjustable_Savings_Goal_Template.xlsx, Unit Savings Calculations Tab</v>
      </c>
      <c r="BF240" s="297"/>
    </row>
    <row r="241" spans="1:58" ht="13.5" customHeight="1">
      <c r="A241" s="287" t="str">
        <f>'Unit Savings Calculations'!C237</f>
        <v>Bus - SB Rebates -PTA</v>
      </c>
      <c r="B241" s="287" t="str">
        <f>'Unit Savings Calculations'!D237</f>
        <v>Steam Boiler ≥82% AFUE, &gt;300MBh TE (SB)</v>
      </c>
      <c r="C241" s="288">
        <f t="shared" si="125"/>
        <v>1</v>
      </c>
      <c r="D241" s="287" t="str">
        <f>'Unit Savings Calculations'!T237</f>
        <v>4.4.10</v>
      </c>
      <c r="E241" s="287">
        <f>INDEX('Unit Savings Calculations'!$H$4:$H$421,MATCH('Measure-Level Adjustments Tab'!$A241&amp;"_"&amp;'Measure-Level Adjustments Tab'!$B241,'Unit Savings Calculations'!$A$4:$A$421,0))</f>
        <v>20</v>
      </c>
      <c r="F241" s="287">
        <f>INDEX('Unit Savings Calculations'!$I$4:$I$421,MATCH('Measure-Level Adjustments Tab'!A241&amp;"_"&amp;'Measure-Level Adjustments Tab'!B241,'Unit Savings Calculations'!$A$4:$A$421,0))</f>
        <v>20</v>
      </c>
      <c r="G241" s="287" t="str">
        <f>'Unit Savings Calculations'!E237</f>
        <v>MBH</v>
      </c>
      <c r="H241" s="289">
        <f>'Unit Savings Calculations'!$F237*'Unit Savings Calculations'!J237</f>
        <v>36000</v>
      </c>
      <c r="I241" s="289">
        <f>'Unit Savings Calculations'!$F237*'Unit Savings Calculations'!K237</f>
        <v>36000</v>
      </c>
      <c r="J241" s="289">
        <f>'Unit Savings Calculations'!$F237*'Unit Savings Calculations'!L237</f>
        <v>36000</v>
      </c>
      <c r="K241" s="289">
        <f>'Unit Savings Calculations'!$F237*'Unit Savings Calculations'!M237</f>
        <v>36000</v>
      </c>
      <c r="L241" s="287" t="str">
        <f>'Unit Savings Calculations'!U237</f>
        <v>CI-HVC-BOIL-V05-150601</v>
      </c>
      <c r="M241" s="363" t="s">
        <v>830</v>
      </c>
      <c r="N241" s="290">
        <v>0.60265822784809941</v>
      </c>
      <c r="O241" s="290">
        <v>0.60265822784809941</v>
      </c>
      <c r="P241" s="290">
        <v>0.60265822784809941</v>
      </c>
      <c r="Q241" s="290">
        <v>0.60265822784809941</v>
      </c>
      <c r="R241" s="291">
        <f>'Unit Savings Calculations'!$G237</f>
        <v>0.92</v>
      </c>
      <c r="S241" s="291">
        <f>'Unit Savings Calculations'!$G237</f>
        <v>0.92</v>
      </c>
      <c r="T241" s="291">
        <f>'Unit Savings Calculations'!$G237</f>
        <v>0.92</v>
      </c>
      <c r="U241" s="291">
        <f>'Unit Savings Calculations'!$G237</f>
        <v>0.92</v>
      </c>
      <c r="V241" s="292">
        <f t="shared" si="126"/>
        <v>19960.040506329056</v>
      </c>
      <c r="W241" s="292">
        <f t="shared" si="127"/>
        <v>19960.040506329056</v>
      </c>
      <c r="X241" s="292">
        <f t="shared" si="128"/>
        <v>19960.040506329056</v>
      </c>
      <c r="Y241" s="292">
        <f t="shared" si="129"/>
        <v>19960.040506329056</v>
      </c>
      <c r="Z241" s="292">
        <f t="shared" si="130"/>
        <v>79840.162025316225</v>
      </c>
      <c r="AA241" s="287"/>
      <c r="AB241" s="287"/>
      <c r="AC241" s="293">
        <f>'Unit Savings Calculations'!N237</f>
        <v>0.61860759493670714</v>
      </c>
      <c r="AD241" s="287"/>
      <c r="AE241" s="292">
        <f t="shared" si="116"/>
        <v>20488.28354430374</v>
      </c>
      <c r="AF241" s="289">
        <f t="shared" si="117"/>
        <v>528.24303797468383</v>
      </c>
      <c r="AG241" s="287"/>
      <c r="AH241" s="287">
        <f t="shared" si="118"/>
        <v>0</v>
      </c>
      <c r="AI241" s="290">
        <f>'Unit Savings Calculations'!O237</f>
        <v>0.61860759493670714</v>
      </c>
      <c r="AJ241" s="287" t="s">
        <v>872</v>
      </c>
      <c r="AK241" s="292">
        <f t="shared" si="119"/>
        <v>20488.28354430374</v>
      </c>
      <c r="AL241" s="289">
        <f t="shared" si="120"/>
        <v>528.24303797468383</v>
      </c>
      <c r="AM241" s="287"/>
      <c r="AN241" s="287"/>
      <c r="AO241" s="290">
        <f>'Unit Savings Calculations'!P237</f>
        <v>0.61860759493670714</v>
      </c>
      <c r="AP241" s="287" t="s">
        <v>1450</v>
      </c>
      <c r="AQ241" s="292">
        <f t="shared" si="121"/>
        <v>20488.28354430374</v>
      </c>
      <c r="AR241" s="289">
        <f t="shared" si="122"/>
        <v>528.24303797468383</v>
      </c>
      <c r="AS241" s="287"/>
      <c r="AT241" s="287"/>
      <c r="AU241" s="290">
        <f>'Unit Savings Calculations'!Q237</f>
        <v>0.61860759493670714</v>
      </c>
      <c r="AV241" s="287" t="str">
        <f t="shared" si="109"/>
        <v>Updated heating EFLH</v>
      </c>
      <c r="AW241" s="292">
        <f t="shared" si="123"/>
        <v>20488.28354430374</v>
      </c>
      <c r="AX241" s="289">
        <f t="shared" si="124"/>
        <v>528.24303797468383</v>
      </c>
      <c r="AY241" s="292">
        <f t="shared" si="110"/>
        <v>20488.28354430374</v>
      </c>
      <c r="AZ241" s="292">
        <f t="shared" si="111"/>
        <v>20488.28354430374</v>
      </c>
      <c r="BA241" s="292">
        <f t="shared" si="112"/>
        <v>20488.28354430374</v>
      </c>
      <c r="BB241" s="292">
        <f t="shared" si="113"/>
        <v>20488.28354430374</v>
      </c>
      <c r="BC241" s="294">
        <f t="shared" si="114"/>
        <v>81953.134177214961</v>
      </c>
      <c r="BD241" s="287" t="s">
        <v>764</v>
      </c>
      <c r="BE241" s="295" t="str">
        <f t="shared" si="115"/>
        <v>Exhibit 1.5B_R Peoples Gas EEPS_Adjustable_Savings_Goal_Template.xlsx, Unit Savings Calculations Tab</v>
      </c>
      <c r="BF241" s="297"/>
    </row>
    <row r="242" spans="1:58" ht="13.5" customHeight="1">
      <c r="A242" s="287" t="str">
        <f>'Unit Savings Calculations'!C238</f>
        <v>Bus - SB Rebates -PTA</v>
      </c>
      <c r="B242" s="287" t="str">
        <f>'Unit Savings Calculations'!D238</f>
        <v>Steam Traps - Dry Cleaner/Industrial</v>
      </c>
      <c r="C242" s="288">
        <f t="shared" si="125"/>
        <v>1</v>
      </c>
      <c r="D242" s="287" t="str">
        <f>'Unit Savings Calculations'!T238</f>
        <v>4.4.16</v>
      </c>
      <c r="E242" s="287">
        <f>INDEX('Unit Savings Calculations'!$H$4:$H$421,MATCH('Measure-Level Adjustments Tab'!$A242&amp;"_"&amp;'Measure-Level Adjustments Tab'!$B242,'Unit Savings Calculations'!$A$4:$A$421,0))</f>
        <v>6</v>
      </c>
      <c r="F242" s="287">
        <f>INDEX('Unit Savings Calculations'!$I$4:$I$421,MATCH('Measure-Level Adjustments Tab'!A242&amp;"_"&amp;'Measure-Level Adjustments Tab'!B242,'Unit Savings Calculations'!$A$4:$A$421,0))</f>
        <v>6</v>
      </c>
      <c r="G242" s="287" t="str">
        <f>'Unit Savings Calculations'!E238</f>
        <v>each</v>
      </c>
      <c r="H242" s="289">
        <f>'Unit Savings Calculations'!$F238*'Unit Savings Calculations'!J238</f>
        <v>325</v>
      </c>
      <c r="I242" s="289">
        <f>'Unit Savings Calculations'!$F238*'Unit Savings Calculations'!K238</f>
        <v>325</v>
      </c>
      <c r="J242" s="289">
        <f>'Unit Savings Calculations'!$F238*'Unit Savings Calculations'!L238</f>
        <v>325</v>
      </c>
      <c r="K242" s="289">
        <f>'Unit Savings Calculations'!$F238*'Unit Savings Calculations'!M238</f>
        <v>325</v>
      </c>
      <c r="L242" s="287" t="str">
        <f>'Unit Savings Calculations'!U238</f>
        <v>CI-HVC-STRE-V05-180101</v>
      </c>
      <c r="M242" s="363" t="s">
        <v>830</v>
      </c>
      <c r="N242" s="290">
        <v>137.91939591078068</v>
      </c>
      <c r="O242" s="290">
        <v>137.91939591078068</v>
      </c>
      <c r="P242" s="290">
        <v>137.91939591078068</v>
      </c>
      <c r="Q242" s="290">
        <v>137.91939591078068</v>
      </c>
      <c r="R242" s="291">
        <f>'Unit Savings Calculations'!$G238</f>
        <v>0.92</v>
      </c>
      <c r="S242" s="291">
        <f>'Unit Savings Calculations'!$G238</f>
        <v>0.92</v>
      </c>
      <c r="T242" s="291">
        <f>'Unit Savings Calculations'!$G238</f>
        <v>0.92</v>
      </c>
      <c r="U242" s="291">
        <f>'Unit Savings Calculations'!$G238</f>
        <v>0.92</v>
      </c>
      <c r="V242" s="292">
        <f t="shared" si="126"/>
        <v>41237.899377323425</v>
      </c>
      <c r="W242" s="292">
        <f t="shared" si="127"/>
        <v>41237.899377323425</v>
      </c>
      <c r="X242" s="292">
        <f t="shared" si="128"/>
        <v>41237.899377323425</v>
      </c>
      <c r="Y242" s="292">
        <f t="shared" si="129"/>
        <v>41237.899377323425</v>
      </c>
      <c r="Z242" s="292">
        <f t="shared" si="130"/>
        <v>164951.5975092937</v>
      </c>
      <c r="AA242" s="287"/>
      <c r="AB242" s="287"/>
      <c r="AC242" s="293">
        <f>'Unit Savings Calculations'!N238</f>
        <v>137.91939591078068</v>
      </c>
      <c r="AD242" s="287"/>
      <c r="AE242" s="292">
        <f t="shared" si="116"/>
        <v>41237.899377323425</v>
      </c>
      <c r="AF242" s="289">
        <f t="shared" si="117"/>
        <v>0</v>
      </c>
      <c r="AG242" s="287"/>
      <c r="AH242" s="287">
        <f t="shared" si="118"/>
        <v>0</v>
      </c>
      <c r="AI242" s="290">
        <f>'Unit Savings Calculations'!O238</f>
        <v>137.91939591078068</v>
      </c>
      <c r="AJ242" s="287" t="s">
        <v>872</v>
      </c>
      <c r="AK242" s="292">
        <f t="shared" si="119"/>
        <v>41237.899377323425</v>
      </c>
      <c r="AL242" s="289">
        <f t="shared" si="120"/>
        <v>0</v>
      </c>
      <c r="AM242" s="287"/>
      <c r="AN242" s="287"/>
      <c r="AO242" s="290">
        <f>'Unit Savings Calculations'!P238</f>
        <v>137.91939591078068</v>
      </c>
      <c r="AP242" s="287" t="s">
        <v>764</v>
      </c>
      <c r="AQ242" s="292">
        <f t="shared" si="121"/>
        <v>41237.899377323425</v>
      </c>
      <c r="AR242" s="289">
        <f t="shared" si="122"/>
        <v>0</v>
      </c>
      <c r="AS242" s="287"/>
      <c r="AT242" s="287"/>
      <c r="AU242" s="290">
        <f>'Unit Savings Calculations'!Q238</f>
        <v>137.91939591078068</v>
      </c>
      <c r="AV242" s="287" t="str">
        <f t="shared" si="109"/>
        <v>n/a</v>
      </c>
      <c r="AW242" s="292">
        <f t="shared" si="123"/>
        <v>41237.899377323425</v>
      </c>
      <c r="AX242" s="289">
        <f t="shared" si="124"/>
        <v>0</v>
      </c>
      <c r="AY242" s="292">
        <f t="shared" si="110"/>
        <v>41237.899377323425</v>
      </c>
      <c r="AZ242" s="292">
        <f t="shared" si="111"/>
        <v>41237.899377323425</v>
      </c>
      <c r="BA242" s="292">
        <f t="shared" si="112"/>
        <v>41237.899377323425</v>
      </c>
      <c r="BB242" s="292">
        <f t="shared" si="113"/>
        <v>41237.899377323425</v>
      </c>
      <c r="BC242" s="294">
        <f t="shared" si="114"/>
        <v>164951.5975092937</v>
      </c>
      <c r="BD242" s="287" t="s">
        <v>764</v>
      </c>
      <c r="BE242" s="295" t="str">
        <f t="shared" si="115"/>
        <v>Exhibit 1.5B_R Peoples Gas EEPS_Adjustable_Savings_Goal_Template.xlsx, Unit Savings Calculations Tab</v>
      </c>
      <c r="BF242" s="297"/>
    </row>
    <row r="243" spans="1:58" ht="13.5" customHeight="1">
      <c r="A243" s="287" t="str">
        <f>'Unit Savings Calculations'!C239</f>
        <v>Bus - SB Rebates -PTA</v>
      </c>
      <c r="B243" s="287" t="str">
        <f>'Unit Savings Calculations'!D239</f>
        <v>Steam Traps - HVAC Repair/Rep - Audit</v>
      </c>
      <c r="C243" s="288">
        <f t="shared" si="125"/>
        <v>1</v>
      </c>
      <c r="D243" s="287" t="str">
        <f>'Unit Savings Calculations'!T239</f>
        <v>4.4.16</v>
      </c>
      <c r="E243" s="287">
        <f>INDEX('Unit Savings Calculations'!$H$4:$H$421,MATCH('Measure-Level Adjustments Tab'!$A243&amp;"_"&amp;'Measure-Level Adjustments Tab'!$B243,'Unit Savings Calculations'!$A$4:$A$421,0))</f>
        <v>6</v>
      </c>
      <c r="F243" s="287">
        <f>INDEX('Unit Savings Calculations'!$I$4:$I$421,MATCH('Measure-Level Adjustments Tab'!A243&amp;"_"&amp;'Measure-Level Adjustments Tab'!B243,'Unit Savings Calculations'!$A$4:$A$421,0))</f>
        <v>6</v>
      </c>
      <c r="G243" s="287" t="str">
        <f>'Unit Savings Calculations'!E239</f>
        <v>each</v>
      </c>
      <c r="H243" s="289">
        <f>'Unit Savings Calculations'!$F239*'Unit Savings Calculations'!J239</f>
        <v>625</v>
      </c>
      <c r="I243" s="289">
        <f>'Unit Savings Calculations'!$F239*'Unit Savings Calculations'!K239</f>
        <v>625</v>
      </c>
      <c r="J243" s="289">
        <f>'Unit Savings Calculations'!$F239*'Unit Savings Calculations'!L239</f>
        <v>625</v>
      </c>
      <c r="K243" s="289">
        <f>'Unit Savings Calculations'!$F239*'Unit Savings Calculations'!M239</f>
        <v>625</v>
      </c>
      <c r="L243" s="287" t="str">
        <f>'Unit Savings Calculations'!U239</f>
        <v>CI-HVC-STRE-V05-180101</v>
      </c>
      <c r="M243" s="363" t="s">
        <v>830</v>
      </c>
      <c r="N243" s="290">
        <v>88.453924126394057</v>
      </c>
      <c r="O243" s="290">
        <v>88.453924126394057</v>
      </c>
      <c r="P243" s="290">
        <v>88.453924126394057</v>
      </c>
      <c r="Q243" s="290">
        <v>88.453924126394057</v>
      </c>
      <c r="R243" s="291">
        <f>'Unit Savings Calculations'!$G239</f>
        <v>0.92</v>
      </c>
      <c r="S243" s="291">
        <f>'Unit Savings Calculations'!$G239</f>
        <v>0.92</v>
      </c>
      <c r="T243" s="291">
        <f>'Unit Savings Calculations'!$G239</f>
        <v>0.92</v>
      </c>
      <c r="U243" s="291">
        <f>'Unit Savings Calculations'!$G239</f>
        <v>0.92</v>
      </c>
      <c r="V243" s="292">
        <f t="shared" si="126"/>
        <v>50861.006372676587</v>
      </c>
      <c r="W243" s="292">
        <f t="shared" si="127"/>
        <v>50861.006372676587</v>
      </c>
      <c r="X243" s="292">
        <f t="shared" si="128"/>
        <v>50861.006372676587</v>
      </c>
      <c r="Y243" s="292">
        <f t="shared" si="129"/>
        <v>50861.006372676587</v>
      </c>
      <c r="Z243" s="292">
        <f t="shared" si="130"/>
        <v>203444.02549070635</v>
      </c>
      <c r="AA243" s="287"/>
      <c r="AB243" s="287"/>
      <c r="AC243" s="293">
        <f>'Unit Savings Calculations'!N239</f>
        <v>88.453924126394057</v>
      </c>
      <c r="AD243" s="287"/>
      <c r="AE243" s="292">
        <f t="shared" si="116"/>
        <v>50861.006372676587</v>
      </c>
      <c r="AF243" s="289">
        <f t="shared" si="117"/>
        <v>0</v>
      </c>
      <c r="AG243" s="287"/>
      <c r="AH243" s="287">
        <f t="shared" si="118"/>
        <v>0</v>
      </c>
      <c r="AI243" s="290">
        <f>'Unit Savings Calculations'!O239</f>
        <v>88.453924126394057</v>
      </c>
      <c r="AJ243" s="287" t="s">
        <v>872</v>
      </c>
      <c r="AK243" s="292">
        <f t="shared" si="119"/>
        <v>50861.006372676587</v>
      </c>
      <c r="AL243" s="289">
        <f t="shared" si="120"/>
        <v>0</v>
      </c>
      <c r="AM243" s="287"/>
      <c r="AN243" s="287"/>
      <c r="AO243" s="290">
        <f>'Unit Savings Calculations'!P239</f>
        <v>88.453924126394057</v>
      </c>
      <c r="AP243" s="287" t="s">
        <v>764</v>
      </c>
      <c r="AQ243" s="292">
        <f t="shared" si="121"/>
        <v>50861.006372676587</v>
      </c>
      <c r="AR243" s="289">
        <f t="shared" si="122"/>
        <v>0</v>
      </c>
      <c r="AS243" s="287"/>
      <c r="AT243" s="287"/>
      <c r="AU243" s="290">
        <f>'Unit Savings Calculations'!Q239</f>
        <v>88.453924126394057</v>
      </c>
      <c r="AV243" s="287" t="str">
        <f t="shared" si="109"/>
        <v>n/a</v>
      </c>
      <c r="AW243" s="292">
        <f t="shared" si="123"/>
        <v>50861.006372676587</v>
      </c>
      <c r="AX243" s="289">
        <f t="shared" si="124"/>
        <v>0</v>
      </c>
      <c r="AY243" s="292">
        <f t="shared" si="110"/>
        <v>50861.006372676587</v>
      </c>
      <c r="AZ243" s="292">
        <f t="shared" si="111"/>
        <v>50861.006372676587</v>
      </c>
      <c r="BA243" s="292">
        <f t="shared" si="112"/>
        <v>50861.006372676587</v>
      </c>
      <c r="BB243" s="292">
        <f t="shared" si="113"/>
        <v>50861.006372676587</v>
      </c>
      <c r="BC243" s="294">
        <f t="shared" si="114"/>
        <v>203444.02549070635</v>
      </c>
      <c r="BD243" s="287" t="s">
        <v>764</v>
      </c>
      <c r="BE243" s="295" t="str">
        <f t="shared" si="115"/>
        <v>Exhibit 1.5B_R Peoples Gas EEPS_Adjustable_Savings_Goal_Template.xlsx, Unit Savings Calculations Tab</v>
      </c>
      <c r="BF243" s="297"/>
    </row>
    <row r="244" spans="1:58" ht="13.5" customHeight="1">
      <c r="A244" s="287" t="str">
        <f>'Unit Savings Calculations'!C240</f>
        <v>Bus - SB Rebates -PTA</v>
      </c>
      <c r="B244" s="287" t="str">
        <f>'Unit Savings Calculations'!D240</f>
        <v>Steam Traps - HVAC Repair/Rep - No Audit</v>
      </c>
      <c r="C244" s="288">
        <f t="shared" si="125"/>
        <v>1</v>
      </c>
      <c r="D244" s="287" t="str">
        <f>'Unit Savings Calculations'!T240</f>
        <v>4.4.16</v>
      </c>
      <c r="E244" s="287">
        <f>INDEX('Unit Savings Calculations'!$H$4:$H$421,MATCH('Measure-Level Adjustments Tab'!$A244&amp;"_"&amp;'Measure-Level Adjustments Tab'!$B244,'Unit Savings Calculations'!$A$4:$A$421,0))</f>
        <v>6</v>
      </c>
      <c r="F244" s="287">
        <f>INDEX('Unit Savings Calculations'!$I$4:$I$421,MATCH('Measure-Level Adjustments Tab'!A244&amp;"_"&amp;'Measure-Level Adjustments Tab'!B244,'Unit Savings Calculations'!$A$4:$A$421,0))</f>
        <v>6</v>
      </c>
      <c r="G244" s="287" t="str">
        <f>'Unit Savings Calculations'!E240</f>
        <v>each</v>
      </c>
      <c r="H244" s="289">
        <f>'Unit Savings Calculations'!$F240*'Unit Savings Calculations'!J240</f>
        <v>50</v>
      </c>
      <c r="I244" s="289">
        <f>'Unit Savings Calculations'!$F240*'Unit Savings Calculations'!K240</f>
        <v>50</v>
      </c>
      <c r="J244" s="289">
        <f>'Unit Savings Calculations'!$F240*'Unit Savings Calculations'!L240</f>
        <v>50</v>
      </c>
      <c r="K244" s="289">
        <f>'Unit Savings Calculations'!$F240*'Unit Savings Calculations'!M240</f>
        <v>50</v>
      </c>
      <c r="L244" s="287" t="str">
        <f>'Unit Savings Calculations'!U240</f>
        <v>CI-HVC-STRE-V05-180101</v>
      </c>
      <c r="M244" s="363" t="s">
        <v>830</v>
      </c>
      <c r="N244" s="290">
        <v>88.453924126394057</v>
      </c>
      <c r="O244" s="290">
        <v>88.453924126394057</v>
      </c>
      <c r="P244" s="290">
        <v>88.453924126394057</v>
      </c>
      <c r="Q244" s="290">
        <v>88.453924126394057</v>
      </c>
      <c r="R244" s="291">
        <f>'Unit Savings Calculations'!$G240</f>
        <v>0.92</v>
      </c>
      <c r="S244" s="291">
        <f>'Unit Savings Calculations'!$G240</f>
        <v>0.92</v>
      </c>
      <c r="T244" s="291">
        <f>'Unit Savings Calculations'!$G240</f>
        <v>0.92</v>
      </c>
      <c r="U244" s="291">
        <f>'Unit Savings Calculations'!$G240</f>
        <v>0.92</v>
      </c>
      <c r="V244" s="292">
        <f t="shared" si="126"/>
        <v>4068.8805098141265</v>
      </c>
      <c r="W244" s="292">
        <f t="shared" si="127"/>
        <v>4068.8805098141265</v>
      </c>
      <c r="X244" s="292">
        <f t="shared" si="128"/>
        <v>4068.8805098141265</v>
      </c>
      <c r="Y244" s="292">
        <f t="shared" si="129"/>
        <v>4068.8805098141265</v>
      </c>
      <c r="Z244" s="292">
        <f t="shared" si="130"/>
        <v>16275.522039256506</v>
      </c>
      <c r="AA244" s="287"/>
      <c r="AB244" s="287"/>
      <c r="AC244" s="293">
        <f>'Unit Savings Calculations'!N240</f>
        <v>88.453924126394057</v>
      </c>
      <c r="AD244" s="287"/>
      <c r="AE244" s="292">
        <f t="shared" si="116"/>
        <v>4068.8805098141265</v>
      </c>
      <c r="AF244" s="289">
        <f t="shared" si="117"/>
        <v>0</v>
      </c>
      <c r="AG244" s="287"/>
      <c r="AH244" s="287">
        <f t="shared" si="118"/>
        <v>0</v>
      </c>
      <c r="AI244" s="290">
        <f>'Unit Savings Calculations'!O240</f>
        <v>88.453924126394057</v>
      </c>
      <c r="AJ244" s="287" t="s">
        <v>872</v>
      </c>
      <c r="AK244" s="292">
        <f t="shared" si="119"/>
        <v>4068.8805098141265</v>
      </c>
      <c r="AL244" s="289">
        <f t="shared" si="120"/>
        <v>0</v>
      </c>
      <c r="AM244" s="287"/>
      <c r="AN244" s="287"/>
      <c r="AO244" s="290">
        <f>'Unit Savings Calculations'!P240</f>
        <v>88.453924126394057</v>
      </c>
      <c r="AP244" s="287" t="s">
        <v>764</v>
      </c>
      <c r="AQ244" s="292">
        <f t="shared" si="121"/>
        <v>4068.8805098141265</v>
      </c>
      <c r="AR244" s="289">
        <f t="shared" si="122"/>
        <v>0</v>
      </c>
      <c r="AS244" s="287"/>
      <c r="AT244" s="287"/>
      <c r="AU244" s="290">
        <f>'Unit Savings Calculations'!Q240</f>
        <v>88.453924126394057</v>
      </c>
      <c r="AV244" s="287" t="str">
        <f t="shared" si="109"/>
        <v>n/a</v>
      </c>
      <c r="AW244" s="292">
        <f t="shared" si="123"/>
        <v>4068.8805098141265</v>
      </c>
      <c r="AX244" s="289">
        <f t="shared" si="124"/>
        <v>0</v>
      </c>
      <c r="AY244" s="292">
        <f t="shared" si="110"/>
        <v>4068.8805098141265</v>
      </c>
      <c r="AZ244" s="292">
        <f t="shared" si="111"/>
        <v>4068.8805098141265</v>
      </c>
      <c r="BA244" s="292">
        <f t="shared" si="112"/>
        <v>4068.8805098141265</v>
      </c>
      <c r="BB244" s="292">
        <f t="shared" si="113"/>
        <v>4068.8805098141265</v>
      </c>
      <c r="BC244" s="294">
        <f t="shared" si="114"/>
        <v>16275.522039256506</v>
      </c>
      <c r="BD244" s="287" t="s">
        <v>764</v>
      </c>
      <c r="BE244" s="295" t="str">
        <f t="shared" si="115"/>
        <v>Exhibit 1.5B_R Peoples Gas EEPS_Adjustable_Savings_Goal_Template.xlsx, Unit Savings Calculations Tab</v>
      </c>
      <c r="BF244" s="297"/>
    </row>
    <row r="245" spans="1:58" ht="13.5" customHeight="1">
      <c r="A245" s="287" t="str">
        <f>'Unit Savings Calculations'!C241</f>
        <v>Bus - SB Rebates -PTA</v>
      </c>
      <c r="B245" s="287" t="str">
        <f>'Unit Savings Calculations'!D241</f>
        <v>Steam Traps - Test</v>
      </c>
      <c r="C245" s="288">
        <f t="shared" si="125"/>
        <v>0</v>
      </c>
      <c r="D245" s="287" t="str">
        <f>'Unit Savings Calculations'!T241</f>
        <v>Custom</v>
      </c>
      <c r="E245" s="287">
        <f>INDEX('Unit Savings Calculations'!$H$4:$H$421,MATCH('Measure-Level Adjustments Tab'!$A245&amp;"_"&amp;'Measure-Level Adjustments Tab'!$B245,'Unit Savings Calculations'!$A$4:$A$421,0))</f>
        <v>3</v>
      </c>
      <c r="F245" s="287">
        <f>INDEX('Unit Savings Calculations'!$I$4:$I$421,MATCH('Measure-Level Adjustments Tab'!A245&amp;"_"&amp;'Measure-Level Adjustments Tab'!B245,'Unit Savings Calculations'!$A$4:$A$421,0))</f>
        <v>3</v>
      </c>
      <c r="G245" s="287" t="str">
        <f>'Unit Savings Calculations'!E241</f>
        <v>each</v>
      </c>
      <c r="H245" s="289">
        <f>'Unit Savings Calculations'!$F241*'Unit Savings Calculations'!J241</f>
        <v>525</v>
      </c>
      <c r="I245" s="289">
        <f>'Unit Savings Calculations'!$F241*'Unit Savings Calculations'!K241</f>
        <v>525</v>
      </c>
      <c r="J245" s="289">
        <f>'Unit Savings Calculations'!$F241*'Unit Savings Calculations'!L241</f>
        <v>525</v>
      </c>
      <c r="K245" s="289">
        <f>'Unit Savings Calculations'!$F241*'Unit Savings Calculations'!M241</f>
        <v>525</v>
      </c>
      <c r="L245" s="287" t="str">
        <f>'Unit Savings Calculations'!U241</f>
        <v>Custom</v>
      </c>
      <c r="M245" s="287" t="str">
        <f>'Unit Savings Calculations'!S241</f>
        <v>Custom</v>
      </c>
      <c r="N245" s="290">
        <v>0</v>
      </c>
      <c r="O245" s="290">
        <v>0</v>
      </c>
      <c r="P245" s="290">
        <v>0</v>
      </c>
      <c r="Q245" s="290">
        <v>0</v>
      </c>
      <c r="R245" s="291">
        <f>'Unit Savings Calculations'!$G241</f>
        <v>0.92</v>
      </c>
      <c r="S245" s="291">
        <f>'Unit Savings Calculations'!$G241</f>
        <v>0.92</v>
      </c>
      <c r="T245" s="291">
        <f>'Unit Savings Calculations'!$G241</f>
        <v>0.92</v>
      </c>
      <c r="U245" s="291">
        <f>'Unit Savings Calculations'!$G241</f>
        <v>0.92</v>
      </c>
      <c r="V245" s="292">
        <f t="shared" si="126"/>
        <v>0</v>
      </c>
      <c r="W245" s="292">
        <f t="shared" si="127"/>
        <v>0</v>
      </c>
      <c r="X245" s="292">
        <f t="shared" si="128"/>
        <v>0</v>
      </c>
      <c r="Y245" s="292">
        <f t="shared" si="129"/>
        <v>0</v>
      </c>
      <c r="Z245" s="292">
        <f t="shared" si="130"/>
        <v>0</v>
      </c>
      <c r="AA245" s="364"/>
      <c r="AB245" s="364"/>
      <c r="AC245" s="365">
        <f>'Unit Savings Calculations'!N241</f>
        <v>0</v>
      </c>
      <c r="AD245" s="364"/>
      <c r="AE245" s="366">
        <f t="shared" si="116"/>
        <v>0</v>
      </c>
      <c r="AF245" s="367">
        <f t="shared" si="117"/>
        <v>0</v>
      </c>
      <c r="AG245" s="364"/>
      <c r="AH245" s="364">
        <f t="shared" si="118"/>
        <v>0</v>
      </c>
      <c r="AI245" s="368">
        <f>'Unit Savings Calculations'!O241</f>
        <v>0</v>
      </c>
      <c r="AJ245" s="364" t="s">
        <v>872</v>
      </c>
      <c r="AK245" s="366">
        <f t="shared" si="119"/>
        <v>0</v>
      </c>
      <c r="AL245" s="367">
        <f t="shared" si="120"/>
        <v>0</v>
      </c>
      <c r="AM245" s="364"/>
      <c r="AN245" s="364"/>
      <c r="AO245" s="368">
        <f>'Unit Savings Calculations'!P241</f>
        <v>0</v>
      </c>
      <c r="AP245" s="364" t="s">
        <v>764</v>
      </c>
      <c r="AQ245" s="366">
        <f t="shared" si="121"/>
        <v>0</v>
      </c>
      <c r="AR245" s="367">
        <f t="shared" si="122"/>
        <v>0</v>
      </c>
      <c r="AS245" s="364"/>
      <c r="AT245" s="364"/>
      <c r="AU245" s="368">
        <f>'Unit Savings Calculations'!Q241</f>
        <v>0</v>
      </c>
      <c r="AV245" s="364" t="str">
        <f t="shared" si="109"/>
        <v>n/a</v>
      </c>
      <c r="AW245" s="366">
        <f t="shared" si="123"/>
        <v>0</v>
      </c>
      <c r="AX245" s="367">
        <f t="shared" si="124"/>
        <v>0</v>
      </c>
      <c r="AY245" s="292">
        <f t="shared" si="110"/>
        <v>0</v>
      </c>
      <c r="AZ245" s="292">
        <f t="shared" si="111"/>
        <v>0</v>
      </c>
      <c r="BA245" s="292">
        <f t="shared" si="112"/>
        <v>0</v>
      </c>
      <c r="BB245" s="292">
        <f t="shared" si="113"/>
        <v>0</v>
      </c>
      <c r="BC245" s="294">
        <f t="shared" si="114"/>
        <v>0</v>
      </c>
      <c r="BD245" s="287" t="s">
        <v>764</v>
      </c>
      <c r="BE245" s="295" t="str">
        <f t="shared" si="115"/>
        <v>Custom</v>
      </c>
      <c r="BF245" s="297"/>
    </row>
    <row r="246" spans="1:58" ht="13.5" customHeight="1">
      <c r="A246" s="287" t="str">
        <f>'Unit Savings Calculations'!C242</f>
        <v>Bus - SB Rebates -PTA</v>
      </c>
      <c r="B246" s="287" t="str">
        <f>'Unit Savings Calculations'!D242</f>
        <v>Thermostat - Programmable</v>
      </c>
      <c r="C246" s="288">
        <f t="shared" si="125"/>
        <v>1</v>
      </c>
      <c r="D246" s="287" t="str">
        <f>'Unit Savings Calculations'!T242</f>
        <v>4.4.18</v>
      </c>
      <c r="E246" s="287">
        <f>INDEX('Unit Savings Calculations'!$H$4:$H$421,MATCH('Measure-Level Adjustments Tab'!$A246&amp;"_"&amp;'Measure-Level Adjustments Tab'!$B246,'Unit Savings Calculations'!$A$4:$A$421,0))</f>
        <v>4</v>
      </c>
      <c r="F246" s="287">
        <f>INDEX('Unit Savings Calculations'!$I$4:$I$421,MATCH('Measure-Level Adjustments Tab'!A246&amp;"_"&amp;'Measure-Level Adjustments Tab'!B246,'Unit Savings Calculations'!$A$4:$A$421,0))</f>
        <v>4</v>
      </c>
      <c r="G246" s="287" t="str">
        <f>'Unit Savings Calculations'!E242</f>
        <v>each</v>
      </c>
      <c r="H246" s="289">
        <f>'Unit Savings Calculations'!$F242*'Unit Savings Calculations'!J242</f>
        <v>125</v>
      </c>
      <c r="I246" s="289">
        <f>'Unit Savings Calculations'!$F242*'Unit Savings Calculations'!K242</f>
        <v>125</v>
      </c>
      <c r="J246" s="289">
        <f>'Unit Savings Calculations'!$F242*'Unit Savings Calculations'!L242</f>
        <v>125</v>
      </c>
      <c r="K246" s="289">
        <f>'Unit Savings Calculations'!$F242*'Unit Savings Calculations'!M242</f>
        <v>125</v>
      </c>
      <c r="L246" s="287" t="str">
        <f>'Unit Savings Calculations'!U242</f>
        <v>CI-HVC-PROG-V02-150601</v>
      </c>
      <c r="M246" s="363" t="s">
        <v>829</v>
      </c>
      <c r="N246" s="290">
        <v>124.68584320000001</v>
      </c>
      <c r="O246" s="290">
        <v>124.68584320000001</v>
      </c>
      <c r="P246" s="290">
        <v>124.68584320000001</v>
      </c>
      <c r="Q246" s="290">
        <v>124.68584320000001</v>
      </c>
      <c r="R246" s="291">
        <f>'Unit Savings Calculations'!$G242</f>
        <v>0.92</v>
      </c>
      <c r="S246" s="291">
        <f>'Unit Savings Calculations'!$G242</f>
        <v>0.92</v>
      </c>
      <c r="T246" s="291">
        <f>'Unit Savings Calculations'!$G242</f>
        <v>0.92</v>
      </c>
      <c r="U246" s="291">
        <f>'Unit Savings Calculations'!$G242</f>
        <v>0.92</v>
      </c>
      <c r="V246" s="292">
        <f t="shared" si="126"/>
        <v>14338.871968000001</v>
      </c>
      <c r="W246" s="292">
        <f t="shared" si="127"/>
        <v>14338.871968000001</v>
      </c>
      <c r="X246" s="292">
        <f t="shared" si="128"/>
        <v>14338.871968000001</v>
      </c>
      <c r="Y246" s="292">
        <f t="shared" si="129"/>
        <v>14338.871968000001</v>
      </c>
      <c r="Z246" s="292">
        <f t="shared" si="130"/>
        <v>57355.487872000005</v>
      </c>
      <c r="AA246" s="287"/>
      <c r="AB246" s="287"/>
      <c r="AC246" s="293">
        <f>'Unit Savings Calculations'!N242</f>
        <v>124.68584320000001</v>
      </c>
      <c r="AD246" s="287"/>
      <c r="AE246" s="292">
        <f t="shared" si="116"/>
        <v>14338.871968000001</v>
      </c>
      <c r="AF246" s="289">
        <f t="shared" si="117"/>
        <v>0</v>
      </c>
      <c r="AG246" s="287"/>
      <c r="AH246" s="287">
        <f t="shared" si="118"/>
        <v>0</v>
      </c>
      <c r="AI246" s="290">
        <f>'Unit Savings Calculations'!O242</f>
        <v>124.68584320000001</v>
      </c>
      <c r="AJ246" s="287" t="s">
        <v>872</v>
      </c>
      <c r="AK246" s="292">
        <f t="shared" si="119"/>
        <v>14338.871968000001</v>
      </c>
      <c r="AL246" s="289">
        <f t="shared" si="120"/>
        <v>0</v>
      </c>
      <c r="AM246" s="287"/>
      <c r="AN246" s="287"/>
      <c r="AO246" s="290">
        <f>'Unit Savings Calculations'!P242</f>
        <v>124.68584320000001</v>
      </c>
      <c r="AP246" s="287" t="s">
        <v>764</v>
      </c>
      <c r="AQ246" s="292">
        <f t="shared" si="121"/>
        <v>14338.871968000001</v>
      </c>
      <c r="AR246" s="289">
        <f t="shared" si="122"/>
        <v>0</v>
      </c>
      <c r="AS246" s="287"/>
      <c r="AT246" s="287"/>
      <c r="AU246" s="290">
        <f>'Unit Savings Calculations'!Q242</f>
        <v>124.68584320000001</v>
      </c>
      <c r="AV246" s="287" t="str">
        <f t="shared" si="109"/>
        <v>n/a</v>
      </c>
      <c r="AW246" s="292">
        <f t="shared" si="123"/>
        <v>14338.871968000001</v>
      </c>
      <c r="AX246" s="289">
        <f t="shared" si="124"/>
        <v>0</v>
      </c>
      <c r="AY246" s="292">
        <f t="shared" si="110"/>
        <v>14338.871968000001</v>
      </c>
      <c r="AZ246" s="292">
        <f t="shared" si="111"/>
        <v>14338.871968000001</v>
      </c>
      <c r="BA246" s="292">
        <f t="shared" si="112"/>
        <v>14338.871968000001</v>
      </c>
      <c r="BB246" s="292">
        <f t="shared" si="113"/>
        <v>14338.871968000001</v>
      </c>
      <c r="BC246" s="294">
        <f t="shared" si="114"/>
        <v>57355.487872000005</v>
      </c>
      <c r="BD246" s="287" t="s">
        <v>764</v>
      </c>
      <c r="BE246" s="295" t="str">
        <f t="shared" si="115"/>
        <v>Exhibit 1.5B_R Peoples Gas EEPS_Adjustable_Savings_Goal_Template.xlsx, Thermostat Detail Tab</v>
      </c>
      <c r="BF246" s="297"/>
    </row>
    <row r="247" spans="1:58" ht="13.5" customHeight="1">
      <c r="A247" s="287" t="str">
        <f>'Unit Savings Calculations'!C243</f>
        <v>Bus - SB Rebates -PTA</v>
      </c>
      <c r="B247" s="287" t="str">
        <f>'Unit Savings Calculations'!D243</f>
        <v>Water Heater - Storage 88% TE ≥75MBh</v>
      </c>
      <c r="C247" s="288">
        <f t="shared" si="125"/>
        <v>1</v>
      </c>
      <c r="D247" s="287" t="str">
        <f>'Unit Savings Calculations'!T243</f>
        <v>4.3.1</v>
      </c>
      <c r="E247" s="287">
        <f>INDEX('Unit Savings Calculations'!$H$4:$H$421,MATCH('Measure-Level Adjustments Tab'!$A247&amp;"_"&amp;'Measure-Level Adjustments Tab'!$B247,'Unit Savings Calculations'!$A$4:$A$421,0))</f>
        <v>15</v>
      </c>
      <c r="F247" s="287">
        <f>INDEX('Unit Savings Calculations'!$I$4:$I$421,MATCH('Measure-Level Adjustments Tab'!A247&amp;"_"&amp;'Measure-Level Adjustments Tab'!B247,'Unit Savings Calculations'!$A$4:$A$421,0))</f>
        <v>15</v>
      </c>
      <c r="G247" s="287" t="str">
        <f>'Unit Savings Calculations'!E243</f>
        <v>each</v>
      </c>
      <c r="H247" s="289">
        <f>'Unit Savings Calculations'!$F243*'Unit Savings Calculations'!J243</f>
        <v>0</v>
      </c>
      <c r="I247" s="289">
        <f>'Unit Savings Calculations'!$F243*'Unit Savings Calculations'!K243</f>
        <v>0</v>
      </c>
      <c r="J247" s="289">
        <f>'Unit Savings Calculations'!$F243*'Unit Savings Calculations'!L243</f>
        <v>0</v>
      </c>
      <c r="K247" s="289">
        <f>'Unit Savings Calculations'!$F243*'Unit Savings Calculations'!M243</f>
        <v>0</v>
      </c>
      <c r="L247" s="287" t="str">
        <f>'Unit Savings Calculations'!U243</f>
        <v>CI-HW-STWH-V03-180101</v>
      </c>
      <c r="M247" s="363" t="s">
        <v>830</v>
      </c>
      <c r="N247" s="290">
        <v>135.66827090062347</v>
      </c>
      <c r="O247" s="290">
        <v>135.66827090062347</v>
      </c>
      <c r="P247" s="290">
        <v>135.66827090062347</v>
      </c>
      <c r="Q247" s="290">
        <v>135.66827090062347</v>
      </c>
      <c r="R247" s="291">
        <f>'Unit Savings Calculations'!$G243</f>
        <v>0.92</v>
      </c>
      <c r="S247" s="291">
        <f>'Unit Savings Calculations'!$G243</f>
        <v>0.92</v>
      </c>
      <c r="T247" s="291">
        <f>'Unit Savings Calculations'!$G243</f>
        <v>0.92</v>
      </c>
      <c r="U247" s="291">
        <f>'Unit Savings Calculations'!$G243</f>
        <v>0.92</v>
      </c>
      <c r="V247" s="292">
        <f t="shared" si="126"/>
        <v>0</v>
      </c>
      <c r="W247" s="292">
        <f t="shared" si="127"/>
        <v>0</v>
      </c>
      <c r="X247" s="292">
        <f t="shared" si="128"/>
        <v>0</v>
      </c>
      <c r="Y247" s="292">
        <f t="shared" si="129"/>
        <v>0</v>
      </c>
      <c r="Z247" s="292">
        <f t="shared" si="130"/>
        <v>0</v>
      </c>
      <c r="AA247" s="287"/>
      <c r="AB247" s="287"/>
      <c r="AC247" s="293">
        <f>'Unit Savings Calculations'!N243</f>
        <v>1514.573584976577</v>
      </c>
      <c r="AD247" s="287"/>
      <c r="AE247" s="292">
        <f t="shared" si="116"/>
        <v>0</v>
      </c>
      <c r="AF247" s="289">
        <f t="shared" si="117"/>
        <v>0</v>
      </c>
      <c r="AG247" s="287"/>
      <c r="AH247" s="287">
        <f t="shared" si="118"/>
        <v>0</v>
      </c>
      <c r="AI247" s="290">
        <f>'Unit Savings Calculations'!O243</f>
        <v>1514.573584976577</v>
      </c>
      <c r="AJ247" s="287" t="s">
        <v>888</v>
      </c>
      <c r="AK247" s="292">
        <f t="shared" si="119"/>
        <v>0</v>
      </c>
      <c r="AL247" s="289">
        <f t="shared" si="120"/>
        <v>0</v>
      </c>
      <c r="AM247" s="287"/>
      <c r="AN247" s="287"/>
      <c r="AO247" s="290">
        <f>'Unit Savings Calculations'!P243</f>
        <v>1514.573584976577</v>
      </c>
      <c r="AP247" s="287" t="s">
        <v>764</v>
      </c>
      <c r="AQ247" s="292">
        <f t="shared" si="121"/>
        <v>0</v>
      </c>
      <c r="AR247" s="289">
        <f t="shared" si="122"/>
        <v>0</v>
      </c>
      <c r="AS247" s="287"/>
      <c r="AT247" s="287"/>
      <c r="AU247" s="290">
        <f>'Unit Savings Calculations'!Q243</f>
        <v>1514.573584976577</v>
      </c>
      <c r="AV247" s="287" t="str">
        <f t="shared" si="109"/>
        <v>n/a</v>
      </c>
      <c r="AW247" s="292">
        <f t="shared" si="123"/>
        <v>0</v>
      </c>
      <c r="AX247" s="289">
        <f t="shared" si="124"/>
        <v>0</v>
      </c>
      <c r="AY247" s="292">
        <f t="shared" si="110"/>
        <v>0</v>
      </c>
      <c r="AZ247" s="292">
        <f t="shared" si="111"/>
        <v>0</v>
      </c>
      <c r="BA247" s="292">
        <f t="shared" si="112"/>
        <v>0</v>
      </c>
      <c r="BB247" s="292">
        <f t="shared" si="113"/>
        <v>0</v>
      </c>
      <c r="BC247" s="294">
        <f t="shared" si="114"/>
        <v>0</v>
      </c>
      <c r="BD247" s="287" t="s">
        <v>764</v>
      </c>
      <c r="BE247" s="295" t="str">
        <f t="shared" si="115"/>
        <v>Exhibit 1.5B_R Peoples Gas EEPS_Adjustable_Savings_Goal_Template.xlsx, Unit Savings Calculations Tab</v>
      </c>
      <c r="BF247" s="297"/>
    </row>
    <row r="248" spans="1:58" ht="13.5" customHeight="1">
      <c r="A248" s="287" t="str">
        <f>'Unit Savings Calculations'!C244</f>
        <v>Bus - SB Rebates -PTA</v>
      </c>
      <c r="B248" s="287" t="str">
        <f>'Unit Savings Calculations'!D244</f>
        <v>Water Heater 88% TE - Laundromat</v>
      </c>
      <c r="C248" s="288">
        <f t="shared" si="125"/>
        <v>0</v>
      </c>
      <c r="D248" s="287" t="str">
        <f>'Unit Savings Calculations'!T244</f>
        <v>Custom</v>
      </c>
      <c r="E248" s="287">
        <f>INDEX('Unit Savings Calculations'!$H$4:$H$421,MATCH('Measure-Level Adjustments Tab'!$A248&amp;"_"&amp;'Measure-Level Adjustments Tab'!$B248,'Unit Savings Calculations'!$A$4:$A$421,0))</f>
        <v>15</v>
      </c>
      <c r="F248" s="287">
        <f>INDEX('Unit Savings Calculations'!$I$4:$I$421,MATCH('Measure-Level Adjustments Tab'!A248&amp;"_"&amp;'Measure-Level Adjustments Tab'!B248,'Unit Savings Calculations'!$A$4:$A$421,0))</f>
        <v>15</v>
      </c>
      <c r="G248" s="287" t="str">
        <f>'Unit Savings Calculations'!E244</f>
        <v>MBH</v>
      </c>
      <c r="H248" s="289">
        <f>'Unit Savings Calculations'!$F244*'Unit Savings Calculations'!J244</f>
        <v>1500</v>
      </c>
      <c r="I248" s="289">
        <f>'Unit Savings Calculations'!$F244*'Unit Savings Calculations'!K244</f>
        <v>1500</v>
      </c>
      <c r="J248" s="289">
        <f>'Unit Savings Calculations'!$F244*'Unit Savings Calculations'!L244</f>
        <v>1500</v>
      </c>
      <c r="K248" s="289">
        <f>'Unit Savings Calculations'!$F244*'Unit Savings Calculations'!M244</f>
        <v>1500</v>
      </c>
      <c r="L248" s="287" t="str">
        <f>'Unit Savings Calculations'!U244</f>
        <v>Custom</v>
      </c>
      <c r="M248" s="363" t="s">
        <v>828</v>
      </c>
      <c r="N248" s="290">
        <v>1.0567132867132856</v>
      </c>
      <c r="O248" s="290">
        <v>1.0567132867132856</v>
      </c>
      <c r="P248" s="290">
        <v>1.0567132867132856</v>
      </c>
      <c r="Q248" s="290">
        <v>1.0567132867132856</v>
      </c>
      <c r="R248" s="291">
        <f>'Unit Savings Calculations'!$G244</f>
        <v>0.92</v>
      </c>
      <c r="S248" s="291">
        <f>'Unit Savings Calculations'!$G244</f>
        <v>0.92</v>
      </c>
      <c r="T248" s="291">
        <f>'Unit Savings Calculations'!$G244</f>
        <v>0.92</v>
      </c>
      <c r="U248" s="291">
        <f>'Unit Savings Calculations'!$G244</f>
        <v>0.92</v>
      </c>
      <c r="V248" s="292">
        <f t="shared" si="126"/>
        <v>1458.2643356643341</v>
      </c>
      <c r="W248" s="292">
        <f t="shared" si="127"/>
        <v>1458.2643356643341</v>
      </c>
      <c r="X248" s="292">
        <f t="shared" si="128"/>
        <v>1458.2643356643341</v>
      </c>
      <c r="Y248" s="292">
        <f t="shared" si="129"/>
        <v>1458.2643356643341</v>
      </c>
      <c r="Z248" s="292">
        <f t="shared" si="130"/>
        <v>5833.0573426573364</v>
      </c>
      <c r="AA248" s="364"/>
      <c r="AB248" s="364"/>
      <c r="AC248" s="365">
        <f>'Unit Savings Calculations'!N244</f>
        <v>1.0567132867132856</v>
      </c>
      <c r="AD248" s="364"/>
      <c r="AE248" s="366">
        <f t="shared" si="116"/>
        <v>1458.2643356643341</v>
      </c>
      <c r="AF248" s="367">
        <f t="shared" si="117"/>
        <v>0</v>
      </c>
      <c r="AG248" s="364"/>
      <c r="AH248" s="364">
        <f t="shared" si="118"/>
        <v>0</v>
      </c>
      <c r="AI248" s="368">
        <f>'Unit Savings Calculations'!O244</f>
        <v>1.0567132867132856</v>
      </c>
      <c r="AJ248" s="364" t="s">
        <v>872</v>
      </c>
      <c r="AK248" s="366">
        <f t="shared" si="119"/>
        <v>1458.2643356643341</v>
      </c>
      <c r="AL248" s="367">
        <f t="shared" si="120"/>
        <v>0</v>
      </c>
      <c r="AM248" s="364"/>
      <c r="AN248" s="364"/>
      <c r="AO248" s="368">
        <f>'Unit Savings Calculations'!P244</f>
        <v>1.0567132867132856</v>
      </c>
      <c r="AP248" s="364" t="s">
        <v>764</v>
      </c>
      <c r="AQ248" s="366">
        <f t="shared" si="121"/>
        <v>1458.2643356643341</v>
      </c>
      <c r="AR248" s="367">
        <f t="shared" si="122"/>
        <v>0</v>
      </c>
      <c r="AS248" s="364"/>
      <c r="AT248" s="364"/>
      <c r="AU248" s="368">
        <f>'Unit Savings Calculations'!Q244</f>
        <v>1.0567132867132856</v>
      </c>
      <c r="AV248" s="364" t="str">
        <f t="shared" si="109"/>
        <v>n/a</v>
      </c>
      <c r="AW248" s="366">
        <f t="shared" si="123"/>
        <v>1458.2643356643341</v>
      </c>
      <c r="AX248" s="367">
        <f t="shared" si="124"/>
        <v>0</v>
      </c>
      <c r="AY248" s="292">
        <f t="shared" si="110"/>
        <v>1458.2643356643341</v>
      </c>
      <c r="AZ248" s="292">
        <f t="shared" si="111"/>
        <v>1458.2643356643341</v>
      </c>
      <c r="BA248" s="292">
        <f t="shared" si="112"/>
        <v>1458.2643356643341</v>
      </c>
      <c r="BB248" s="292">
        <f t="shared" si="113"/>
        <v>1458.2643356643341</v>
      </c>
      <c r="BC248" s="294">
        <f t="shared" si="114"/>
        <v>5833.0573426573364</v>
      </c>
      <c r="BD248" s="287" t="s">
        <v>764</v>
      </c>
      <c r="BE248" s="295" t="str">
        <f t="shared" si="115"/>
        <v>Exhibit 1.5B_R Peoples Gas EEPS_Adjustable_Savings_Goal_Template.xlsx, Laundromat Broiler Detail Tab</v>
      </c>
      <c r="BF248" s="297"/>
    </row>
    <row r="249" spans="1:58" ht="13.5" customHeight="1">
      <c r="A249" s="287" t="str">
        <f>'Unit Savings Calculations'!C245</f>
        <v>Bus - SB Rebates -PTA</v>
      </c>
      <c r="B249" s="287" t="str">
        <f>'Unit Savings Calculations'!D245</f>
        <v>Water Heater 95% TE - Laundromat</v>
      </c>
      <c r="C249" s="288">
        <f t="shared" si="125"/>
        <v>0</v>
      </c>
      <c r="D249" s="287" t="str">
        <f>'Unit Savings Calculations'!T245</f>
        <v>Custom</v>
      </c>
      <c r="E249" s="287">
        <f>INDEX('Unit Savings Calculations'!$H$4:$H$421,MATCH('Measure-Level Adjustments Tab'!$A249&amp;"_"&amp;'Measure-Level Adjustments Tab'!$B249,'Unit Savings Calculations'!$A$4:$A$421,0))</f>
        <v>15</v>
      </c>
      <c r="F249" s="287">
        <f>INDEX('Unit Savings Calculations'!$I$4:$I$421,MATCH('Measure-Level Adjustments Tab'!A249&amp;"_"&amp;'Measure-Level Adjustments Tab'!B249,'Unit Savings Calculations'!$A$4:$A$421,0))</f>
        <v>15</v>
      </c>
      <c r="G249" s="287" t="str">
        <f>'Unit Savings Calculations'!E245</f>
        <v>MBH</v>
      </c>
      <c r="H249" s="289">
        <f>'Unit Savings Calculations'!$F245*'Unit Savings Calculations'!J245</f>
        <v>375</v>
      </c>
      <c r="I249" s="289">
        <f>'Unit Savings Calculations'!$F245*'Unit Savings Calculations'!K245</f>
        <v>375</v>
      </c>
      <c r="J249" s="289">
        <f>'Unit Savings Calculations'!$F245*'Unit Savings Calculations'!L245</f>
        <v>375</v>
      </c>
      <c r="K249" s="289">
        <f>'Unit Savings Calculations'!$F245*'Unit Savings Calculations'!M245</f>
        <v>375</v>
      </c>
      <c r="L249" s="287" t="str">
        <f>'Unit Savings Calculations'!U245</f>
        <v>Custom</v>
      </c>
      <c r="M249" s="363" t="s">
        <v>828</v>
      </c>
      <c r="N249" s="290">
        <v>1.8353441295546562</v>
      </c>
      <c r="O249" s="290">
        <v>1.8353441295546562</v>
      </c>
      <c r="P249" s="290">
        <v>1.8353441295546562</v>
      </c>
      <c r="Q249" s="290">
        <v>1.8353441295546562</v>
      </c>
      <c r="R249" s="291">
        <f>'Unit Savings Calculations'!$G245</f>
        <v>0.92</v>
      </c>
      <c r="S249" s="291">
        <f>'Unit Savings Calculations'!$G245</f>
        <v>0.92</v>
      </c>
      <c r="T249" s="291">
        <f>'Unit Savings Calculations'!$G245</f>
        <v>0.92</v>
      </c>
      <c r="U249" s="291">
        <f>'Unit Savings Calculations'!$G245</f>
        <v>0.92</v>
      </c>
      <c r="V249" s="292">
        <f t="shared" si="126"/>
        <v>633.19372469635641</v>
      </c>
      <c r="W249" s="292">
        <f t="shared" si="127"/>
        <v>633.19372469635641</v>
      </c>
      <c r="X249" s="292">
        <f t="shared" si="128"/>
        <v>633.19372469635641</v>
      </c>
      <c r="Y249" s="292">
        <f t="shared" si="129"/>
        <v>633.19372469635641</v>
      </c>
      <c r="Z249" s="292">
        <f t="shared" si="130"/>
        <v>2532.7748987854256</v>
      </c>
      <c r="AA249" s="364"/>
      <c r="AB249" s="364"/>
      <c r="AC249" s="365">
        <f>'Unit Savings Calculations'!N245</f>
        <v>1.8353441295546562</v>
      </c>
      <c r="AD249" s="364"/>
      <c r="AE249" s="366">
        <f t="shared" si="116"/>
        <v>633.19372469635641</v>
      </c>
      <c r="AF249" s="367">
        <f t="shared" si="117"/>
        <v>0</v>
      </c>
      <c r="AG249" s="364"/>
      <c r="AH249" s="364">
        <f t="shared" si="118"/>
        <v>0</v>
      </c>
      <c r="AI249" s="368">
        <f>'Unit Savings Calculations'!O245</f>
        <v>1.8353441295546562</v>
      </c>
      <c r="AJ249" s="364" t="s">
        <v>872</v>
      </c>
      <c r="AK249" s="366">
        <f t="shared" si="119"/>
        <v>633.19372469635641</v>
      </c>
      <c r="AL249" s="367">
        <f t="shared" si="120"/>
        <v>0</v>
      </c>
      <c r="AM249" s="364"/>
      <c r="AN249" s="364"/>
      <c r="AO249" s="368">
        <f>'Unit Savings Calculations'!P245</f>
        <v>1.8353441295546562</v>
      </c>
      <c r="AP249" s="364" t="s">
        <v>764</v>
      </c>
      <c r="AQ249" s="366">
        <f t="shared" si="121"/>
        <v>633.19372469635641</v>
      </c>
      <c r="AR249" s="367">
        <f t="shared" si="122"/>
        <v>0</v>
      </c>
      <c r="AS249" s="364"/>
      <c r="AT249" s="364"/>
      <c r="AU249" s="368">
        <f>'Unit Savings Calculations'!Q245</f>
        <v>1.8353441295546562</v>
      </c>
      <c r="AV249" s="364" t="str">
        <f t="shared" si="109"/>
        <v>n/a</v>
      </c>
      <c r="AW249" s="366">
        <f t="shared" si="123"/>
        <v>633.19372469635641</v>
      </c>
      <c r="AX249" s="367">
        <f t="shared" si="124"/>
        <v>0</v>
      </c>
      <c r="AY249" s="292">
        <f t="shared" si="110"/>
        <v>633.19372469635641</v>
      </c>
      <c r="AZ249" s="292">
        <f t="shared" si="111"/>
        <v>633.19372469635641</v>
      </c>
      <c r="BA249" s="292">
        <f t="shared" si="112"/>
        <v>633.19372469635641</v>
      </c>
      <c r="BB249" s="292">
        <f t="shared" si="113"/>
        <v>633.19372469635641</v>
      </c>
      <c r="BC249" s="294">
        <f t="shared" si="114"/>
        <v>2532.7748987854256</v>
      </c>
      <c r="BD249" s="287" t="s">
        <v>764</v>
      </c>
      <c r="BE249" s="295" t="str">
        <f t="shared" si="115"/>
        <v>Exhibit 1.5B_R Peoples Gas EEPS_Adjustable_Savings_Goal_Template.xlsx, Laundromat Broiler Detail Tab</v>
      </c>
      <c r="BF249" s="297"/>
    </row>
    <row r="250" spans="1:58" ht="13.5" customHeight="1">
      <c r="A250" s="287" t="str">
        <f>'Unit Savings Calculations'!C246</f>
        <v>Bus - CI Rebates</v>
      </c>
      <c r="B250" s="287" t="str">
        <f>'Unit Savings Calculations'!D246</f>
        <v>Boiler ≥88% AFUE, &lt;300MBh</v>
      </c>
      <c r="C250" s="288">
        <f t="shared" si="125"/>
        <v>1</v>
      </c>
      <c r="D250" s="287" t="str">
        <f>'Unit Savings Calculations'!T246</f>
        <v>4.4.10</v>
      </c>
      <c r="E250" s="287">
        <f>INDEX('Unit Savings Calculations'!$H$4:$H$421,MATCH('Measure-Level Adjustments Tab'!$A250&amp;"_"&amp;'Measure-Level Adjustments Tab'!$B250,'Unit Savings Calculations'!$A$4:$A$421,0))</f>
        <v>20</v>
      </c>
      <c r="F250" s="287">
        <f>INDEX('Unit Savings Calculations'!$I$4:$I$421,MATCH('Measure-Level Adjustments Tab'!A250&amp;"_"&amp;'Measure-Level Adjustments Tab'!B250,'Unit Savings Calculations'!$A$4:$A$421,0))</f>
        <v>20</v>
      </c>
      <c r="G250" s="287" t="str">
        <f>'Unit Savings Calculations'!E246</f>
        <v>MBH</v>
      </c>
      <c r="H250" s="289">
        <f>'Unit Savings Calculations'!$F246*'Unit Savings Calculations'!J246</f>
        <v>0</v>
      </c>
      <c r="I250" s="289">
        <f>'Unit Savings Calculations'!$F246*'Unit Savings Calculations'!K246</f>
        <v>0</v>
      </c>
      <c r="J250" s="289">
        <f>'Unit Savings Calculations'!$F246*'Unit Savings Calculations'!L246</f>
        <v>0</v>
      </c>
      <c r="K250" s="289">
        <f>'Unit Savings Calculations'!$F246*'Unit Savings Calculations'!M246</f>
        <v>0</v>
      </c>
      <c r="L250" s="287" t="str">
        <f>'Unit Savings Calculations'!U246</f>
        <v>CI-HVC-BOIL-V05-150601</v>
      </c>
      <c r="M250" s="363" t="s">
        <v>830</v>
      </c>
      <c r="N250" s="290">
        <v>1.126097560975611</v>
      </c>
      <c r="O250" s="290">
        <v>1.126097560975611</v>
      </c>
      <c r="P250" s="290">
        <v>1.126097560975611</v>
      </c>
      <c r="Q250" s="290">
        <v>1.126097560975611</v>
      </c>
      <c r="R250" s="291">
        <f>'Unit Savings Calculations'!$G246</f>
        <v>0.79</v>
      </c>
      <c r="S250" s="291">
        <f>'Unit Savings Calculations'!$G246</f>
        <v>0.79</v>
      </c>
      <c r="T250" s="291">
        <f>'Unit Savings Calculations'!$G246</f>
        <v>0.79</v>
      </c>
      <c r="U250" s="291">
        <f>'Unit Savings Calculations'!$G246</f>
        <v>0.79</v>
      </c>
      <c r="V250" s="292">
        <f t="shared" si="126"/>
        <v>0</v>
      </c>
      <c r="W250" s="292">
        <f t="shared" si="127"/>
        <v>0</v>
      </c>
      <c r="X250" s="292">
        <f t="shared" si="128"/>
        <v>0</v>
      </c>
      <c r="Y250" s="292">
        <f t="shared" si="129"/>
        <v>0</v>
      </c>
      <c r="Z250" s="292">
        <f t="shared" si="130"/>
        <v>0</v>
      </c>
      <c r="AA250" s="287"/>
      <c r="AB250" s="287"/>
      <c r="AC250" s="293">
        <f>'Unit Savings Calculations'!N246</f>
        <v>1.2278048780487816</v>
      </c>
      <c r="AD250" s="287"/>
      <c r="AE250" s="292">
        <f t="shared" si="116"/>
        <v>0</v>
      </c>
      <c r="AF250" s="289">
        <f t="shared" si="117"/>
        <v>0</v>
      </c>
      <c r="AG250" s="287"/>
      <c r="AH250" s="287">
        <f t="shared" si="118"/>
        <v>0</v>
      </c>
      <c r="AI250" s="290">
        <f>'Unit Savings Calculations'!O246</f>
        <v>1.2278048780487816</v>
      </c>
      <c r="AJ250" s="287" t="s">
        <v>872</v>
      </c>
      <c r="AK250" s="292">
        <f t="shared" si="119"/>
        <v>0</v>
      </c>
      <c r="AL250" s="289">
        <f t="shared" si="120"/>
        <v>0</v>
      </c>
      <c r="AM250" s="287"/>
      <c r="AN250" s="287"/>
      <c r="AO250" s="290">
        <f>'Unit Savings Calculations'!P246</f>
        <v>1.2278048780487816</v>
      </c>
      <c r="AP250" s="287" t="s">
        <v>1450</v>
      </c>
      <c r="AQ250" s="292">
        <f t="shared" si="121"/>
        <v>0</v>
      </c>
      <c r="AR250" s="289">
        <f t="shared" si="122"/>
        <v>0</v>
      </c>
      <c r="AS250" s="287"/>
      <c r="AT250" s="287"/>
      <c r="AU250" s="290">
        <f>'Unit Savings Calculations'!Q246</f>
        <v>1.2278048780487816</v>
      </c>
      <c r="AV250" s="287" t="str">
        <f t="shared" si="109"/>
        <v>Updated heating EFLH</v>
      </c>
      <c r="AW250" s="292">
        <f t="shared" si="123"/>
        <v>0</v>
      </c>
      <c r="AX250" s="289">
        <f t="shared" si="124"/>
        <v>0</v>
      </c>
      <c r="AY250" s="292">
        <f t="shared" si="110"/>
        <v>0</v>
      </c>
      <c r="AZ250" s="292">
        <f t="shared" si="111"/>
        <v>0</v>
      </c>
      <c r="BA250" s="292">
        <f t="shared" si="112"/>
        <v>0</v>
      </c>
      <c r="BB250" s="292">
        <f t="shared" si="113"/>
        <v>0</v>
      </c>
      <c r="BC250" s="294">
        <f t="shared" si="114"/>
        <v>0</v>
      </c>
      <c r="BD250" s="287" t="s">
        <v>764</v>
      </c>
      <c r="BE250" s="295" t="str">
        <f t="shared" si="115"/>
        <v>Exhibit 1.5B_R Peoples Gas EEPS_Adjustable_Savings_Goal_Template.xlsx, Unit Savings Calculations Tab</v>
      </c>
      <c r="BF250" s="297"/>
    </row>
    <row r="251" spans="1:58" ht="13.5" customHeight="1">
      <c r="A251" s="287" t="str">
        <f>'Unit Savings Calculations'!C247</f>
        <v>Bus - CI Rebates</v>
      </c>
      <c r="B251" s="287" t="str">
        <f>'Unit Savings Calculations'!D247</f>
        <v>Boiler ≥88% AFUE, ≥300MBh TE</v>
      </c>
      <c r="C251" s="288">
        <f t="shared" si="125"/>
        <v>1</v>
      </c>
      <c r="D251" s="287" t="str">
        <f>'Unit Savings Calculations'!T247</f>
        <v>4.4.10</v>
      </c>
      <c r="E251" s="287">
        <f>INDEX('Unit Savings Calculations'!$H$4:$H$421,MATCH('Measure-Level Adjustments Tab'!$A251&amp;"_"&amp;'Measure-Level Adjustments Tab'!$B251,'Unit Savings Calculations'!$A$4:$A$421,0))</f>
        <v>20</v>
      </c>
      <c r="F251" s="287">
        <f>INDEX('Unit Savings Calculations'!$I$4:$I$421,MATCH('Measure-Level Adjustments Tab'!A251&amp;"_"&amp;'Measure-Level Adjustments Tab'!B251,'Unit Savings Calculations'!$A$4:$A$421,0))</f>
        <v>20</v>
      </c>
      <c r="G251" s="287" t="str">
        <f>'Unit Savings Calculations'!E247</f>
        <v>MBH</v>
      </c>
      <c r="H251" s="289">
        <f>'Unit Savings Calculations'!$F247*'Unit Savings Calculations'!J247</f>
        <v>2800</v>
      </c>
      <c r="I251" s="289">
        <f>'Unit Savings Calculations'!$F247*'Unit Savings Calculations'!K247</f>
        <v>2800</v>
      </c>
      <c r="J251" s="289">
        <f>'Unit Savings Calculations'!$F247*'Unit Savings Calculations'!L247</f>
        <v>2800</v>
      </c>
      <c r="K251" s="289">
        <f>'Unit Savings Calculations'!$F247*'Unit Savings Calculations'!M247</f>
        <v>2800</v>
      </c>
      <c r="L251" s="287" t="str">
        <f>'Unit Savings Calculations'!U247</f>
        <v>CI-HVC-BOIL-V05-150601</v>
      </c>
      <c r="M251" s="363" t="s">
        <v>830</v>
      </c>
      <c r="N251" s="290">
        <v>1.5389999999999993</v>
      </c>
      <c r="O251" s="290">
        <v>1.5389999999999993</v>
      </c>
      <c r="P251" s="290">
        <v>1.5389999999999993</v>
      </c>
      <c r="Q251" s="290">
        <v>1.5389999999999993</v>
      </c>
      <c r="R251" s="291">
        <f>'Unit Savings Calculations'!$G247</f>
        <v>0.79</v>
      </c>
      <c r="S251" s="291">
        <f>'Unit Savings Calculations'!$G247</f>
        <v>0.79</v>
      </c>
      <c r="T251" s="291">
        <f>'Unit Savings Calculations'!$G247</f>
        <v>0.79</v>
      </c>
      <c r="U251" s="291">
        <f>'Unit Savings Calculations'!$G247</f>
        <v>0.79</v>
      </c>
      <c r="V251" s="292">
        <f t="shared" si="126"/>
        <v>3404.2679999999987</v>
      </c>
      <c r="W251" s="292">
        <f t="shared" si="127"/>
        <v>3404.2679999999987</v>
      </c>
      <c r="X251" s="292">
        <f t="shared" si="128"/>
        <v>3404.2679999999987</v>
      </c>
      <c r="Y251" s="292">
        <f t="shared" si="129"/>
        <v>3404.2679999999987</v>
      </c>
      <c r="Z251" s="292">
        <f t="shared" si="130"/>
        <v>13617.071999999995</v>
      </c>
      <c r="AA251" s="287"/>
      <c r="AB251" s="287"/>
      <c r="AC251" s="293">
        <f>'Unit Savings Calculations'!N247</f>
        <v>1.6779999999999993</v>
      </c>
      <c r="AD251" s="287"/>
      <c r="AE251" s="292">
        <f t="shared" si="116"/>
        <v>3711.7359999999985</v>
      </c>
      <c r="AF251" s="289">
        <f t="shared" si="117"/>
        <v>307.46799999999985</v>
      </c>
      <c r="AG251" s="287"/>
      <c r="AH251" s="287">
        <f t="shared" si="118"/>
        <v>0</v>
      </c>
      <c r="AI251" s="290">
        <f>'Unit Savings Calculations'!O247</f>
        <v>1.6779999999999993</v>
      </c>
      <c r="AJ251" s="287" t="s">
        <v>872</v>
      </c>
      <c r="AK251" s="292">
        <f t="shared" si="119"/>
        <v>3711.7359999999985</v>
      </c>
      <c r="AL251" s="289">
        <f t="shared" si="120"/>
        <v>307.46799999999985</v>
      </c>
      <c r="AM251" s="287"/>
      <c r="AN251" s="287"/>
      <c r="AO251" s="290">
        <f>'Unit Savings Calculations'!P247</f>
        <v>1.6779999999999993</v>
      </c>
      <c r="AP251" s="287" t="s">
        <v>1450</v>
      </c>
      <c r="AQ251" s="292">
        <f t="shared" si="121"/>
        <v>3711.7359999999985</v>
      </c>
      <c r="AR251" s="289">
        <f t="shared" si="122"/>
        <v>307.46799999999985</v>
      </c>
      <c r="AS251" s="287"/>
      <c r="AT251" s="287"/>
      <c r="AU251" s="290">
        <f>'Unit Savings Calculations'!Q247</f>
        <v>1.6779999999999993</v>
      </c>
      <c r="AV251" s="287" t="str">
        <f t="shared" si="109"/>
        <v>Updated heating EFLH</v>
      </c>
      <c r="AW251" s="292">
        <f t="shared" si="123"/>
        <v>3711.7359999999985</v>
      </c>
      <c r="AX251" s="289">
        <f t="shared" si="124"/>
        <v>307.46799999999985</v>
      </c>
      <c r="AY251" s="292">
        <f t="shared" si="110"/>
        <v>3711.7359999999985</v>
      </c>
      <c r="AZ251" s="292">
        <f t="shared" si="111"/>
        <v>3711.7359999999985</v>
      </c>
      <c r="BA251" s="292">
        <f t="shared" si="112"/>
        <v>3711.7359999999985</v>
      </c>
      <c r="BB251" s="292">
        <f t="shared" si="113"/>
        <v>3711.7359999999985</v>
      </c>
      <c r="BC251" s="294">
        <f t="shared" si="114"/>
        <v>14846.943999999994</v>
      </c>
      <c r="BD251" s="287" t="s">
        <v>764</v>
      </c>
      <c r="BE251" s="295" t="str">
        <f t="shared" si="115"/>
        <v>Exhibit 1.5B_R Peoples Gas EEPS_Adjustable_Savings_Goal_Template.xlsx, Unit Savings Calculations Tab</v>
      </c>
      <c r="BF251" s="297"/>
    </row>
    <row r="252" spans="1:58" ht="13.5" customHeight="1">
      <c r="A252" s="287" t="str">
        <f>'Unit Savings Calculations'!C248</f>
        <v>Bus - CI Rebates</v>
      </c>
      <c r="B252" s="287" t="str">
        <f>'Unit Savings Calculations'!D248</f>
        <v>Boiler Reset Controls</v>
      </c>
      <c r="C252" s="288">
        <f t="shared" si="125"/>
        <v>1</v>
      </c>
      <c r="D252" s="287" t="str">
        <f>'Unit Savings Calculations'!T248</f>
        <v>4.4.4</v>
      </c>
      <c r="E252" s="287">
        <f>INDEX('Unit Savings Calculations'!$H$4:$H$421,MATCH('Measure-Level Adjustments Tab'!$A252&amp;"_"&amp;'Measure-Level Adjustments Tab'!$B252,'Unit Savings Calculations'!$A$4:$A$421,0))</f>
        <v>20</v>
      </c>
      <c r="F252" s="287">
        <f>INDEX('Unit Savings Calculations'!$I$4:$I$421,MATCH('Measure-Level Adjustments Tab'!A252&amp;"_"&amp;'Measure-Level Adjustments Tab'!B252,'Unit Savings Calculations'!$A$4:$A$421,0))</f>
        <v>20</v>
      </c>
      <c r="G252" s="287" t="str">
        <f>'Unit Savings Calculations'!E248</f>
        <v>each</v>
      </c>
      <c r="H252" s="289">
        <f>'Unit Savings Calculations'!$F248*'Unit Savings Calculations'!J248</f>
        <v>2400</v>
      </c>
      <c r="I252" s="289">
        <f>'Unit Savings Calculations'!$F248*'Unit Savings Calculations'!K248</f>
        <v>2400</v>
      </c>
      <c r="J252" s="289">
        <f>'Unit Savings Calculations'!$F248*'Unit Savings Calculations'!L248</f>
        <v>2400</v>
      </c>
      <c r="K252" s="289">
        <f>'Unit Savings Calculations'!$F248*'Unit Savings Calculations'!M248</f>
        <v>2400</v>
      </c>
      <c r="L252" s="287" t="str">
        <f>'Unit Savings Calculations'!U248</f>
        <v>CI-HVC-BLRC-V03-150601</v>
      </c>
      <c r="M252" s="363" t="s">
        <v>830</v>
      </c>
      <c r="N252" s="290">
        <v>1.2312000000000001</v>
      </c>
      <c r="O252" s="290">
        <v>1.2312000000000001</v>
      </c>
      <c r="P252" s="290">
        <v>1.2312000000000001</v>
      </c>
      <c r="Q252" s="290">
        <v>1.2312000000000001</v>
      </c>
      <c r="R252" s="291">
        <f>'Unit Savings Calculations'!$G248</f>
        <v>0.79</v>
      </c>
      <c r="S252" s="291">
        <f>'Unit Savings Calculations'!$G248</f>
        <v>0.79</v>
      </c>
      <c r="T252" s="291">
        <f>'Unit Savings Calculations'!$G248</f>
        <v>0.79</v>
      </c>
      <c r="U252" s="291">
        <f>'Unit Savings Calculations'!$G248</f>
        <v>0.79</v>
      </c>
      <c r="V252" s="292">
        <f t="shared" si="126"/>
        <v>2334.3552</v>
      </c>
      <c r="W252" s="292">
        <f t="shared" si="127"/>
        <v>2334.3552</v>
      </c>
      <c r="X252" s="292">
        <f t="shared" si="128"/>
        <v>2334.3552</v>
      </c>
      <c r="Y252" s="292">
        <f t="shared" si="129"/>
        <v>2334.3552</v>
      </c>
      <c r="Z252" s="292">
        <f t="shared" si="130"/>
        <v>9337.4207999999999</v>
      </c>
      <c r="AA252" s="287"/>
      <c r="AB252" s="287"/>
      <c r="AC252" s="293">
        <f>'Unit Savings Calculations'!N248</f>
        <v>1.3424</v>
      </c>
      <c r="AD252" s="287"/>
      <c r="AE252" s="292">
        <f t="shared" si="116"/>
        <v>2545.1904000000004</v>
      </c>
      <c r="AF252" s="289">
        <f t="shared" si="117"/>
        <v>210.83520000000044</v>
      </c>
      <c r="AG252" s="287"/>
      <c r="AH252" s="287">
        <f t="shared" si="118"/>
        <v>0</v>
      </c>
      <c r="AI252" s="290">
        <f>'Unit Savings Calculations'!O248</f>
        <v>1.3424</v>
      </c>
      <c r="AJ252" s="287" t="s">
        <v>872</v>
      </c>
      <c r="AK252" s="292">
        <f t="shared" si="119"/>
        <v>2545.1904000000004</v>
      </c>
      <c r="AL252" s="289">
        <f t="shared" si="120"/>
        <v>210.83520000000044</v>
      </c>
      <c r="AM252" s="287"/>
      <c r="AN252" s="287"/>
      <c r="AO252" s="290">
        <f>'Unit Savings Calculations'!P248</f>
        <v>1.3424</v>
      </c>
      <c r="AP252" s="287" t="s">
        <v>1450</v>
      </c>
      <c r="AQ252" s="292">
        <f t="shared" si="121"/>
        <v>2545.1904000000004</v>
      </c>
      <c r="AR252" s="289">
        <f t="shared" si="122"/>
        <v>210.83520000000044</v>
      </c>
      <c r="AS252" s="287"/>
      <c r="AT252" s="287"/>
      <c r="AU252" s="290">
        <f>'Unit Savings Calculations'!Q248</f>
        <v>1.3424</v>
      </c>
      <c r="AV252" s="287" t="str">
        <f t="shared" si="109"/>
        <v>Updated heating EFLH</v>
      </c>
      <c r="AW252" s="292">
        <f t="shared" si="123"/>
        <v>2545.1904000000004</v>
      </c>
      <c r="AX252" s="289">
        <f t="shared" si="124"/>
        <v>210.83520000000044</v>
      </c>
      <c r="AY252" s="292">
        <f t="shared" si="110"/>
        <v>2545.1904000000004</v>
      </c>
      <c r="AZ252" s="292">
        <f t="shared" si="111"/>
        <v>2545.1904000000004</v>
      </c>
      <c r="BA252" s="292">
        <f t="shared" si="112"/>
        <v>2545.1904000000004</v>
      </c>
      <c r="BB252" s="292">
        <f t="shared" si="113"/>
        <v>2545.1904000000004</v>
      </c>
      <c r="BC252" s="294">
        <f t="shared" si="114"/>
        <v>10180.761600000002</v>
      </c>
      <c r="BD252" s="287" t="s">
        <v>764</v>
      </c>
      <c r="BE252" s="295" t="str">
        <f t="shared" si="115"/>
        <v>Exhibit 1.5B_R Peoples Gas EEPS_Adjustable_Savings_Goal_Template.xlsx, Unit Savings Calculations Tab</v>
      </c>
      <c r="BF252" s="297"/>
    </row>
    <row r="253" spans="1:58" ht="13.5" customHeight="1">
      <c r="A253" s="287" t="str">
        <f>'Unit Savings Calculations'!C249</f>
        <v>Bus - CI Rebates</v>
      </c>
      <c r="B253" s="287" t="str">
        <f>'Unit Savings Calculations'!D249</f>
        <v>Boiler Tune Up - Process</v>
      </c>
      <c r="C253" s="288">
        <f t="shared" si="125"/>
        <v>1</v>
      </c>
      <c r="D253" s="287" t="str">
        <f>'Unit Savings Calculations'!T249</f>
        <v>4.4.3</v>
      </c>
      <c r="E253" s="287">
        <f>INDEX('Unit Savings Calculations'!$H$4:$H$421,MATCH('Measure-Level Adjustments Tab'!$A253&amp;"_"&amp;'Measure-Level Adjustments Tab'!$B253,'Unit Savings Calculations'!$A$4:$A$421,0))</f>
        <v>3</v>
      </c>
      <c r="F253" s="287">
        <f>INDEX('Unit Savings Calculations'!$I$4:$I$421,MATCH('Measure-Level Adjustments Tab'!A253&amp;"_"&amp;'Measure-Level Adjustments Tab'!B253,'Unit Savings Calculations'!$A$4:$A$421,0))</f>
        <v>3</v>
      </c>
      <c r="G253" s="287" t="str">
        <f>'Unit Savings Calculations'!E249</f>
        <v>MBH</v>
      </c>
      <c r="H253" s="289">
        <f>'Unit Savings Calculations'!$F249*'Unit Savings Calculations'!J249</f>
        <v>50000</v>
      </c>
      <c r="I253" s="289">
        <f>'Unit Savings Calculations'!$F249*'Unit Savings Calculations'!K249</f>
        <v>50000</v>
      </c>
      <c r="J253" s="289">
        <f>'Unit Savings Calculations'!$F249*'Unit Savings Calculations'!L249</f>
        <v>50000</v>
      </c>
      <c r="K253" s="289">
        <f>'Unit Savings Calculations'!$F249*'Unit Savings Calculations'!M249</f>
        <v>50000</v>
      </c>
      <c r="L253" s="287" t="str">
        <f>'Unit Savings Calculations'!U249</f>
        <v>CI-HVC-PBTU-V05-160601</v>
      </c>
      <c r="M253" s="363" t="s">
        <v>830</v>
      </c>
      <c r="N253" s="290">
        <v>0.83823507428978783</v>
      </c>
      <c r="O253" s="290">
        <v>0.83823507428978783</v>
      </c>
      <c r="P253" s="290">
        <v>0.83823507428978783</v>
      </c>
      <c r="Q253" s="290">
        <v>0.83823507428978783</v>
      </c>
      <c r="R253" s="291">
        <f>'Unit Savings Calculations'!$G249</f>
        <v>0.79</v>
      </c>
      <c r="S253" s="291">
        <f>'Unit Savings Calculations'!$G249</f>
        <v>0.79</v>
      </c>
      <c r="T253" s="291">
        <f>'Unit Savings Calculations'!$G249</f>
        <v>0.79</v>
      </c>
      <c r="U253" s="291">
        <f>'Unit Savings Calculations'!$G249</f>
        <v>0.79</v>
      </c>
      <c r="V253" s="292">
        <f t="shared" si="126"/>
        <v>33110.285434446625</v>
      </c>
      <c r="W253" s="292">
        <f t="shared" si="127"/>
        <v>33110.285434446625</v>
      </c>
      <c r="X253" s="292">
        <f t="shared" si="128"/>
        <v>33110.285434446625</v>
      </c>
      <c r="Y253" s="292">
        <f t="shared" si="129"/>
        <v>33110.285434446625</v>
      </c>
      <c r="Z253" s="292">
        <f t="shared" si="130"/>
        <v>132441.1417377865</v>
      </c>
      <c r="AA253" s="287"/>
      <c r="AB253" s="287"/>
      <c r="AC253" s="293">
        <f>'Unit Savings Calculations'!N249</f>
        <v>0.83823507428978783</v>
      </c>
      <c r="AD253" s="287"/>
      <c r="AE253" s="292">
        <f t="shared" si="116"/>
        <v>33110.285434446625</v>
      </c>
      <c r="AF253" s="289">
        <f t="shared" si="117"/>
        <v>0</v>
      </c>
      <c r="AG253" s="287"/>
      <c r="AH253" s="287">
        <f t="shared" si="118"/>
        <v>0</v>
      </c>
      <c r="AI253" s="290">
        <f>'Unit Savings Calculations'!O249</f>
        <v>0.83823507428978783</v>
      </c>
      <c r="AJ253" s="287" t="s">
        <v>872</v>
      </c>
      <c r="AK253" s="292">
        <f t="shared" si="119"/>
        <v>33110.285434446625</v>
      </c>
      <c r="AL253" s="289">
        <f t="shared" si="120"/>
        <v>0</v>
      </c>
      <c r="AM253" s="287"/>
      <c r="AN253" s="287"/>
      <c r="AO253" s="290">
        <f>'Unit Savings Calculations'!P249</f>
        <v>0.83823507428978783</v>
      </c>
      <c r="AP253" s="287" t="s">
        <v>764</v>
      </c>
      <c r="AQ253" s="292">
        <f t="shared" si="121"/>
        <v>33110.285434446625</v>
      </c>
      <c r="AR253" s="289">
        <f t="shared" si="122"/>
        <v>0</v>
      </c>
      <c r="AS253" s="287"/>
      <c r="AT253" s="287"/>
      <c r="AU253" s="290">
        <f>'Unit Savings Calculations'!Q249</f>
        <v>0.83823507428978783</v>
      </c>
      <c r="AV253" s="287" t="str">
        <f t="shared" si="109"/>
        <v>n/a</v>
      </c>
      <c r="AW253" s="292">
        <f t="shared" si="123"/>
        <v>33110.285434446625</v>
      </c>
      <c r="AX253" s="289">
        <f t="shared" si="124"/>
        <v>0</v>
      </c>
      <c r="AY253" s="292">
        <f t="shared" si="110"/>
        <v>33110.285434446625</v>
      </c>
      <c r="AZ253" s="292">
        <f t="shared" si="111"/>
        <v>33110.285434446625</v>
      </c>
      <c r="BA253" s="292">
        <f t="shared" si="112"/>
        <v>33110.285434446625</v>
      </c>
      <c r="BB253" s="292">
        <f t="shared" si="113"/>
        <v>33110.285434446625</v>
      </c>
      <c r="BC253" s="294">
        <f t="shared" si="114"/>
        <v>132441.1417377865</v>
      </c>
      <c r="BD253" s="287" t="s">
        <v>764</v>
      </c>
      <c r="BE253" s="295" t="str">
        <f t="shared" si="115"/>
        <v>Exhibit 1.5B_R Peoples Gas EEPS_Adjustable_Savings_Goal_Template.xlsx, Unit Savings Calculations Tab</v>
      </c>
      <c r="BF253" s="297"/>
    </row>
    <row r="254" spans="1:58" ht="13.5" customHeight="1">
      <c r="A254" s="287" t="str">
        <f>'Unit Savings Calculations'!C250</f>
        <v>Bus - CI Rebates</v>
      </c>
      <c r="B254" s="287" t="str">
        <f>'Unit Savings Calculations'!D250</f>
        <v>Boiler Tune Up - Space Heating</v>
      </c>
      <c r="C254" s="288">
        <f t="shared" si="125"/>
        <v>1</v>
      </c>
      <c r="D254" s="287" t="str">
        <f>'Unit Savings Calculations'!T250</f>
        <v>4.4.2</v>
      </c>
      <c r="E254" s="287">
        <f>INDEX('Unit Savings Calculations'!$H$4:$H$421,MATCH('Measure-Level Adjustments Tab'!$A254&amp;"_"&amp;'Measure-Level Adjustments Tab'!$B254,'Unit Savings Calculations'!$A$4:$A$421,0))</f>
        <v>3</v>
      </c>
      <c r="F254" s="287">
        <f>INDEX('Unit Savings Calculations'!$I$4:$I$421,MATCH('Measure-Level Adjustments Tab'!A254&amp;"_"&amp;'Measure-Level Adjustments Tab'!B254,'Unit Savings Calculations'!$A$4:$A$421,0))</f>
        <v>3</v>
      </c>
      <c r="G254" s="287" t="str">
        <f>'Unit Savings Calculations'!E250</f>
        <v>MBH</v>
      </c>
      <c r="H254" s="289">
        <f>'Unit Savings Calculations'!$F250*'Unit Savings Calculations'!J250</f>
        <v>0</v>
      </c>
      <c r="I254" s="289">
        <f>'Unit Savings Calculations'!$F250*'Unit Savings Calculations'!K250</f>
        <v>0</v>
      </c>
      <c r="J254" s="289">
        <f>'Unit Savings Calculations'!$F250*'Unit Savings Calculations'!L250</f>
        <v>0</v>
      </c>
      <c r="K254" s="289">
        <f>'Unit Savings Calculations'!$F250*'Unit Savings Calculations'!M250</f>
        <v>0</v>
      </c>
      <c r="L254" s="287" t="str">
        <f>'Unit Savings Calculations'!U250</f>
        <v>CI-HVC-BLRT-V06-160601</v>
      </c>
      <c r="M254" s="363" t="s">
        <v>830</v>
      </c>
      <c r="N254" s="290">
        <v>0.35943072618902666</v>
      </c>
      <c r="O254" s="290">
        <v>0.35943072618902666</v>
      </c>
      <c r="P254" s="290">
        <v>0.35943072618902666</v>
      </c>
      <c r="Q254" s="290">
        <v>0.35943072618902666</v>
      </c>
      <c r="R254" s="291">
        <f>'Unit Savings Calculations'!$G250</f>
        <v>0.79</v>
      </c>
      <c r="S254" s="291">
        <f>'Unit Savings Calculations'!$G250</f>
        <v>0.79</v>
      </c>
      <c r="T254" s="291">
        <f>'Unit Savings Calculations'!$G250</f>
        <v>0.79</v>
      </c>
      <c r="U254" s="291">
        <f>'Unit Savings Calculations'!$G250</f>
        <v>0.79</v>
      </c>
      <c r="V254" s="292">
        <f t="shared" si="126"/>
        <v>0</v>
      </c>
      <c r="W254" s="292">
        <f t="shared" si="127"/>
        <v>0</v>
      </c>
      <c r="X254" s="292">
        <f t="shared" si="128"/>
        <v>0</v>
      </c>
      <c r="Y254" s="292">
        <f t="shared" si="129"/>
        <v>0</v>
      </c>
      <c r="Z254" s="292">
        <f t="shared" si="130"/>
        <v>0</v>
      </c>
      <c r="AA254" s="287"/>
      <c r="AB254" s="287"/>
      <c r="AC254" s="293">
        <f>'Unit Savings Calculations'!N250</f>
        <v>0.3918939301788088</v>
      </c>
      <c r="AD254" s="287"/>
      <c r="AE254" s="292">
        <f t="shared" si="116"/>
        <v>0</v>
      </c>
      <c r="AF254" s="289">
        <f t="shared" si="117"/>
        <v>0</v>
      </c>
      <c r="AG254" s="287"/>
      <c r="AH254" s="287">
        <f t="shared" si="118"/>
        <v>0</v>
      </c>
      <c r="AI254" s="290">
        <f>'Unit Savings Calculations'!O250</f>
        <v>0.3918939301788088</v>
      </c>
      <c r="AJ254" s="287" t="s">
        <v>872</v>
      </c>
      <c r="AK254" s="292">
        <f t="shared" si="119"/>
        <v>0</v>
      </c>
      <c r="AL254" s="289">
        <f t="shared" si="120"/>
        <v>0</v>
      </c>
      <c r="AM254" s="287"/>
      <c r="AN254" s="287"/>
      <c r="AO254" s="290">
        <f>'Unit Savings Calculations'!P250</f>
        <v>0.3918939301788088</v>
      </c>
      <c r="AP254" s="287" t="s">
        <v>1450</v>
      </c>
      <c r="AQ254" s="292">
        <f t="shared" si="121"/>
        <v>0</v>
      </c>
      <c r="AR254" s="289">
        <f t="shared" si="122"/>
        <v>0</v>
      </c>
      <c r="AS254" s="287"/>
      <c r="AT254" s="287"/>
      <c r="AU254" s="290">
        <f>'Unit Savings Calculations'!Q250</f>
        <v>0.3918939301788088</v>
      </c>
      <c r="AV254" s="287" t="str">
        <f t="shared" si="109"/>
        <v>Updated heating EFLH</v>
      </c>
      <c r="AW254" s="292">
        <f t="shared" si="123"/>
        <v>0</v>
      </c>
      <c r="AX254" s="289">
        <f t="shared" si="124"/>
        <v>0</v>
      </c>
      <c r="AY254" s="292">
        <f t="shared" si="110"/>
        <v>0</v>
      </c>
      <c r="AZ254" s="292">
        <f t="shared" si="111"/>
        <v>0</v>
      </c>
      <c r="BA254" s="292">
        <f t="shared" si="112"/>
        <v>0</v>
      </c>
      <c r="BB254" s="292">
        <f t="shared" si="113"/>
        <v>0</v>
      </c>
      <c r="BC254" s="294">
        <f t="shared" si="114"/>
        <v>0</v>
      </c>
      <c r="BD254" s="287" t="s">
        <v>764</v>
      </c>
      <c r="BE254" s="295" t="str">
        <f t="shared" si="115"/>
        <v>Exhibit 1.5B_R Peoples Gas EEPS_Adjustable_Savings_Goal_Template.xlsx, Unit Savings Calculations Tab</v>
      </c>
      <c r="BF254" s="297"/>
    </row>
    <row r="255" spans="1:58" ht="13.5" customHeight="1">
      <c r="A255" s="287" t="str">
        <f>'Unit Savings Calculations'!C251</f>
        <v>Bus - CI Rebates</v>
      </c>
      <c r="B255" s="287" t="str">
        <f>'Unit Savings Calculations'!D251</f>
        <v>Condensing Unit Heater</v>
      </c>
      <c r="C255" s="288">
        <f t="shared" si="125"/>
        <v>1</v>
      </c>
      <c r="D255" s="287" t="str">
        <f>'Unit Savings Calculations'!T251</f>
        <v>4.4.5</v>
      </c>
      <c r="E255" s="287">
        <f>INDEX('Unit Savings Calculations'!$H$4:$H$421,MATCH('Measure-Level Adjustments Tab'!$A255&amp;"_"&amp;'Measure-Level Adjustments Tab'!$B255,'Unit Savings Calculations'!$A$4:$A$421,0))</f>
        <v>12</v>
      </c>
      <c r="F255" s="287">
        <f>INDEX('Unit Savings Calculations'!$I$4:$I$421,MATCH('Measure-Level Adjustments Tab'!A255&amp;"_"&amp;'Measure-Level Adjustments Tab'!B255,'Unit Savings Calculations'!$A$4:$A$421,0))</f>
        <v>12</v>
      </c>
      <c r="G255" s="287" t="str">
        <f>'Unit Savings Calculations'!E251</f>
        <v>MBH</v>
      </c>
      <c r="H255" s="289">
        <f>'Unit Savings Calculations'!$F251*'Unit Savings Calculations'!J251</f>
        <v>0</v>
      </c>
      <c r="I255" s="289">
        <f>'Unit Savings Calculations'!$F251*'Unit Savings Calculations'!K251</f>
        <v>0</v>
      </c>
      <c r="J255" s="289">
        <f>'Unit Savings Calculations'!$F251*'Unit Savings Calculations'!L251</f>
        <v>0</v>
      </c>
      <c r="K255" s="289">
        <f>'Unit Savings Calculations'!$F251*'Unit Savings Calculations'!M251</f>
        <v>0</v>
      </c>
      <c r="L255" s="287" t="str">
        <f>'Unit Savings Calculations'!U251</f>
        <v>CI-HVC-CUHT-V01-120601</v>
      </c>
      <c r="M255" s="363" t="s">
        <v>830</v>
      </c>
      <c r="N255" s="290">
        <v>1.7733333333333334</v>
      </c>
      <c r="O255" s="290">
        <v>1.7733333333333334</v>
      </c>
      <c r="P255" s="290">
        <v>1.7733333333333334</v>
      </c>
      <c r="Q255" s="290">
        <v>1.7733333333333334</v>
      </c>
      <c r="R255" s="291">
        <f>'Unit Savings Calculations'!$G251</f>
        <v>0.79</v>
      </c>
      <c r="S255" s="291">
        <f>'Unit Savings Calculations'!$G251</f>
        <v>0.79</v>
      </c>
      <c r="T255" s="291">
        <f>'Unit Savings Calculations'!$G251</f>
        <v>0.79</v>
      </c>
      <c r="U255" s="291">
        <f>'Unit Savings Calculations'!$G251</f>
        <v>0.79</v>
      </c>
      <c r="V255" s="292">
        <f t="shared" si="126"/>
        <v>0</v>
      </c>
      <c r="W255" s="292">
        <f t="shared" si="127"/>
        <v>0</v>
      </c>
      <c r="X255" s="292">
        <f t="shared" si="128"/>
        <v>0</v>
      </c>
      <c r="Y255" s="292">
        <f t="shared" si="129"/>
        <v>0</v>
      </c>
      <c r="Z255" s="292">
        <f t="shared" si="130"/>
        <v>0</v>
      </c>
      <c r="AA255" s="287"/>
      <c r="AB255" s="287"/>
      <c r="AC255" s="293">
        <f>'Unit Savings Calculations'!N251</f>
        <v>1.7733333333333334</v>
      </c>
      <c r="AD255" s="287"/>
      <c r="AE255" s="292">
        <f t="shared" si="116"/>
        <v>0</v>
      </c>
      <c r="AF255" s="289">
        <f t="shared" si="117"/>
        <v>0</v>
      </c>
      <c r="AG255" s="287"/>
      <c r="AH255" s="287">
        <f t="shared" si="118"/>
        <v>0</v>
      </c>
      <c r="AI255" s="290">
        <f>'Unit Savings Calculations'!O251</f>
        <v>1.7733333333333334</v>
      </c>
      <c r="AJ255" s="287" t="s">
        <v>872</v>
      </c>
      <c r="AK255" s="292">
        <f t="shared" si="119"/>
        <v>0</v>
      </c>
      <c r="AL255" s="289">
        <f t="shared" si="120"/>
        <v>0</v>
      </c>
      <c r="AM255" s="287"/>
      <c r="AN255" s="287"/>
      <c r="AO255" s="290">
        <f>'Unit Savings Calculations'!P251</f>
        <v>1.7733333333333334</v>
      </c>
      <c r="AP255" s="287" t="s">
        <v>764</v>
      </c>
      <c r="AQ255" s="292">
        <f t="shared" si="121"/>
        <v>0</v>
      </c>
      <c r="AR255" s="289">
        <f t="shared" si="122"/>
        <v>0</v>
      </c>
      <c r="AS255" s="287"/>
      <c r="AT255" s="287"/>
      <c r="AU255" s="290">
        <f>'Unit Savings Calculations'!Q251</f>
        <v>1.7733333333333334</v>
      </c>
      <c r="AV255" s="287" t="str">
        <f t="shared" si="109"/>
        <v>n/a</v>
      </c>
      <c r="AW255" s="292">
        <f t="shared" si="123"/>
        <v>0</v>
      </c>
      <c r="AX255" s="289">
        <f t="shared" si="124"/>
        <v>0</v>
      </c>
      <c r="AY255" s="292">
        <f t="shared" si="110"/>
        <v>0</v>
      </c>
      <c r="AZ255" s="292">
        <f t="shared" si="111"/>
        <v>0</v>
      </c>
      <c r="BA255" s="292">
        <f t="shared" si="112"/>
        <v>0</v>
      </c>
      <c r="BB255" s="292">
        <f t="shared" si="113"/>
        <v>0</v>
      </c>
      <c r="BC255" s="294">
        <f t="shared" si="114"/>
        <v>0</v>
      </c>
      <c r="BD255" s="287" t="s">
        <v>764</v>
      </c>
      <c r="BE255" s="295" t="str">
        <f t="shared" si="115"/>
        <v>Exhibit 1.5B_R Peoples Gas EEPS_Adjustable_Savings_Goal_Template.xlsx, Unit Savings Calculations Tab</v>
      </c>
      <c r="BF255" s="297"/>
    </row>
    <row r="256" spans="1:58" ht="13.5" customHeight="1">
      <c r="A256" s="287" t="str">
        <f>'Unit Savings Calculations'!C252</f>
        <v>Bus - CI Rebates</v>
      </c>
      <c r="B256" s="287" t="str">
        <f>'Unit Savings Calculations'!D252</f>
        <v>DCV - Kitchen</v>
      </c>
      <c r="C256" s="288">
        <f t="shared" si="125"/>
        <v>1</v>
      </c>
      <c r="D256" s="287" t="str">
        <f>'Unit Savings Calculations'!T252</f>
        <v>4.2.16</v>
      </c>
      <c r="E256" s="287">
        <f>INDEX('Unit Savings Calculations'!$H$4:$H$421,MATCH('Measure-Level Adjustments Tab'!$A256&amp;"_"&amp;'Measure-Level Adjustments Tab'!$B256,'Unit Savings Calculations'!$A$4:$A$421,0))</f>
        <v>15</v>
      </c>
      <c r="F256" s="287">
        <f>INDEX('Unit Savings Calculations'!$I$4:$I$421,MATCH('Measure-Level Adjustments Tab'!A256&amp;"_"&amp;'Measure-Level Adjustments Tab'!B256,'Unit Savings Calculations'!$A$4:$A$421,0))</f>
        <v>15</v>
      </c>
      <c r="G256" s="287" t="str">
        <f>'Unit Savings Calculations'!E252</f>
        <v>each</v>
      </c>
      <c r="H256" s="289">
        <f>'Unit Savings Calculations'!$F252*'Unit Savings Calculations'!J252</f>
        <v>5</v>
      </c>
      <c r="I256" s="289">
        <f>'Unit Savings Calculations'!$F252*'Unit Savings Calculations'!K252</f>
        <v>5</v>
      </c>
      <c r="J256" s="289">
        <f>'Unit Savings Calculations'!$F252*'Unit Savings Calculations'!L252</f>
        <v>5</v>
      </c>
      <c r="K256" s="289">
        <f>'Unit Savings Calculations'!$F252*'Unit Savings Calculations'!M252</f>
        <v>5</v>
      </c>
      <c r="L256" s="287" t="str">
        <f>'Unit Savings Calculations'!U252</f>
        <v>CI-FSE-VENT-V03-160601</v>
      </c>
      <c r="M256" s="363" t="s">
        <v>830</v>
      </c>
      <c r="N256" s="290">
        <v>5998.5</v>
      </c>
      <c r="O256" s="290">
        <v>5998.5</v>
      </c>
      <c r="P256" s="290">
        <v>5998.5</v>
      </c>
      <c r="Q256" s="290">
        <v>5998.5</v>
      </c>
      <c r="R256" s="291">
        <f>'Unit Savings Calculations'!$G252</f>
        <v>0.79</v>
      </c>
      <c r="S256" s="291">
        <f>'Unit Savings Calculations'!$G252</f>
        <v>0.79</v>
      </c>
      <c r="T256" s="291">
        <f>'Unit Savings Calculations'!$G252</f>
        <v>0.79</v>
      </c>
      <c r="U256" s="291">
        <f>'Unit Savings Calculations'!$G252</f>
        <v>0.79</v>
      </c>
      <c r="V256" s="292">
        <f t="shared" si="126"/>
        <v>23694.075000000001</v>
      </c>
      <c r="W256" s="292">
        <f t="shared" si="127"/>
        <v>23694.075000000001</v>
      </c>
      <c r="X256" s="292">
        <f t="shared" si="128"/>
        <v>23694.075000000001</v>
      </c>
      <c r="Y256" s="292">
        <f t="shared" si="129"/>
        <v>23694.075000000001</v>
      </c>
      <c r="Z256" s="292">
        <f t="shared" si="130"/>
        <v>94776.3</v>
      </c>
      <c r="AA256" s="287"/>
      <c r="AB256" s="287"/>
      <c r="AC256" s="293">
        <f>'Unit Savings Calculations'!N252</f>
        <v>5998.5</v>
      </c>
      <c r="AD256" s="287"/>
      <c r="AE256" s="292">
        <f t="shared" si="116"/>
        <v>23694.075000000001</v>
      </c>
      <c r="AF256" s="289">
        <f t="shared" si="117"/>
        <v>0</v>
      </c>
      <c r="AG256" s="287"/>
      <c r="AH256" s="287">
        <f t="shared" si="118"/>
        <v>0</v>
      </c>
      <c r="AI256" s="290">
        <f>'Unit Savings Calculations'!O252</f>
        <v>5998.5</v>
      </c>
      <c r="AJ256" s="287" t="s">
        <v>872</v>
      </c>
      <c r="AK256" s="292">
        <f t="shared" si="119"/>
        <v>23694.075000000001</v>
      </c>
      <c r="AL256" s="289">
        <f t="shared" si="120"/>
        <v>0</v>
      </c>
      <c r="AM256" s="287"/>
      <c r="AN256" s="287"/>
      <c r="AO256" s="290">
        <f>'Unit Savings Calculations'!P252</f>
        <v>5998.5</v>
      </c>
      <c r="AP256" s="287" t="s">
        <v>764</v>
      </c>
      <c r="AQ256" s="292">
        <f t="shared" si="121"/>
        <v>23694.075000000001</v>
      </c>
      <c r="AR256" s="289">
        <f t="shared" si="122"/>
        <v>0</v>
      </c>
      <c r="AS256" s="287"/>
      <c r="AT256" s="287"/>
      <c r="AU256" s="290">
        <f>'Unit Savings Calculations'!Q252</f>
        <v>5998.5</v>
      </c>
      <c r="AV256" s="287" t="str">
        <f t="shared" si="109"/>
        <v>n/a</v>
      </c>
      <c r="AW256" s="292">
        <f t="shared" si="123"/>
        <v>23694.075000000001</v>
      </c>
      <c r="AX256" s="289">
        <f t="shared" si="124"/>
        <v>0</v>
      </c>
      <c r="AY256" s="292">
        <f t="shared" si="110"/>
        <v>23694.075000000001</v>
      </c>
      <c r="AZ256" s="292">
        <f t="shared" si="111"/>
        <v>23694.075000000001</v>
      </c>
      <c r="BA256" s="292">
        <f t="shared" si="112"/>
        <v>23694.075000000001</v>
      </c>
      <c r="BB256" s="292">
        <f t="shared" si="113"/>
        <v>23694.075000000001</v>
      </c>
      <c r="BC256" s="294">
        <f t="shared" si="114"/>
        <v>94776.3</v>
      </c>
      <c r="BD256" s="287" t="s">
        <v>764</v>
      </c>
      <c r="BE256" s="295" t="str">
        <f t="shared" si="115"/>
        <v>Exhibit 1.5B_R Peoples Gas EEPS_Adjustable_Savings_Goal_Template.xlsx, Unit Savings Calculations Tab</v>
      </c>
      <c r="BF256" s="297"/>
    </row>
    <row r="257" spans="1:58" ht="13.5" customHeight="1">
      <c r="A257" s="287" t="str">
        <f>'Unit Savings Calculations'!C253</f>
        <v>Bus - CI Rebates</v>
      </c>
      <c r="B257" s="287" t="str">
        <f>'Unit Savings Calculations'!D253</f>
        <v>Direct Fired Heaters</v>
      </c>
      <c r="C257" s="288">
        <f t="shared" si="125"/>
        <v>0</v>
      </c>
      <c r="D257" s="287" t="str">
        <f>'Unit Savings Calculations'!T253</f>
        <v>Custom</v>
      </c>
      <c r="E257" s="287">
        <f>INDEX('Unit Savings Calculations'!$H$4:$H$421,MATCH('Measure-Level Adjustments Tab'!$A257&amp;"_"&amp;'Measure-Level Adjustments Tab'!$B257,'Unit Savings Calculations'!$A$4:$A$421,0))</f>
        <v>20</v>
      </c>
      <c r="F257" s="287">
        <f>INDEX('Unit Savings Calculations'!$I$4:$I$421,MATCH('Measure-Level Adjustments Tab'!A257&amp;"_"&amp;'Measure-Level Adjustments Tab'!B257,'Unit Savings Calculations'!$A$4:$A$421,0))</f>
        <v>20</v>
      </c>
      <c r="G257" s="287" t="str">
        <f>'Unit Savings Calculations'!E253</f>
        <v>MBH</v>
      </c>
      <c r="H257" s="289">
        <f>'Unit Savings Calculations'!$F253*'Unit Savings Calculations'!J253</f>
        <v>0</v>
      </c>
      <c r="I257" s="289">
        <f>'Unit Savings Calculations'!$F253*'Unit Savings Calculations'!K253</f>
        <v>0</v>
      </c>
      <c r="J257" s="289">
        <f>'Unit Savings Calculations'!$F253*'Unit Savings Calculations'!L253</f>
        <v>0</v>
      </c>
      <c r="K257" s="289">
        <f>'Unit Savings Calculations'!$F253*'Unit Savings Calculations'!M253</f>
        <v>0</v>
      </c>
      <c r="L257" s="287" t="str">
        <f>'Unit Savings Calculations'!U253</f>
        <v>Custom</v>
      </c>
      <c r="M257" s="287" t="str">
        <f>'Unit Savings Calculations'!S253</f>
        <v>Custom</v>
      </c>
      <c r="N257" s="290">
        <v>2.3084999999999987</v>
      </c>
      <c r="O257" s="290">
        <v>2.3084999999999987</v>
      </c>
      <c r="P257" s="290">
        <v>2.3084999999999987</v>
      </c>
      <c r="Q257" s="290">
        <v>2.3084999999999987</v>
      </c>
      <c r="R257" s="291">
        <f>'Unit Savings Calculations'!$G253</f>
        <v>0.79</v>
      </c>
      <c r="S257" s="291">
        <f>'Unit Savings Calculations'!$G253</f>
        <v>0.79</v>
      </c>
      <c r="T257" s="291">
        <f>'Unit Savings Calculations'!$G253</f>
        <v>0.79</v>
      </c>
      <c r="U257" s="291">
        <f>'Unit Savings Calculations'!$G253</f>
        <v>0.79</v>
      </c>
      <c r="V257" s="292">
        <f t="shared" si="126"/>
        <v>0</v>
      </c>
      <c r="W257" s="292">
        <f t="shared" si="127"/>
        <v>0</v>
      </c>
      <c r="X257" s="292">
        <f t="shared" si="128"/>
        <v>0</v>
      </c>
      <c r="Y257" s="292">
        <f t="shared" si="129"/>
        <v>0</v>
      </c>
      <c r="Z257" s="292">
        <f t="shared" si="130"/>
        <v>0</v>
      </c>
      <c r="AA257" s="364"/>
      <c r="AB257" s="364"/>
      <c r="AC257" s="365">
        <f>'Unit Savings Calculations'!N253</f>
        <v>2.5169999999999986</v>
      </c>
      <c r="AD257" s="364"/>
      <c r="AE257" s="366">
        <f t="shared" si="116"/>
        <v>0</v>
      </c>
      <c r="AF257" s="367">
        <f t="shared" si="117"/>
        <v>0</v>
      </c>
      <c r="AG257" s="364"/>
      <c r="AH257" s="364">
        <f t="shared" si="118"/>
        <v>0</v>
      </c>
      <c r="AI257" s="368">
        <f>'Unit Savings Calculations'!O253</f>
        <v>2.5169999999999986</v>
      </c>
      <c r="AJ257" s="364" t="s">
        <v>872</v>
      </c>
      <c r="AK257" s="366">
        <f t="shared" si="119"/>
        <v>0</v>
      </c>
      <c r="AL257" s="367">
        <f t="shared" si="120"/>
        <v>0</v>
      </c>
      <c r="AM257" s="364"/>
      <c r="AN257" s="364"/>
      <c r="AO257" s="368">
        <f>'Unit Savings Calculations'!P253</f>
        <v>2.5169999999999986</v>
      </c>
      <c r="AP257" s="364" t="s">
        <v>1450</v>
      </c>
      <c r="AQ257" s="366">
        <f t="shared" si="121"/>
        <v>0</v>
      </c>
      <c r="AR257" s="367">
        <f t="shared" si="122"/>
        <v>0</v>
      </c>
      <c r="AS257" s="364"/>
      <c r="AT257" s="364"/>
      <c r="AU257" s="368">
        <f>'Unit Savings Calculations'!Q253</f>
        <v>2.5169999999999986</v>
      </c>
      <c r="AV257" s="364" t="str">
        <f t="shared" si="109"/>
        <v>Updated heating EFLH</v>
      </c>
      <c r="AW257" s="366">
        <f t="shared" si="123"/>
        <v>0</v>
      </c>
      <c r="AX257" s="367">
        <f t="shared" si="124"/>
        <v>0</v>
      </c>
      <c r="AY257" s="292">
        <f t="shared" si="110"/>
        <v>0</v>
      </c>
      <c r="AZ257" s="292">
        <f t="shared" si="111"/>
        <v>0</v>
      </c>
      <c r="BA257" s="292">
        <f t="shared" si="112"/>
        <v>0</v>
      </c>
      <c r="BB257" s="292">
        <f t="shared" si="113"/>
        <v>0</v>
      </c>
      <c r="BC257" s="294">
        <f t="shared" si="114"/>
        <v>0</v>
      </c>
      <c r="BD257" s="287" t="s">
        <v>764</v>
      </c>
      <c r="BE257" s="295" t="str">
        <f t="shared" si="115"/>
        <v>Custom</v>
      </c>
      <c r="BF257" s="297"/>
    </row>
    <row r="258" spans="1:58" ht="13.5" customHeight="1">
      <c r="A258" s="287" t="str">
        <f>'Unit Savings Calculations'!C254</f>
        <v>Bus - CI Rebates</v>
      </c>
      <c r="B258" s="287" t="str">
        <f>'Unit Savings Calculations'!D254</f>
        <v>High Speed Washer - Hotel/Motel/Hospital</v>
      </c>
      <c r="C258" s="288">
        <f t="shared" si="125"/>
        <v>1</v>
      </c>
      <c r="D258" s="287" t="str">
        <f>'Unit Savings Calculations'!T254</f>
        <v>4.8.5</v>
      </c>
      <c r="E258" s="287">
        <f>INDEX('Unit Savings Calculations'!$H$4:$H$421,MATCH('Measure-Level Adjustments Tab'!$A258&amp;"_"&amp;'Measure-Level Adjustments Tab'!$B258,'Unit Savings Calculations'!$A$4:$A$421,0))</f>
        <v>7</v>
      </c>
      <c r="F258" s="287">
        <f>INDEX('Unit Savings Calculations'!$I$4:$I$421,MATCH('Measure-Level Adjustments Tab'!A258&amp;"_"&amp;'Measure-Level Adjustments Tab'!B258,'Unit Savings Calculations'!$A$4:$A$421,0))</f>
        <v>7</v>
      </c>
      <c r="G258" s="287" t="str">
        <f>'Unit Savings Calculations'!E254</f>
        <v>lb-capacity</v>
      </c>
      <c r="H258" s="289">
        <f>'Unit Savings Calculations'!$F254*'Unit Savings Calculations'!J254</f>
        <v>1000</v>
      </c>
      <c r="I258" s="289">
        <f>'Unit Savings Calculations'!$F254*'Unit Savings Calculations'!K254</f>
        <v>1000</v>
      </c>
      <c r="J258" s="289">
        <f>'Unit Savings Calculations'!$F254*'Unit Savings Calculations'!L254</f>
        <v>1000</v>
      </c>
      <c r="K258" s="289">
        <f>'Unit Savings Calculations'!$F254*'Unit Savings Calculations'!M254</f>
        <v>1000</v>
      </c>
      <c r="L258" s="287" t="str">
        <f>'Unit Savings Calculations'!U254</f>
        <v>CI-MSC-HSCW-V01-180101</v>
      </c>
      <c r="M258" s="363" t="s">
        <v>830</v>
      </c>
      <c r="N258" s="290">
        <v>11.243232000000003</v>
      </c>
      <c r="O258" s="290">
        <v>11.243232000000003</v>
      </c>
      <c r="P258" s="290">
        <v>11.243232000000003</v>
      </c>
      <c r="Q258" s="290">
        <v>11.243232000000003</v>
      </c>
      <c r="R258" s="291">
        <f>'Unit Savings Calculations'!$G254</f>
        <v>0.79</v>
      </c>
      <c r="S258" s="291">
        <f>'Unit Savings Calculations'!$G254</f>
        <v>0.79</v>
      </c>
      <c r="T258" s="291">
        <f>'Unit Savings Calculations'!$G254</f>
        <v>0.79</v>
      </c>
      <c r="U258" s="291">
        <f>'Unit Savings Calculations'!$G254</f>
        <v>0.79</v>
      </c>
      <c r="V258" s="292">
        <f t="shared" si="126"/>
        <v>8882.1532800000023</v>
      </c>
      <c r="W258" s="292">
        <f t="shared" si="127"/>
        <v>8882.1532800000023</v>
      </c>
      <c r="X258" s="292">
        <f t="shared" si="128"/>
        <v>8882.1532800000023</v>
      </c>
      <c r="Y258" s="292">
        <f t="shared" si="129"/>
        <v>8882.1532800000023</v>
      </c>
      <c r="Z258" s="292">
        <f t="shared" si="130"/>
        <v>35528.613120000009</v>
      </c>
      <c r="AA258" s="287"/>
      <c r="AB258" s="287"/>
      <c r="AC258" s="293">
        <f>'Unit Savings Calculations'!N254</f>
        <v>11.243232000000003</v>
      </c>
      <c r="AD258" s="287"/>
      <c r="AE258" s="292">
        <f t="shared" si="116"/>
        <v>8882.1532800000023</v>
      </c>
      <c r="AF258" s="289">
        <f t="shared" si="117"/>
        <v>0</v>
      </c>
      <c r="AG258" s="287"/>
      <c r="AH258" s="287">
        <f t="shared" si="118"/>
        <v>0</v>
      </c>
      <c r="AI258" s="290">
        <f>'Unit Savings Calculations'!O254</f>
        <v>11.243232000000003</v>
      </c>
      <c r="AJ258" s="287" t="s">
        <v>872</v>
      </c>
      <c r="AK258" s="292">
        <f t="shared" si="119"/>
        <v>8882.1532800000023</v>
      </c>
      <c r="AL258" s="289">
        <f t="shared" si="120"/>
        <v>0</v>
      </c>
      <c r="AM258" s="287"/>
      <c r="AN258" s="287"/>
      <c r="AO258" s="290">
        <f>'Unit Savings Calculations'!P254</f>
        <v>11.243232000000003</v>
      </c>
      <c r="AP258" s="287" t="s">
        <v>764</v>
      </c>
      <c r="AQ258" s="292">
        <f t="shared" si="121"/>
        <v>8882.1532800000023</v>
      </c>
      <c r="AR258" s="289">
        <f t="shared" si="122"/>
        <v>0</v>
      </c>
      <c r="AS258" s="287"/>
      <c r="AT258" s="287"/>
      <c r="AU258" s="290">
        <f>'Unit Savings Calculations'!Q254</f>
        <v>11.243232000000003</v>
      </c>
      <c r="AV258" s="287" t="str">
        <f t="shared" si="109"/>
        <v>n/a</v>
      </c>
      <c r="AW258" s="292">
        <f t="shared" si="123"/>
        <v>8882.1532800000023</v>
      </c>
      <c r="AX258" s="289">
        <f t="shared" si="124"/>
        <v>0</v>
      </c>
      <c r="AY258" s="292">
        <f t="shared" si="110"/>
        <v>8882.1532800000023</v>
      </c>
      <c r="AZ258" s="292">
        <f t="shared" si="111"/>
        <v>8882.1532800000023</v>
      </c>
      <c r="BA258" s="292">
        <f t="shared" si="112"/>
        <v>8882.1532800000023</v>
      </c>
      <c r="BB258" s="292">
        <f t="shared" si="113"/>
        <v>8882.1532800000023</v>
      </c>
      <c r="BC258" s="294">
        <f t="shared" si="114"/>
        <v>35528.613120000009</v>
      </c>
      <c r="BD258" s="287" t="s">
        <v>764</v>
      </c>
      <c r="BE258" s="295" t="str">
        <f t="shared" si="115"/>
        <v>Exhibit 1.5B_R Peoples Gas EEPS_Adjustable_Savings_Goal_Template.xlsx, Unit Savings Calculations Tab</v>
      </c>
      <c r="BF258" s="297"/>
    </row>
    <row r="259" spans="1:58" ht="13.5" customHeight="1">
      <c r="A259" s="287" t="str">
        <f>'Unit Savings Calculations'!C255</f>
        <v>Bus - CI Rebates</v>
      </c>
      <c r="B259" s="287" t="str">
        <f>'Unit Savings Calculations'!D255</f>
        <v>Infrared Heater</v>
      </c>
      <c r="C259" s="288">
        <f t="shared" si="125"/>
        <v>1</v>
      </c>
      <c r="D259" s="287" t="str">
        <f>'Unit Savings Calculations'!T255</f>
        <v>4.4.12</v>
      </c>
      <c r="E259" s="287">
        <f>INDEX('Unit Savings Calculations'!$H$4:$H$421,MATCH('Measure-Level Adjustments Tab'!$A259&amp;"_"&amp;'Measure-Level Adjustments Tab'!$B259,'Unit Savings Calculations'!$A$4:$A$421,0))</f>
        <v>12</v>
      </c>
      <c r="F259" s="287">
        <f>INDEX('Unit Savings Calculations'!$I$4:$I$421,MATCH('Measure-Level Adjustments Tab'!A259&amp;"_"&amp;'Measure-Level Adjustments Tab'!B259,'Unit Savings Calculations'!$A$4:$A$421,0))</f>
        <v>12</v>
      </c>
      <c r="G259" s="287" t="str">
        <f>'Unit Savings Calculations'!E255</f>
        <v>MBH</v>
      </c>
      <c r="H259" s="289">
        <f>'Unit Savings Calculations'!$F255*'Unit Savings Calculations'!J255</f>
        <v>0</v>
      </c>
      <c r="I259" s="289">
        <f>'Unit Savings Calculations'!$F255*'Unit Savings Calculations'!K255</f>
        <v>0</v>
      </c>
      <c r="J259" s="289">
        <f>'Unit Savings Calculations'!$F255*'Unit Savings Calculations'!L255</f>
        <v>0</v>
      </c>
      <c r="K259" s="289">
        <f>'Unit Savings Calculations'!$F255*'Unit Savings Calculations'!M255</f>
        <v>0</v>
      </c>
      <c r="L259" s="287" t="str">
        <f>'Unit Savings Calculations'!U255</f>
        <v>CI-HVC-IRHT-V01-120601</v>
      </c>
      <c r="M259" s="363" t="s">
        <v>830</v>
      </c>
      <c r="N259" s="290">
        <v>3.0066666666666668</v>
      </c>
      <c r="O259" s="290">
        <v>3.0066666666666668</v>
      </c>
      <c r="P259" s="290">
        <v>3.0066666666666668</v>
      </c>
      <c r="Q259" s="290">
        <v>3.0066666666666668</v>
      </c>
      <c r="R259" s="291">
        <f>'Unit Savings Calculations'!$G255</f>
        <v>0.79</v>
      </c>
      <c r="S259" s="291">
        <f>'Unit Savings Calculations'!$G255</f>
        <v>0.79</v>
      </c>
      <c r="T259" s="291">
        <f>'Unit Savings Calculations'!$G255</f>
        <v>0.79</v>
      </c>
      <c r="U259" s="291">
        <f>'Unit Savings Calculations'!$G255</f>
        <v>0.79</v>
      </c>
      <c r="V259" s="292">
        <f t="shared" si="126"/>
        <v>0</v>
      </c>
      <c r="W259" s="292">
        <f t="shared" si="127"/>
        <v>0</v>
      </c>
      <c r="X259" s="292">
        <f t="shared" si="128"/>
        <v>0</v>
      </c>
      <c r="Y259" s="292">
        <f t="shared" si="129"/>
        <v>0</v>
      </c>
      <c r="Z259" s="292">
        <f t="shared" si="130"/>
        <v>0</v>
      </c>
      <c r="AA259" s="287"/>
      <c r="AB259" s="287"/>
      <c r="AC259" s="293">
        <f>'Unit Savings Calculations'!N255</f>
        <v>3.0066666666666668</v>
      </c>
      <c r="AD259" s="287"/>
      <c r="AE259" s="292">
        <f t="shared" si="116"/>
        <v>0</v>
      </c>
      <c r="AF259" s="289">
        <f t="shared" si="117"/>
        <v>0</v>
      </c>
      <c r="AG259" s="287"/>
      <c r="AH259" s="287">
        <f t="shared" si="118"/>
        <v>0</v>
      </c>
      <c r="AI259" s="290">
        <f>'Unit Savings Calculations'!O255</f>
        <v>3.0066666666666668</v>
      </c>
      <c r="AJ259" s="287" t="s">
        <v>872</v>
      </c>
      <c r="AK259" s="292">
        <f t="shared" si="119"/>
        <v>0</v>
      </c>
      <c r="AL259" s="289">
        <f t="shared" si="120"/>
        <v>0</v>
      </c>
      <c r="AM259" s="287"/>
      <c r="AN259" s="287"/>
      <c r="AO259" s="290">
        <f>'Unit Savings Calculations'!P255</f>
        <v>3.0066666666666668</v>
      </c>
      <c r="AP259" s="287" t="s">
        <v>764</v>
      </c>
      <c r="AQ259" s="292">
        <f t="shared" si="121"/>
        <v>0</v>
      </c>
      <c r="AR259" s="289">
        <f t="shared" si="122"/>
        <v>0</v>
      </c>
      <c r="AS259" s="287"/>
      <c r="AT259" s="287"/>
      <c r="AU259" s="290">
        <f>'Unit Savings Calculations'!Q255</f>
        <v>3.0066666666666668</v>
      </c>
      <c r="AV259" s="287" t="str">
        <f t="shared" si="109"/>
        <v>n/a</v>
      </c>
      <c r="AW259" s="292">
        <f t="shared" si="123"/>
        <v>0</v>
      </c>
      <c r="AX259" s="289">
        <f t="shared" si="124"/>
        <v>0</v>
      </c>
      <c r="AY259" s="292">
        <f t="shared" si="110"/>
        <v>0</v>
      </c>
      <c r="AZ259" s="292">
        <f t="shared" si="111"/>
        <v>0</v>
      </c>
      <c r="BA259" s="292">
        <f t="shared" si="112"/>
        <v>0</v>
      </c>
      <c r="BB259" s="292">
        <f t="shared" si="113"/>
        <v>0</v>
      </c>
      <c r="BC259" s="294">
        <f t="shared" si="114"/>
        <v>0</v>
      </c>
      <c r="BD259" s="287" t="s">
        <v>764</v>
      </c>
      <c r="BE259" s="295" t="str">
        <f t="shared" si="115"/>
        <v>Exhibit 1.5B_R Peoples Gas EEPS_Adjustable_Savings_Goal_Template.xlsx, Unit Savings Calculations Tab</v>
      </c>
      <c r="BF259" s="297"/>
    </row>
    <row r="260" spans="1:58" ht="13.5" customHeight="1">
      <c r="A260" s="287" t="str">
        <f>'Unit Savings Calculations'!C256</f>
        <v>Bus - CI Rebates</v>
      </c>
      <c r="B260" s="287" t="str">
        <f>'Unit Savings Calculations'!D256</f>
        <v>Modulating Commercial Gas Clothes Dryer</v>
      </c>
      <c r="C260" s="288">
        <f t="shared" si="125"/>
        <v>1</v>
      </c>
      <c r="D260" s="287" t="str">
        <f>'Unit Savings Calculations'!T256</f>
        <v>4.8.4</v>
      </c>
      <c r="E260" s="287">
        <f>INDEX('Unit Savings Calculations'!$H$4:$H$421,MATCH('Measure-Level Adjustments Tab'!$A260&amp;"_"&amp;'Measure-Level Adjustments Tab'!$B260,'Unit Savings Calculations'!$A$4:$A$421,0))</f>
        <v>14</v>
      </c>
      <c r="F260" s="287">
        <f>INDEX('Unit Savings Calculations'!$I$4:$I$421,MATCH('Measure-Level Adjustments Tab'!A260&amp;"_"&amp;'Measure-Level Adjustments Tab'!B260,'Unit Savings Calculations'!$A$4:$A$421,0))</f>
        <v>14</v>
      </c>
      <c r="G260" s="287" t="str">
        <f>'Unit Savings Calculations'!E256</f>
        <v>each</v>
      </c>
      <c r="H260" s="289">
        <f>'Unit Savings Calculations'!$F256*'Unit Savings Calculations'!J256</f>
        <v>0</v>
      </c>
      <c r="I260" s="289">
        <f>'Unit Savings Calculations'!$F256*'Unit Savings Calculations'!K256</f>
        <v>0</v>
      </c>
      <c r="J260" s="289">
        <f>'Unit Savings Calculations'!$F256*'Unit Savings Calculations'!L256</f>
        <v>0</v>
      </c>
      <c r="K260" s="289">
        <f>'Unit Savings Calculations'!$F256*'Unit Savings Calculations'!M256</f>
        <v>0</v>
      </c>
      <c r="L260" s="287" t="str">
        <f>'Unit Savings Calculations'!U256</f>
        <v>CI-MSC-MODD-V01-160601</v>
      </c>
      <c r="M260" s="363" t="s">
        <v>830</v>
      </c>
      <c r="N260" s="290">
        <v>266.94</v>
      </c>
      <c r="O260" s="290">
        <v>266.94</v>
      </c>
      <c r="P260" s="290">
        <v>266.94</v>
      </c>
      <c r="Q260" s="290">
        <v>266.94</v>
      </c>
      <c r="R260" s="291">
        <f>'Unit Savings Calculations'!$G256</f>
        <v>0.79</v>
      </c>
      <c r="S260" s="291">
        <f>'Unit Savings Calculations'!$G256</f>
        <v>0.79</v>
      </c>
      <c r="T260" s="291">
        <f>'Unit Savings Calculations'!$G256</f>
        <v>0.79</v>
      </c>
      <c r="U260" s="291">
        <f>'Unit Savings Calculations'!$G256</f>
        <v>0.79</v>
      </c>
      <c r="V260" s="292">
        <f t="shared" si="126"/>
        <v>0</v>
      </c>
      <c r="W260" s="292">
        <f t="shared" si="127"/>
        <v>0</v>
      </c>
      <c r="X260" s="292">
        <f t="shared" si="128"/>
        <v>0</v>
      </c>
      <c r="Y260" s="292">
        <f t="shared" si="129"/>
        <v>0</v>
      </c>
      <c r="Z260" s="292">
        <f t="shared" si="130"/>
        <v>0</v>
      </c>
      <c r="AA260" s="287"/>
      <c r="AB260" s="287"/>
      <c r="AC260" s="293">
        <f>'Unit Savings Calculations'!N256</f>
        <v>266.94</v>
      </c>
      <c r="AD260" s="287"/>
      <c r="AE260" s="292">
        <f t="shared" si="116"/>
        <v>0</v>
      </c>
      <c r="AF260" s="289">
        <f t="shared" si="117"/>
        <v>0</v>
      </c>
      <c r="AG260" s="287"/>
      <c r="AH260" s="287">
        <f t="shared" si="118"/>
        <v>0</v>
      </c>
      <c r="AI260" s="290">
        <f>'Unit Savings Calculations'!O256</f>
        <v>266.94</v>
      </c>
      <c r="AJ260" s="287" t="s">
        <v>872</v>
      </c>
      <c r="AK260" s="292">
        <f t="shared" si="119"/>
        <v>0</v>
      </c>
      <c r="AL260" s="289">
        <f t="shared" si="120"/>
        <v>0</v>
      </c>
      <c r="AM260" s="287"/>
      <c r="AN260" s="287"/>
      <c r="AO260" s="290">
        <f>'Unit Savings Calculations'!P256</f>
        <v>266.94</v>
      </c>
      <c r="AP260" s="287" t="s">
        <v>764</v>
      </c>
      <c r="AQ260" s="292">
        <f t="shared" si="121"/>
        <v>0</v>
      </c>
      <c r="AR260" s="289">
        <f t="shared" si="122"/>
        <v>0</v>
      </c>
      <c r="AS260" s="287"/>
      <c r="AT260" s="287"/>
      <c r="AU260" s="290">
        <f>'Unit Savings Calculations'!Q256</f>
        <v>266.94</v>
      </c>
      <c r="AV260" s="287" t="str">
        <f t="shared" si="109"/>
        <v>n/a</v>
      </c>
      <c r="AW260" s="292">
        <f t="shared" si="123"/>
        <v>0</v>
      </c>
      <c r="AX260" s="289">
        <f t="shared" si="124"/>
        <v>0</v>
      </c>
      <c r="AY260" s="292">
        <f t="shared" si="110"/>
        <v>0</v>
      </c>
      <c r="AZ260" s="292">
        <f t="shared" si="111"/>
        <v>0</v>
      </c>
      <c r="BA260" s="292">
        <f t="shared" si="112"/>
        <v>0</v>
      </c>
      <c r="BB260" s="292">
        <f t="shared" si="113"/>
        <v>0</v>
      </c>
      <c r="BC260" s="294">
        <f t="shared" si="114"/>
        <v>0</v>
      </c>
      <c r="BD260" s="287" t="s">
        <v>764</v>
      </c>
      <c r="BE260" s="295" t="str">
        <f t="shared" si="115"/>
        <v>Exhibit 1.5B_R Peoples Gas EEPS_Adjustable_Savings_Goal_Template.xlsx, Unit Savings Calculations Tab</v>
      </c>
      <c r="BF260" s="297"/>
    </row>
    <row r="261" spans="1:58" ht="13.5" customHeight="1">
      <c r="A261" s="287" t="str">
        <f>'Unit Savings Calculations'!C257</f>
        <v>Bus - CI Rebates</v>
      </c>
      <c r="B261" s="287" t="str">
        <f>'Unit Savings Calculations'!D257</f>
        <v>Ozone Laundry</v>
      </c>
      <c r="C261" s="288">
        <f t="shared" si="125"/>
        <v>1</v>
      </c>
      <c r="D261" s="287" t="str">
        <f>'Unit Savings Calculations'!T257</f>
        <v>4.3.6</v>
      </c>
      <c r="E261" s="287">
        <f>INDEX('Unit Savings Calculations'!$H$4:$H$421,MATCH('Measure-Level Adjustments Tab'!$A261&amp;"_"&amp;'Measure-Level Adjustments Tab'!$B261,'Unit Savings Calculations'!$A$4:$A$421,0))</f>
        <v>10</v>
      </c>
      <c r="F261" s="287">
        <f>INDEX('Unit Savings Calculations'!$I$4:$I$421,MATCH('Measure-Level Adjustments Tab'!A261&amp;"_"&amp;'Measure-Level Adjustments Tab'!B261,'Unit Savings Calculations'!$A$4:$A$421,0))</f>
        <v>10</v>
      </c>
      <c r="G261" s="287" t="str">
        <f>'Unit Savings Calculations'!E257</f>
        <v>lb-capacity</v>
      </c>
      <c r="H261" s="289">
        <f>'Unit Savings Calculations'!$F257*'Unit Savings Calculations'!J257</f>
        <v>0</v>
      </c>
      <c r="I261" s="289">
        <f>'Unit Savings Calculations'!$F257*'Unit Savings Calculations'!K257</f>
        <v>0</v>
      </c>
      <c r="J261" s="289">
        <f>'Unit Savings Calculations'!$F257*'Unit Savings Calculations'!L257</f>
        <v>0</v>
      </c>
      <c r="K261" s="289">
        <f>'Unit Savings Calculations'!$F257*'Unit Savings Calculations'!M257</f>
        <v>0</v>
      </c>
      <c r="L261" s="287" t="str">
        <f>'Unit Savings Calculations'!U257</f>
        <v>CI-HW-OZLD-VO1-140601</v>
      </c>
      <c r="M261" s="363" t="s">
        <v>830</v>
      </c>
      <c r="N261" s="290">
        <v>30.722664192350027</v>
      </c>
      <c r="O261" s="290">
        <v>30.722664192350027</v>
      </c>
      <c r="P261" s="290">
        <v>30.722664192350027</v>
      </c>
      <c r="Q261" s="290">
        <v>30.722664192350027</v>
      </c>
      <c r="R261" s="291">
        <f>'Unit Savings Calculations'!$G257</f>
        <v>0.79</v>
      </c>
      <c r="S261" s="291">
        <f>'Unit Savings Calculations'!$G257</f>
        <v>0.79</v>
      </c>
      <c r="T261" s="291">
        <f>'Unit Savings Calculations'!$G257</f>
        <v>0.79</v>
      </c>
      <c r="U261" s="291">
        <f>'Unit Savings Calculations'!$G257</f>
        <v>0.79</v>
      </c>
      <c r="V261" s="292">
        <f t="shared" si="126"/>
        <v>0</v>
      </c>
      <c r="W261" s="292">
        <f t="shared" si="127"/>
        <v>0</v>
      </c>
      <c r="X261" s="292">
        <f t="shared" si="128"/>
        <v>0</v>
      </c>
      <c r="Y261" s="292">
        <f t="shared" si="129"/>
        <v>0</v>
      </c>
      <c r="Z261" s="292">
        <f t="shared" si="130"/>
        <v>0</v>
      </c>
      <c r="AA261" s="287"/>
      <c r="AB261" s="287"/>
      <c r="AC261" s="293">
        <f>'Unit Savings Calculations'!N257</f>
        <v>30.722664192350027</v>
      </c>
      <c r="AD261" s="287"/>
      <c r="AE261" s="292">
        <f t="shared" si="116"/>
        <v>0</v>
      </c>
      <c r="AF261" s="289">
        <f t="shared" si="117"/>
        <v>0</v>
      </c>
      <c r="AG261" s="287"/>
      <c r="AH261" s="287">
        <f t="shared" si="118"/>
        <v>0</v>
      </c>
      <c r="AI261" s="290">
        <f>'Unit Savings Calculations'!O257</f>
        <v>30.722664192350027</v>
      </c>
      <c r="AJ261" s="287" t="s">
        <v>872</v>
      </c>
      <c r="AK261" s="292">
        <f t="shared" si="119"/>
        <v>0</v>
      </c>
      <c r="AL261" s="289">
        <f t="shared" si="120"/>
        <v>0</v>
      </c>
      <c r="AM261" s="287"/>
      <c r="AN261" s="287"/>
      <c r="AO261" s="290">
        <f>'Unit Savings Calculations'!P257</f>
        <v>30.722664192350027</v>
      </c>
      <c r="AP261" s="287" t="s">
        <v>764</v>
      </c>
      <c r="AQ261" s="292">
        <f t="shared" si="121"/>
        <v>0</v>
      </c>
      <c r="AR261" s="289">
        <f t="shared" si="122"/>
        <v>0</v>
      </c>
      <c r="AS261" s="287"/>
      <c r="AT261" s="287"/>
      <c r="AU261" s="290">
        <f>'Unit Savings Calculations'!Q257</f>
        <v>30.722664192350027</v>
      </c>
      <c r="AV261" s="287" t="str">
        <f t="shared" si="109"/>
        <v>n/a</v>
      </c>
      <c r="AW261" s="292">
        <f t="shared" si="123"/>
        <v>0</v>
      </c>
      <c r="AX261" s="289">
        <f t="shared" si="124"/>
        <v>0</v>
      </c>
      <c r="AY261" s="292">
        <f t="shared" si="110"/>
        <v>0</v>
      </c>
      <c r="AZ261" s="292">
        <f t="shared" si="111"/>
        <v>0</v>
      </c>
      <c r="BA261" s="292">
        <f t="shared" si="112"/>
        <v>0</v>
      </c>
      <c r="BB261" s="292">
        <f t="shared" si="113"/>
        <v>0</v>
      </c>
      <c r="BC261" s="294">
        <f t="shared" si="114"/>
        <v>0</v>
      </c>
      <c r="BD261" s="287" t="s">
        <v>764</v>
      </c>
      <c r="BE261" s="295" t="str">
        <f t="shared" si="115"/>
        <v>Exhibit 1.5B_R Peoples Gas EEPS_Adjustable_Savings_Goal_Template.xlsx, Unit Savings Calculations Tab</v>
      </c>
      <c r="BF261" s="297"/>
    </row>
    <row r="262" spans="1:58" ht="13.5" customHeight="1">
      <c r="A262" s="287" t="str">
        <f>'Unit Savings Calculations'!C258</f>
        <v>Bus - CI Rebates</v>
      </c>
      <c r="B262" s="287" t="str">
        <f>'Unit Savings Calculations'!D258</f>
        <v>Pipe Insulation - HW Small 1" to 2"</v>
      </c>
      <c r="C262" s="288">
        <f t="shared" si="125"/>
        <v>1</v>
      </c>
      <c r="D262" s="287" t="str">
        <f>'Unit Savings Calculations'!T258</f>
        <v>4.4.14</v>
      </c>
      <c r="E262" s="287">
        <f>INDEX('Unit Savings Calculations'!$H$4:$H$421,MATCH('Measure-Level Adjustments Tab'!$A262&amp;"_"&amp;'Measure-Level Adjustments Tab'!$B262,'Unit Savings Calculations'!$A$4:$A$421,0))</f>
        <v>15</v>
      </c>
      <c r="F262" s="287">
        <f>INDEX('Unit Savings Calculations'!$I$4:$I$421,MATCH('Measure-Level Adjustments Tab'!A262&amp;"_"&amp;'Measure-Level Adjustments Tab'!B262,'Unit Savings Calculations'!$A$4:$A$421,0))</f>
        <v>15</v>
      </c>
      <c r="G262" s="287" t="str">
        <f>'Unit Savings Calculations'!E258</f>
        <v>ft</v>
      </c>
      <c r="H262" s="289">
        <f>'Unit Savings Calculations'!$F258*'Unit Savings Calculations'!J258</f>
        <v>600</v>
      </c>
      <c r="I262" s="289">
        <f>'Unit Savings Calculations'!$F258*'Unit Savings Calculations'!K258</f>
        <v>600</v>
      </c>
      <c r="J262" s="289">
        <f>'Unit Savings Calculations'!$F258*'Unit Savings Calculations'!L258</f>
        <v>600</v>
      </c>
      <c r="K262" s="289">
        <f>'Unit Savings Calculations'!$F258*'Unit Savings Calculations'!M258</f>
        <v>600</v>
      </c>
      <c r="L262" s="287" t="str">
        <f>'Unit Savings Calculations'!U258</f>
        <v>CI-HVC-PINS-V04-160601</v>
      </c>
      <c r="M262" s="363" t="s">
        <v>830</v>
      </c>
      <c r="N262" s="290">
        <v>2.6588140926267867</v>
      </c>
      <c r="O262" s="290">
        <v>2.6588140926267867</v>
      </c>
      <c r="P262" s="290">
        <v>2.6588140926267867</v>
      </c>
      <c r="Q262" s="290">
        <v>2.6588140926267867</v>
      </c>
      <c r="R262" s="291">
        <f>'Unit Savings Calculations'!$G258</f>
        <v>0.79</v>
      </c>
      <c r="S262" s="291">
        <f>'Unit Savings Calculations'!$G258</f>
        <v>0.79</v>
      </c>
      <c r="T262" s="291">
        <f>'Unit Savings Calculations'!$G258</f>
        <v>0.79</v>
      </c>
      <c r="U262" s="291">
        <f>'Unit Savings Calculations'!$G258</f>
        <v>0.79</v>
      </c>
      <c r="V262" s="292">
        <f t="shared" si="126"/>
        <v>1260.2778799050971</v>
      </c>
      <c r="W262" s="292">
        <f t="shared" si="127"/>
        <v>1260.2778799050971</v>
      </c>
      <c r="X262" s="292">
        <f t="shared" si="128"/>
        <v>1260.2778799050971</v>
      </c>
      <c r="Y262" s="292">
        <f t="shared" si="129"/>
        <v>1260.2778799050971</v>
      </c>
      <c r="Z262" s="292">
        <f t="shared" si="130"/>
        <v>5041.1115196203882</v>
      </c>
      <c r="AA262" s="287"/>
      <c r="AB262" s="287"/>
      <c r="AC262" s="293">
        <f>'Unit Savings Calculations'!N258</f>
        <v>2.6588140926267867</v>
      </c>
      <c r="AD262" s="287"/>
      <c r="AE262" s="292">
        <f t="shared" si="116"/>
        <v>1260.2778799050971</v>
      </c>
      <c r="AF262" s="289">
        <f t="shared" si="117"/>
        <v>0</v>
      </c>
      <c r="AG262" s="287"/>
      <c r="AH262" s="287">
        <f t="shared" si="118"/>
        <v>0</v>
      </c>
      <c r="AI262" s="290">
        <f>'Unit Savings Calculations'!O258</f>
        <v>2.6588140926267867</v>
      </c>
      <c r="AJ262" s="287" t="s">
        <v>872</v>
      </c>
      <c r="AK262" s="292">
        <f t="shared" si="119"/>
        <v>1260.2778799050971</v>
      </c>
      <c r="AL262" s="289">
        <f t="shared" si="120"/>
        <v>0</v>
      </c>
      <c r="AM262" s="287"/>
      <c r="AN262" s="287"/>
      <c r="AO262" s="290">
        <f>'Unit Savings Calculations'!P258</f>
        <v>2.6588140926267867</v>
      </c>
      <c r="AP262" s="287" t="s">
        <v>764</v>
      </c>
      <c r="AQ262" s="292">
        <f t="shared" si="121"/>
        <v>1260.2778799050971</v>
      </c>
      <c r="AR262" s="289">
        <f t="shared" si="122"/>
        <v>0</v>
      </c>
      <c r="AS262" s="287"/>
      <c r="AT262" s="287"/>
      <c r="AU262" s="290">
        <f>'Unit Savings Calculations'!Q258</f>
        <v>2.6588140926267867</v>
      </c>
      <c r="AV262" s="287" t="str">
        <f t="shared" si="109"/>
        <v>n/a</v>
      </c>
      <c r="AW262" s="292">
        <f t="shared" si="123"/>
        <v>1260.2778799050971</v>
      </c>
      <c r="AX262" s="289">
        <f t="shared" si="124"/>
        <v>0</v>
      </c>
      <c r="AY262" s="292">
        <f t="shared" si="110"/>
        <v>1260.2778799050971</v>
      </c>
      <c r="AZ262" s="292">
        <f t="shared" si="111"/>
        <v>1260.2778799050971</v>
      </c>
      <c r="BA262" s="292">
        <f t="shared" si="112"/>
        <v>1260.2778799050971</v>
      </c>
      <c r="BB262" s="292">
        <f t="shared" si="113"/>
        <v>1260.2778799050971</v>
      </c>
      <c r="BC262" s="294">
        <f t="shared" si="114"/>
        <v>5041.1115196203882</v>
      </c>
      <c r="BD262" s="287" t="s">
        <v>764</v>
      </c>
      <c r="BE262" s="295" t="str">
        <f t="shared" si="115"/>
        <v>Exhibit 1.5B_R Peoples Gas EEPS_Adjustable_Savings_Goal_Template.xlsx, Unit Savings Calculations Tab</v>
      </c>
      <c r="BF262" s="297"/>
    </row>
    <row r="263" spans="1:58" ht="13.5" customHeight="1">
      <c r="A263" s="287" t="str">
        <f>'Unit Savings Calculations'!C259</f>
        <v>Bus - CI Rebates</v>
      </c>
      <c r="B263" s="287" t="str">
        <f>'Unit Savings Calculations'!D259</f>
        <v>Pipe Insulation - HW Medium 2.1" to 4"</v>
      </c>
      <c r="C263" s="288">
        <f t="shared" si="125"/>
        <v>1</v>
      </c>
      <c r="D263" s="287" t="str">
        <f>'Unit Savings Calculations'!T259</f>
        <v>4.4.14</v>
      </c>
      <c r="E263" s="287">
        <f>INDEX('Unit Savings Calculations'!$H$4:$H$421,MATCH('Measure-Level Adjustments Tab'!$A263&amp;"_"&amp;'Measure-Level Adjustments Tab'!$B263,'Unit Savings Calculations'!$A$4:$A$421,0))</f>
        <v>15</v>
      </c>
      <c r="F263" s="287">
        <f>INDEX('Unit Savings Calculations'!$I$4:$I$421,MATCH('Measure-Level Adjustments Tab'!A263&amp;"_"&amp;'Measure-Level Adjustments Tab'!B263,'Unit Savings Calculations'!$A$4:$A$421,0))</f>
        <v>15</v>
      </c>
      <c r="G263" s="287" t="str">
        <f>'Unit Savings Calculations'!E259</f>
        <v>ft</v>
      </c>
      <c r="H263" s="289">
        <f>'Unit Savings Calculations'!$F259*'Unit Savings Calculations'!J259</f>
        <v>900</v>
      </c>
      <c r="I263" s="289">
        <f>'Unit Savings Calculations'!$F259*'Unit Savings Calculations'!K259</f>
        <v>900</v>
      </c>
      <c r="J263" s="289">
        <f>'Unit Savings Calculations'!$F259*'Unit Savings Calculations'!L259</f>
        <v>900</v>
      </c>
      <c r="K263" s="289">
        <f>'Unit Savings Calculations'!$F259*'Unit Savings Calculations'!M259</f>
        <v>900</v>
      </c>
      <c r="L263" s="287" t="str">
        <f>'Unit Savings Calculations'!U259</f>
        <v>CI-HVC-PINS-V04-160601</v>
      </c>
      <c r="M263" s="363" t="s">
        <v>830</v>
      </c>
      <c r="N263" s="290">
        <v>5.2492031493764015</v>
      </c>
      <c r="O263" s="290">
        <v>5.2492031493764015</v>
      </c>
      <c r="P263" s="290">
        <v>5.2492031493764015</v>
      </c>
      <c r="Q263" s="290">
        <v>5.2492031493764015</v>
      </c>
      <c r="R263" s="291">
        <f>'Unit Savings Calculations'!$G259</f>
        <v>0.79</v>
      </c>
      <c r="S263" s="291">
        <f>'Unit Savings Calculations'!$G259</f>
        <v>0.79</v>
      </c>
      <c r="T263" s="291">
        <f>'Unit Savings Calculations'!$G259</f>
        <v>0.79</v>
      </c>
      <c r="U263" s="291">
        <f>'Unit Savings Calculations'!$G259</f>
        <v>0.79</v>
      </c>
      <c r="V263" s="292">
        <f t="shared" si="126"/>
        <v>3732.1834392066221</v>
      </c>
      <c r="W263" s="292">
        <f t="shared" si="127"/>
        <v>3732.1834392066221</v>
      </c>
      <c r="X263" s="292">
        <f t="shared" si="128"/>
        <v>3732.1834392066221</v>
      </c>
      <c r="Y263" s="292">
        <f t="shared" si="129"/>
        <v>3732.1834392066221</v>
      </c>
      <c r="Z263" s="292">
        <f t="shared" si="130"/>
        <v>14928.733756826488</v>
      </c>
      <c r="AA263" s="287"/>
      <c r="AB263" s="287"/>
      <c r="AC263" s="293">
        <f>'Unit Savings Calculations'!N259</f>
        <v>5.2492031493764015</v>
      </c>
      <c r="AD263" s="287"/>
      <c r="AE263" s="292">
        <f t="shared" si="116"/>
        <v>3732.1834392066221</v>
      </c>
      <c r="AF263" s="289">
        <f t="shared" si="117"/>
        <v>0</v>
      </c>
      <c r="AG263" s="287"/>
      <c r="AH263" s="287">
        <f t="shared" si="118"/>
        <v>0</v>
      </c>
      <c r="AI263" s="290">
        <f>'Unit Savings Calculations'!O259</f>
        <v>5.2492031493764015</v>
      </c>
      <c r="AJ263" s="287" t="s">
        <v>872</v>
      </c>
      <c r="AK263" s="292">
        <f t="shared" si="119"/>
        <v>3732.1834392066221</v>
      </c>
      <c r="AL263" s="289">
        <f t="shared" si="120"/>
        <v>0</v>
      </c>
      <c r="AM263" s="287"/>
      <c r="AN263" s="287"/>
      <c r="AO263" s="290">
        <f>'Unit Savings Calculations'!P259</f>
        <v>5.2492031493764015</v>
      </c>
      <c r="AP263" s="287" t="s">
        <v>764</v>
      </c>
      <c r="AQ263" s="292">
        <f t="shared" si="121"/>
        <v>3732.1834392066221</v>
      </c>
      <c r="AR263" s="289">
        <f t="shared" si="122"/>
        <v>0</v>
      </c>
      <c r="AS263" s="287"/>
      <c r="AT263" s="287"/>
      <c r="AU263" s="290">
        <f>'Unit Savings Calculations'!Q259</f>
        <v>5.2492031493764015</v>
      </c>
      <c r="AV263" s="287" t="str">
        <f t="shared" si="109"/>
        <v>n/a</v>
      </c>
      <c r="AW263" s="292">
        <f t="shared" si="123"/>
        <v>3732.1834392066221</v>
      </c>
      <c r="AX263" s="289">
        <f t="shared" si="124"/>
        <v>0</v>
      </c>
      <c r="AY263" s="292">
        <f t="shared" si="110"/>
        <v>3732.1834392066221</v>
      </c>
      <c r="AZ263" s="292">
        <f t="shared" si="111"/>
        <v>3732.1834392066221</v>
      </c>
      <c r="BA263" s="292">
        <f t="shared" si="112"/>
        <v>3732.1834392066221</v>
      </c>
      <c r="BB263" s="292">
        <f t="shared" si="113"/>
        <v>3732.1834392066221</v>
      </c>
      <c r="BC263" s="294">
        <f t="shared" si="114"/>
        <v>14928.733756826488</v>
      </c>
      <c r="BD263" s="287" t="s">
        <v>764</v>
      </c>
      <c r="BE263" s="295" t="str">
        <f t="shared" si="115"/>
        <v>Exhibit 1.5B_R Peoples Gas EEPS_Adjustable_Savings_Goal_Template.xlsx, Unit Savings Calculations Tab</v>
      </c>
      <c r="BF263" s="297"/>
    </row>
    <row r="264" spans="1:58" ht="13.5" customHeight="1">
      <c r="A264" s="287" t="str">
        <f>'Unit Savings Calculations'!C260</f>
        <v>Bus - CI Rebates</v>
      </c>
      <c r="B264" s="287" t="str">
        <f>'Unit Savings Calculations'!D260</f>
        <v>Pipe Insulation - HW Large &gt;4"</v>
      </c>
      <c r="C264" s="288">
        <f t="shared" si="125"/>
        <v>1</v>
      </c>
      <c r="D264" s="287" t="str">
        <f>'Unit Savings Calculations'!T260</f>
        <v>4.4.14</v>
      </c>
      <c r="E264" s="287">
        <f>INDEX('Unit Savings Calculations'!$H$4:$H$421,MATCH('Measure-Level Adjustments Tab'!$A264&amp;"_"&amp;'Measure-Level Adjustments Tab'!$B264,'Unit Savings Calculations'!$A$4:$A$421,0))</f>
        <v>15</v>
      </c>
      <c r="F264" s="287">
        <f>INDEX('Unit Savings Calculations'!$I$4:$I$421,MATCH('Measure-Level Adjustments Tab'!A264&amp;"_"&amp;'Measure-Level Adjustments Tab'!B264,'Unit Savings Calculations'!$A$4:$A$421,0))</f>
        <v>15</v>
      </c>
      <c r="G264" s="287" t="str">
        <f>'Unit Savings Calculations'!E260</f>
        <v>ft</v>
      </c>
      <c r="H264" s="289">
        <f>'Unit Savings Calculations'!$F260*'Unit Savings Calculations'!J260</f>
        <v>1050</v>
      </c>
      <c r="I264" s="289">
        <f>'Unit Savings Calculations'!$F260*'Unit Savings Calculations'!K260</f>
        <v>1050</v>
      </c>
      <c r="J264" s="289">
        <f>'Unit Savings Calculations'!$F260*'Unit Savings Calculations'!L260</f>
        <v>1050</v>
      </c>
      <c r="K264" s="289">
        <f>'Unit Savings Calculations'!$F260*'Unit Savings Calculations'!M260</f>
        <v>1050</v>
      </c>
      <c r="L264" s="287" t="str">
        <f>'Unit Savings Calculations'!U260</f>
        <v>CI-HVC-PINS-V04-160601</v>
      </c>
      <c r="M264" s="363" t="s">
        <v>830</v>
      </c>
      <c r="N264" s="290">
        <v>9.0407613085908682</v>
      </c>
      <c r="O264" s="290">
        <v>9.0407613085908682</v>
      </c>
      <c r="P264" s="290">
        <v>9.0407613085908682</v>
      </c>
      <c r="Q264" s="290">
        <v>9.0407613085908682</v>
      </c>
      <c r="R264" s="291">
        <f>'Unit Savings Calculations'!$G260</f>
        <v>0.79</v>
      </c>
      <c r="S264" s="291">
        <f>'Unit Savings Calculations'!$G260</f>
        <v>0.79</v>
      </c>
      <c r="T264" s="291">
        <f>'Unit Savings Calculations'!$G260</f>
        <v>0.79</v>
      </c>
      <c r="U264" s="291">
        <f>'Unit Savings Calculations'!$G260</f>
        <v>0.79</v>
      </c>
      <c r="V264" s="292">
        <f t="shared" si="126"/>
        <v>7499.3115054761247</v>
      </c>
      <c r="W264" s="292">
        <f t="shared" si="127"/>
        <v>7499.3115054761247</v>
      </c>
      <c r="X264" s="292">
        <f t="shared" si="128"/>
        <v>7499.3115054761247</v>
      </c>
      <c r="Y264" s="292">
        <f t="shared" si="129"/>
        <v>7499.3115054761247</v>
      </c>
      <c r="Z264" s="292">
        <f t="shared" si="130"/>
        <v>29997.246021904499</v>
      </c>
      <c r="AA264" s="287"/>
      <c r="AB264" s="287"/>
      <c r="AC264" s="293">
        <f>'Unit Savings Calculations'!N260</f>
        <v>9.0407613085908682</v>
      </c>
      <c r="AD264" s="287"/>
      <c r="AE264" s="292">
        <f t="shared" si="116"/>
        <v>7499.3115054761247</v>
      </c>
      <c r="AF264" s="289">
        <f t="shared" si="117"/>
        <v>0</v>
      </c>
      <c r="AG264" s="287"/>
      <c r="AH264" s="287">
        <f t="shared" si="118"/>
        <v>0</v>
      </c>
      <c r="AI264" s="290">
        <f>'Unit Savings Calculations'!O260</f>
        <v>9.0407613085908682</v>
      </c>
      <c r="AJ264" s="287" t="s">
        <v>872</v>
      </c>
      <c r="AK264" s="292">
        <f t="shared" si="119"/>
        <v>7499.3115054761247</v>
      </c>
      <c r="AL264" s="289">
        <f t="shared" si="120"/>
        <v>0</v>
      </c>
      <c r="AM264" s="287"/>
      <c r="AN264" s="287"/>
      <c r="AO264" s="290">
        <f>'Unit Savings Calculations'!P260</f>
        <v>9.0407613085908682</v>
      </c>
      <c r="AP264" s="287" t="s">
        <v>764</v>
      </c>
      <c r="AQ264" s="292">
        <f t="shared" si="121"/>
        <v>7499.3115054761247</v>
      </c>
      <c r="AR264" s="289">
        <f t="shared" si="122"/>
        <v>0</v>
      </c>
      <c r="AS264" s="287"/>
      <c r="AT264" s="287"/>
      <c r="AU264" s="290">
        <f>'Unit Savings Calculations'!Q260</f>
        <v>9.0407613085908682</v>
      </c>
      <c r="AV264" s="287" t="str">
        <f t="shared" si="109"/>
        <v>n/a</v>
      </c>
      <c r="AW264" s="292">
        <f t="shared" si="123"/>
        <v>7499.3115054761247</v>
      </c>
      <c r="AX264" s="289">
        <f t="shared" si="124"/>
        <v>0</v>
      </c>
      <c r="AY264" s="292">
        <f t="shared" si="110"/>
        <v>7499.3115054761247</v>
      </c>
      <c r="AZ264" s="292">
        <f t="shared" si="111"/>
        <v>7499.3115054761247</v>
      </c>
      <c r="BA264" s="292">
        <f t="shared" si="112"/>
        <v>7499.3115054761247</v>
      </c>
      <c r="BB264" s="292">
        <f t="shared" si="113"/>
        <v>7499.3115054761247</v>
      </c>
      <c r="BC264" s="294">
        <f t="shared" si="114"/>
        <v>29997.246021904499</v>
      </c>
      <c r="BD264" s="287" t="s">
        <v>764</v>
      </c>
      <c r="BE264" s="295" t="str">
        <f t="shared" si="115"/>
        <v>Exhibit 1.5B_R Peoples Gas EEPS_Adjustable_Savings_Goal_Template.xlsx, Unit Savings Calculations Tab</v>
      </c>
      <c r="BF264" s="297"/>
    </row>
    <row r="265" spans="1:58" ht="13.5" customHeight="1">
      <c r="A265" s="287" t="str">
        <f>'Unit Savings Calculations'!C261</f>
        <v>Bus - CI Rebates</v>
      </c>
      <c r="B265" s="287" t="str">
        <f>'Unit Savings Calculations'!D261</f>
        <v>Pipe Insulation - Steam - Small 1" to 2"</v>
      </c>
      <c r="C265" s="288">
        <f t="shared" si="125"/>
        <v>1</v>
      </c>
      <c r="D265" s="287" t="str">
        <f>'Unit Savings Calculations'!T261</f>
        <v>4.4.14</v>
      </c>
      <c r="E265" s="287">
        <f>INDEX('Unit Savings Calculations'!$H$4:$H$421,MATCH('Measure-Level Adjustments Tab'!$A265&amp;"_"&amp;'Measure-Level Adjustments Tab'!$B265,'Unit Savings Calculations'!$A$4:$A$421,0))</f>
        <v>15</v>
      </c>
      <c r="F265" s="287">
        <f>INDEX('Unit Savings Calculations'!$I$4:$I$421,MATCH('Measure-Level Adjustments Tab'!A265&amp;"_"&amp;'Measure-Level Adjustments Tab'!B265,'Unit Savings Calculations'!$A$4:$A$421,0))</f>
        <v>15</v>
      </c>
      <c r="G265" s="287" t="str">
        <f>'Unit Savings Calculations'!E261</f>
        <v>ft</v>
      </c>
      <c r="H265" s="289">
        <f>'Unit Savings Calculations'!$F261*'Unit Savings Calculations'!J261</f>
        <v>0</v>
      </c>
      <c r="I265" s="289">
        <f>'Unit Savings Calculations'!$F261*'Unit Savings Calculations'!K261</f>
        <v>0</v>
      </c>
      <c r="J265" s="289">
        <f>'Unit Savings Calculations'!$F261*'Unit Savings Calculations'!L261</f>
        <v>0</v>
      </c>
      <c r="K265" s="289">
        <f>'Unit Savings Calculations'!$F261*'Unit Savings Calculations'!M261</f>
        <v>0</v>
      </c>
      <c r="L265" s="287" t="str">
        <f>'Unit Savings Calculations'!U261</f>
        <v>CI-HVC-PINS-V04-160601</v>
      </c>
      <c r="M265" s="363" t="s">
        <v>830</v>
      </c>
      <c r="N265" s="290">
        <v>3.1854757047967208</v>
      </c>
      <c r="O265" s="290">
        <v>3.1854757047967208</v>
      </c>
      <c r="P265" s="290">
        <v>3.1854757047967208</v>
      </c>
      <c r="Q265" s="290">
        <v>3.1854757047967208</v>
      </c>
      <c r="R265" s="291">
        <f>'Unit Savings Calculations'!$G261</f>
        <v>0.79</v>
      </c>
      <c r="S265" s="291">
        <f>'Unit Savings Calculations'!$G261</f>
        <v>0.79</v>
      </c>
      <c r="T265" s="291">
        <f>'Unit Savings Calculations'!$G261</f>
        <v>0.79</v>
      </c>
      <c r="U265" s="291">
        <f>'Unit Savings Calculations'!$G261</f>
        <v>0.79</v>
      </c>
      <c r="V265" s="292">
        <f t="shared" si="126"/>
        <v>0</v>
      </c>
      <c r="W265" s="292">
        <f t="shared" si="127"/>
        <v>0</v>
      </c>
      <c r="X265" s="292">
        <f t="shared" si="128"/>
        <v>0</v>
      </c>
      <c r="Y265" s="292">
        <f t="shared" si="129"/>
        <v>0</v>
      </c>
      <c r="Z265" s="292">
        <f t="shared" si="130"/>
        <v>0</v>
      </c>
      <c r="AA265" s="287"/>
      <c r="AB265" s="287"/>
      <c r="AC265" s="293">
        <f>'Unit Savings Calculations'!N261</f>
        <v>3.1854757047967208</v>
      </c>
      <c r="AD265" s="287"/>
      <c r="AE265" s="292">
        <f t="shared" si="116"/>
        <v>0</v>
      </c>
      <c r="AF265" s="289">
        <f t="shared" si="117"/>
        <v>0</v>
      </c>
      <c r="AG265" s="287"/>
      <c r="AH265" s="287">
        <f t="shared" si="118"/>
        <v>0</v>
      </c>
      <c r="AI265" s="290">
        <f>'Unit Savings Calculations'!O261</f>
        <v>3.1854757047967208</v>
      </c>
      <c r="AJ265" s="287" t="s">
        <v>872</v>
      </c>
      <c r="AK265" s="292">
        <f t="shared" si="119"/>
        <v>0</v>
      </c>
      <c r="AL265" s="289">
        <f t="shared" si="120"/>
        <v>0</v>
      </c>
      <c r="AM265" s="287"/>
      <c r="AN265" s="287"/>
      <c r="AO265" s="290">
        <f>'Unit Savings Calculations'!P261</f>
        <v>3.1854757047967208</v>
      </c>
      <c r="AP265" s="287" t="s">
        <v>764</v>
      </c>
      <c r="AQ265" s="292">
        <f t="shared" si="121"/>
        <v>0</v>
      </c>
      <c r="AR265" s="289">
        <f t="shared" si="122"/>
        <v>0</v>
      </c>
      <c r="AS265" s="287"/>
      <c r="AT265" s="287"/>
      <c r="AU265" s="290">
        <f>'Unit Savings Calculations'!Q261</f>
        <v>3.1854757047967208</v>
      </c>
      <c r="AV265" s="287" t="str">
        <f t="shared" ref="AV265:AV328" si="131">AP265</f>
        <v>n/a</v>
      </c>
      <c r="AW265" s="292">
        <f t="shared" si="123"/>
        <v>0</v>
      </c>
      <c r="AX265" s="289">
        <f t="shared" si="124"/>
        <v>0</v>
      </c>
      <c r="AY265" s="292">
        <f t="shared" ref="AY265:AY328" si="132">IF(C265=1,AE265,V265)</f>
        <v>0</v>
      </c>
      <c r="AZ265" s="292">
        <f t="shared" ref="AZ265:AZ328" si="133">IF(C265=1,AK265,W265)</f>
        <v>0</v>
      </c>
      <c r="BA265" s="292">
        <f t="shared" ref="BA265:BA328" si="134">IF(C265=1,AQ265,X265)</f>
        <v>0</v>
      </c>
      <c r="BB265" s="292">
        <f t="shared" ref="BB265:BB328" si="135">IF(C265=1,AW265,Y265)</f>
        <v>0</v>
      </c>
      <c r="BC265" s="294">
        <f t="shared" ref="BC265:BC328" si="136">AY265+AZ265+BA265+BB265</f>
        <v>0</v>
      </c>
      <c r="BD265" s="287" t="s">
        <v>764</v>
      </c>
      <c r="BE265" s="295" t="str">
        <f t="shared" ref="BE265:BE328" si="137">M265</f>
        <v>Exhibit 1.5B_R Peoples Gas EEPS_Adjustable_Savings_Goal_Template.xlsx, Unit Savings Calculations Tab</v>
      </c>
      <c r="BF265" s="297"/>
    </row>
    <row r="266" spans="1:58" ht="13.5" customHeight="1">
      <c r="A266" s="287" t="str">
        <f>'Unit Savings Calculations'!C262</f>
        <v>Bus - CI Rebates</v>
      </c>
      <c r="B266" s="287" t="str">
        <f>'Unit Savings Calculations'!D262</f>
        <v>Pipe Insulation - Steam - Med 2.1" to 5"</v>
      </c>
      <c r="C266" s="288">
        <f t="shared" si="125"/>
        <v>1</v>
      </c>
      <c r="D266" s="287" t="str">
        <f>'Unit Savings Calculations'!T262</f>
        <v>4.4.14</v>
      </c>
      <c r="E266" s="287">
        <f>INDEX('Unit Savings Calculations'!$H$4:$H$421,MATCH('Measure-Level Adjustments Tab'!$A266&amp;"_"&amp;'Measure-Level Adjustments Tab'!$B266,'Unit Savings Calculations'!$A$4:$A$421,0))</f>
        <v>15</v>
      </c>
      <c r="F266" s="287">
        <f>INDEX('Unit Savings Calculations'!$I$4:$I$421,MATCH('Measure-Level Adjustments Tab'!A266&amp;"_"&amp;'Measure-Level Adjustments Tab'!B266,'Unit Savings Calculations'!$A$4:$A$421,0))</f>
        <v>15</v>
      </c>
      <c r="G266" s="287" t="str">
        <f>'Unit Savings Calculations'!E262</f>
        <v>ft</v>
      </c>
      <c r="H266" s="289">
        <f>'Unit Savings Calculations'!$F262*'Unit Savings Calculations'!J262</f>
        <v>0</v>
      </c>
      <c r="I266" s="289">
        <f>'Unit Savings Calculations'!$F262*'Unit Savings Calculations'!K262</f>
        <v>0</v>
      </c>
      <c r="J266" s="289">
        <f>'Unit Savings Calculations'!$F262*'Unit Savings Calculations'!L262</f>
        <v>0</v>
      </c>
      <c r="K266" s="289">
        <f>'Unit Savings Calculations'!$F262*'Unit Savings Calculations'!M262</f>
        <v>0</v>
      </c>
      <c r="L266" s="287" t="str">
        <f>'Unit Savings Calculations'!U262</f>
        <v>CI-HVC-PINS-V04-160601</v>
      </c>
      <c r="M266" s="363" t="s">
        <v>830</v>
      </c>
      <c r="N266" s="290">
        <v>13.148126788517139</v>
      </c>
      <c r="O266" s="290">
        <v>13.148126788517139</v>
      </c>
      <c r="P266" s="290">
        <v>13.148126788517139</v>
      </c>
      <c r="Q266" s="290">
        <v>13.148126788517139</v>
      </c>
      <c r="R266" s="291">
        <f>'Unit Savings Calculations'!$G262</f>
        <v>0.79</v>
      </c>
      <c r="S266" s="291">
        <f>'Unit Savings Calculations'!$G262</f>
        <v>0.79</v>
      </c>
      <c r="T266" s="291">
        <f>'Unit Savings Calculations'!$G262</f>
        <v>0.79</v>
      </c>
      <c r="U266" s="291">
        <f>'Unit Savings Calculations'!$G262</f>
        <v>0.79</v>
      </c>
      <c r="V266" s="292">
        <f t="shared" si="126"/>
        <v>0</v>
      </c>
      <c r="W266" s="292">
        <f t="shared" si="127"/>
        <v>0</v>
      </c>
      <c r="X266" s="292">
        <f t="shared" si="128"/>
        <v>0</v>
      </c>
      <c r="Y266" s="292">
        <f t="shared" si="129"/>
        <v>0</v>
      </c>
      <c r="Z266" s="292">
        <f t="shared" si="130"/>
        <v>0</v>
      </c>
      <c r="AA266" s="287"/>
      <c r="AB266" s="287"/>
      <c r="AC266" s="293">
        <f>'Unit Savings Calculations'!N262</f>
        <v>13.148126788517139</v>
      </c>
      <c r="AD266" s="287"/>
      <c r="AE266" s="292">
        <f t="shared" ref="AE266:AE329" si="138">H266*AC266*R266</f>
        <v>0</v>
      </c>
      <c r="AF266" s="289">
        <f t="shared" ref="AF266:AF329" si="139">AE266-V266</f>
        <v>0</v>
      </c>
      <c r="AG266" s="287"/>
      <c r="AH266" s="287">
        <f t="shared" ref="AH266:AH329" si="140">AB266</f>
        <v>0</v>
      </c>
      <c r="AI266" s="290">
        <f>'Unit Savings Calculations'!O262</f>
        <v>13.148126788517139</v>
      </c>
      <c r="AJ266" s="287" t="s">
        <v>872</v>
      </c>
      <c r="AK266" s="292">
        <f t="shared" ref="AK266:AK329" si="141">I266*AI266*S266</f>
        <v>0</v>
      </c>
      <c r="AL266" s="289">
        <f t="shared" ref="AL266:AL329" si="142">AK266-W266</f>
        <v>0</v>
      </c>
      <c r="AM266" s="287"/>
      <c r="AN266" s="287"/>
      <c r="AO266" s="290">
        <f>'Unit Savings Calculations'!P262</f>
        <v>13.148126788517139</v>
      </c>
      <c r="AP266" s="287" t="s">
        <v>764</v>
      </c>
      <c r="AQ266" s="292">
        <f t="shared" ref="AQ266:AQ329" si="143">J266*AO266*T266</f>
        <v>0</v>
      </c>
      <c r="AR266" s="289">
        <f t="shared" ref="AR266:AR329" si="144">AQ266-X266</f>
        <v>0</v>
      </c>
      <c r="AS266" s="287"/>
      <c r="AT266" s="287"/>
      <c r="AU266" s="290">
        <f>'Unit Savings Calculations'!Q262</f>
        <v>13.148126788517139</v>
      </c>
      <c r="AV266" s="287" t="str">
        <f t="shared" si="131"/>
        <v>n/a</v>
      </c>
      <c r="AW266" s="292">
        <f t="shared" ref="AW266:AW329" si="145">K266*AU266*U266</f>
        <v>0</v>
      </c>
      <c r="AX266" s="289">
        <f t="shared" ref="AX266:AX329" si="146">AW266-Y266</f>
        <v>0</v>
      </c>
      <c r="AY266" s="292">
        <f t="shared" si="132"/>
        <v>0</v>
      </c>
      <c r="AZ266" s="292">
        <f t="shared" si="133"/>
        <v>0</v>
      </c>
      <c r="BA266" s="292">
        <f t="shared" si="134"/>
        <v>0</v>
      </c>
      <c r="BB266" s="292">
        <f t="shared" si="135"/>
        <v>0</v>
      </c>
      <c r="BC266" s="294">
        <f t="shared" si="136"/>
        <v>0</v>
      </c>
      <c r="BD266" s="287" t="s">
        <v>764</v>
      </c>
      <c r="BE266" s="295" t="str">
        <f t="shared" si="137"/>
        <v>Exhibit 1.5B_R Peoples Gas EEPS_Adjustable_Savings_Goal_Template.xlsx, Unit Savings Calculations Tab</v>
      </c>
      <c r="BF266" s="297"/>
    </row>
    <row r="267" spans="1:58" ht="13.5" customHeight="1">
      <c r="A267" s="287" t="str">
        <f>'Unit Savings Calculations'!C263</f>
        <v>Bus - CI Rebates</v>
      </c>
      <c r="B267" s="287" t="str">
        <f>'Unit Savings Calculations'!D263</f>
        <v>Pipe Insulation - Steam - Large 5.1" to 8"</v>
      </c>
      <c r="C267" s="288">
        <f t="shared" si="125"/>
        <v>1</v>
      </c>
      <c r="D267" s="287" t="str">
        <f>'Unit Savings Calculations'!T263</f>
        <v>4.4.14</v>
      </c>
      <c r="E267" s="287">
        <f>INDEX('Unit Savings Calculations'!$H$4:$H$421,MATCH('Measure-Level Adjustments Tab'!$A267&amp;"_"&amp;'Measure-Level Adjustments Tab'!$B267,'Unit Savings Calculations'!$A$4:$A$421,0))</f>
        <v>15</v>
      </c>
      <c r="F267" s="287">
        <f>INDEX('Unit Savings Calculations'!$I$4:$I$421,MATCH('Measure-Level Adjustments Tab'!A267&amp;"_"&amp;'Measure-Level Adjustments Tab'!B267,'Unit Savings Calculations'!$A$4:$A$421,0))</f>
        <v>15</v>
      </c>
      <c r="G267" s="287" t="str">
        <f>'Unit Savings Calculations'!E263</f>
        <v>ft</v>
      </c>
      <c r="H267" s="289">
        <f>'Unit Savings Calculations'!$F263*'Unit Savings Calculations'!J263</f>
        <v>600</v>
      </c>
      <c r="I267" s="289">
        <f>'Unit Savings Calculations'!$F263*'Unit Savings Calculations'!K263</f>
        <v>600</v>
      </c>
      <c r="J267" s="289">
        <f>'Unit Savings Calculations'!$F263*'Unit Savings Calculations'!L263</f>
        <v>600</v>
      </c>
      <c r="K267" s="289">
        <f>'Unit Savings Calculations'!$F263*'Unit Savings Calculations'!M263</f>
        <v>600</v>
      </c>
      <c r="L267" s="287" t="str">
        <f>'Unit Savings Calculations'!U263</f>
        <v>CI-HVC-PINS-V04-160601</v>
      </c>
      <c r="M267" s="363" t="s">
        <v>830</v>
      </c>
      <c r="N267" s="290">
        <v>24.25563238537794</v>
      </c>
      <c r="O267" s="290">
        <v>24.25563238537794</v>
      </c>
      <c r="P267" s="290">
        <v>24.25563238537794</v>
      </c>
      <c r="Q267" s="290">
        <v>24.25563238537794</v>
      </c>
      <c r="R267" s="291">
        <f>'Unit Savings Calculations'!$G263</f>
        <v>0.79</v>
      </c>
      <c r="S267" s="291">
        <f>'Unit Savings Calculations'!$G263</f>
        <v>0.79</v>
      </c>
      <c r="T267" s="291">
        <f>'Unit Savings Calculations'!$G263</f>
        <v>0.79</v>
      </c>
      <c r="U267" s="291">
        <f>'Unit Savings Calculations'!$G263</f>
        <v>0.79</v>
      </c>
      <c r="V267" s="292">
        <f t="shared" si="126"/>
        <v>11497.169750669143</v>
      </c>
      <c r="W267" s="292">
        <f t="shared" si="127"/>
        <v>11497.169750669143</v>
      </c>
      <c r="X267" s="292">
        <f t="shared" si="128"/>
        <v>11497.169750669143</v>
      </c>
      <c r="Y267" s="292">
        <f t="shared" si="129"/>
        <v>11497.169750669143</v>
      </c>
      <c r="Z267" s="292">
        <f t="shared" si="130"/>
        <v>45988.679002676574</v>
      </c>
      <c r="AA267" s="287"/>
      <c r="AB267" s="287"/>
      <c r="AC267" s="293">
        <f>'Unit Savings Calculations'!N263</f>
        <v>24.25563238537794</v>
      </c>
      <c r="AD267" s="287"/>
      <c r="AE267" s="292">
        <f t="shared" si="138"/>
        <v>11497.169750669143</v>
      </c>
      <c r="AF267" s="289">
        <f t="shared" si="139"/>
        <v>0</v>
      </c>
      <c r="AG267" s="287"/>
      <c r="AH267" s="287">
        <f t="shared" si="140"/>
        <v>0</v>
      </c>
      <c r="AI267" s="290">
        <f>'Unit Savings Calculations'!O263</f>
        <v>24.25563238537794</v>
      </c>
      <c r="AJ267" s="287" t="s">
        <v>872</v>
      </c>
      <c r="AK267" s="292">
        <f t="shared" si="141"/>
        <v>11497.169750669143</v>
      </c>
      <c r="AL267" s="289">
        <f t="shared" si="142"/>
        <v>0</v>
      </c>
      <c r="AM267" s="287"/>
      <c r="AN267" s="287"/>
      <c r="AO267" s="290">
        <f>'Unit Savings Calculations'!P263</f>
        <v>24.25563238537794</v>
      </c>
      <c r="AP267" s="287" t="s">
        <v>764</v>
      </c>
      <c r="AQ267" s="292">
        <f t="shared" si="143"/>
        <v>11497.169750669143</v>
      </c>
      <c r="AR267" s="289">
        <f t="shared" si="144"/>
        <v>0</v>
      </c>
      <c r="AS267" s="287"/>
      <c r="AT267" s="287"/>
      <c r="AU267" s="290">
        <f>'Unit Savings Calculations'!Q263</f>
        <v>24.25563238537794</v>
      </c>
      <c r="AV267" s="287" t="str">
        <f t="shared" si="131"/>
        <v>n/a</v>
      </c>
      <c r="AW267" s="292">
        <f t="shared" si="145"/>
        <v>11497.169750669143</v>
      </c>
      <c r="AX267" s="289">
        <f t="shared" si="146"/>
        <v>0</v>
      </c>
      <c r="AY267" s="292">
        <f t="shared" si="132"/>
        <v>11497.169750669143</v>
      </c>
      <c r="AZ267" s="292">
        <f t="shared" si="133"/>
        <v>11497.169750669143</v>
      </c>
      <c r="BA267" s="292">
        <f t="shared" si="134"/>
        <v>11497.169750669143</v>
      </c>
      <c r="BB267" s="292">
        <f t="shared" si="135"/>
        <v>11497.169750669143</v>
      </c>
      <c r="BC267" s="294">
        <f t="shared" si="136"/>
        <v>45988.679002676574</v>
      </c>
      <c r="BD267" s="287" t="s">
        <v>764</v>
      </c>
      <c r="BE267" s="295" t="str">
        <f t="shared" si="137"/>
        <v>Exhibit 1.5B_R Peoples Gas EEPS_Adjustable_Savings_Goal_Template.xlsx, Unit Savings Calculations Tab</v>
      </c>
      <c r="BF267" s="297"/>
    </row>
    <row r="268" spans="1:58" ht="13.5" customHeight="1">
      <c r="A268" s="287" t="str">
        <f>'Unit Savings Calculations'!C264</f>
        <v>Bus - CI Rebates</v>
      </c>
      <c r="B268" s="287" t="str">
        <f>'Unit Savings Calculations'!D264</f>
        <v>Pipe Insulation - Steam - X-Large &gt;8"</v>
      </c>
      <c r="C268" s="288">
        <f t="shared" si="125"/>
        <v>1</v>
      </c>
      <c r="D268" s="287" t="str">
        <f>'Unit Savings Calculations'!T264</f>
        <v>4.4.14</v>
      </c>
      <c r="E268" s="287">
        <f>INDEX('Unit Savings Calculations'!$H$4:$H$421,MATCH('Measure-Level Adjustments Tab'!$A268&amp;"_"&amp;'Measure-Level Adjustments Tab'!$B268,'Unit Savings Calculations'!$A$4:$A$421,0))</f>
        <v>15</v>
      </c>
      <c r="F268" s="287">
        <f>INDEX('Unit Savings Calculations'!$I$4:$I$421,MATCH('Measure-Level Adjustments Tab'!A268&amp;"_"&amp;'Measure-Level Adjustments Tab'!B268,'Unit Savings Calculations'!$A$4:$A$421,0))</f>
        <v>15</v>
      </c>
      <c r="G268" s="287" t="str">
        <f>'Unit Savings Calculations'!E264</f>
        <v>ft</v>
      </c>
      <c r="H268" s="289">
        <f>'Unit Savings Calculations'!$F264*'Unit Savings Calculations'!J264</f>
        <v>0</v>
      </c>
      <c r="I268" s="289">
        <f>'Unit Savings Calculations'!$F264*'Unit Savings Calculations'!K264</f>
        <v>0</v>
      </c>
      <c r="J268" s="289">
        <f>'Unit Savings Calculations'!$F264*'Unit Savings Calculations'!L264</f>
        <v>0</v>
      </c>
      <c r="K268" s="289">
        <f>'Unit Savings Calculations'!$F264*'Unit Savings Calculations'!M264</f>
        <v>0</v>
      </c>
      <c r="L268" s="287" t="str">
        <f>'Unit Savings Calculations'!U264</f>
        <v>CI-HVC-PINS-V04-160601</v>
      </c>
      <c r="M268" s="363" t="s">
        <v>830</v>
      </c>
      <c r="N268" s="290">
        <v>35.984797966765058</v>
      </c>
      <c r="O268" s="290">
        <v>35.984797966765058</v>
      </c>
      <c r="P268" s="290">
        <v>35.984797966765058</v>
      </c>
      <c r="Q268" s="290">
        <v>35.984797966765058</v>
      </c>
      <c r="R268" s="291">
        <f>'Unit Savings Calculations'!$G264</f>
        <v>0.79</v>
      </c>
      <c r="S268" s="291">
        <f>'Unit Savings Calculations'!$G264</f>
        <v>0.79</v>
      </c>
      <c r="T268" s="291">
        <f>'Unit Savings Calculations'!$G264</f>
        <v>0.79</v>
      </c>
      <c r="U268" s="291">
        <f>'Unit Savings Calculations'!$G264</f>
        <v>0.79</v>
      </c>
      <c r="V268" s="292">
        <f t="shared" si="126"/>
        <v>0</v>
      </c>
      <c r="W268" s="292">
        <f t="shared" si="127"/>
        <v>0</v>
      </c>
      <c r="X268" s="292">
        <f t="shared" si="128"/>
        <v>0</v>
      </c>
      <c r="Y268" s="292">
        <f t="shared" si="129"/>
        <v>0</v>
      </c>
      <c r="Z268" s="292">
        <f t="shared" si="130"/>
        <v>0</v>
      </c>
      <c r="AA268" s="287"/>
      <c r="AB268" s="287"/>
      <c r="AC268" s="293">
        <f>'Unit Savings Calculations'!N264</f>
        <v>35.984797966765058</v>
      </c>
      <c r="AD268" s="287"/>
      <c r="AE268" s="292">
        <f t="shared" si="138"/>
        <v>0</v>
      </c>
      <c r="AF268" s="289">
        <f t="shared" si="139"/>
        <v>0</v>
      </c>
      <c r="AG268" s="287"/>
      <c r="AH268" s="287">
        <f t="shared" si="140"/>
        <v>0</v>
      </c>
      <c r="AI268" s="290">
        <f>'Unit Savings Calculations'!O264</f>
        <v>35.984797966765058</v>
      </c>
      <c r="AJ268" s="287" t="s">
        <v>872</v>
      </c>
      <c r="AK268" s="292">
        <f t="shared" si="141"/>
        <v>0</v>
      </c>
      <c r="AL268" s="289">
        <f t="shared" si="142"/>
        <v>0</v>
      </c>
      <c r="AM268" s="287"/>
      <c r="AN268" s="287"/>
      <c r="AO268" s="290">
        <f>'Unit Savings Calculations'!P264</f>
        <v>35.984797966765058</v>
      </c>
      <c r="AP268" s="287" t="s">
        <v>764</v>
      </c>
      <c r="AQ268" s="292">
        <f t="shared" si="143"/>
        <v>0</v>
      </c>
      <c r="AR268" s="289">
        <f t="shared" si="144"/>
        <v>0</v>
      </c>
      <c r="AS268" s="287"/>
      <c r="AT268" s="287"/>
      <c r="AU268" s="290">
        <f>'Unit Savings Calculations'!Q264</f>
        <v>35.984797966765058</v>
      </c>
      <c r="AV268" s="287" t="str">
        <f t="shared" si="131"/>
        <v>n/a</v>
      </c>
      <c r="AW268" s="292">
        <f t="shared" si="145"/>
        <v>0</v>
      </c>
      <c r="AX268" s="289">
        <f t="shared" si="146"/>
        <v>0</v>
      </c>
      <c r="AY268" s="292">
        <f t="shared" si="132"/>
        <v>0</v>
      </c>
      <c r="AZ268" s="292">
        <f t="shared" si="133"/>
        <v>0</v>
      </c>
      <c r="BA268" s="292">
        <f t="shared" si="134"/>
        <v>0</v>
      </c>
      <c r="BB268" s="292">
        <f t="shared" si="135"/>
        <v>0</v>
      </c>
      <c r="BC268" s="294">
        <f t="shared" si="136"/>
        <v>0</v>
      </c>
      <c r="BD268" s="287" t="s">
        <v>764</v>
      </c>
      <c r="BE268" s="295" t="str">
        <f t="shared" si="137"/>
        <v>Exhibit 1.5B_R Peoples Gas EEPS_Adjustable_Savings_Goal_Template.xlsx, Unit Savings Calculations Tab</v>
      </c>
      <c r="BF268" s="297"/>
    </row>
    <row r="269" spans="1:58" ht="13.5" customHeight="1">
      <c r="A269" s="287" t="str">
        <f>'Unit Savings Calculations'!C265</f>
        <v>Bus - CI Rebates</v>
      </c>
      <c r="B269" s="287" t="str">
        <f>'Unit Savings Calculations'!D265</f>
        <v>Pipe Insulation - Steam Med Fitting</v>
      </c>
      <c r="C269" s="288">
        <f t="shared" si="125"/>
        <v>1</v>
      </c>
      <c r="D269" s="287" t="str">
        <f>'Unit Savings Calculations'!T265</f>
        <v>4.4.14</v>
      </c>
      <c r="E269" s="287">
        <f>INDEX('Unit Savings Calculations'!$H$4:$H$421,MATCH('Measure-Level Adjustments Tab'!$A269&amp;"_"&amp;'Measure-Level Adjustments Tab'!$B269,'Unit Savings Calculations'!$A$4:$A$421,0))</f>
        <v>15</v>
      </c>
      <c r="F269" s="287">
        <f>INDEX('Unit Savings Calculations'!$I$4:$I$421,MATCH('Measure-Level Adjustments Tab'!A269&amp;"_"&amp;'Measure-Level Adjustments Tab'!B269,'Unit Savings Calculations'!$A$4:$A$421,0))</f>
        <v>15</v>
      </c>
      <c r="G269" s="287" t="str">
        <f>'Unit Savings Calculations'!E265</f>
        <v>each</v>
      </c>
      <c r="H269" s="289">
        <f>'Unit Savings Calculations'!$F265*'Unit Savings Calculations'!J265</f>
        <v>0</v>
      </c>
      <c r="I269" s="289">
        <f>'Unit Savings Calculations'!$F265*'Unit Savings Calculations'!K265</f>
        <v>0</v>
      </c>
      <c r="J269" s="289">
        <f>'Unit Savings Calculations'!$F265*'Unit Savings Calculations'!L265</f>
        <v>0</v>
      </c>
      <c r="K269" s="289">
        <f>'Unit Savings Calculations'!$F265*'Unit Savings Calculations'!M265</f>
        <v>0</v>
      </c>
      <c r="L269" s="287" t="str">
        <f>'Unit Savings Calculations'!U265</f>
        <v>CI-HVC-PINS-V04-160601</v>
      </c>
      <c r="M269" s="363" t="s">
        <v>830</v>
      </c>
      <c r="N269" s="290">
        <v>12.515179237984789</v>
      </c>
      <c r="O269" s="290">
        <v>12.515179237984789</v>
      </c>
      <c r="P269" s="290">
        <v>12.515179237984789</v>
      </c>
      <c r="Q269" s="290">
        <v>12.515179237984789</v>
      </c>
      <c r="R269" s="291">
        <f>'Unit Savings Calculations'!$G265</f>
        <v>0.79</v>
      </c>
      <c r="S269" s="291">
        <f>'Unit Savings Calculations'!$G265</f>
        <v>0.79</v>
      </c>
      <c r="T269" s="291">
        <f>'Unit Savings Calculations'!$G265</f>
        <v>0.79</v>
      </c>
      <c r="U269" s="291">
        <f>'Unit Savings Calculations'!$G265</f>
        <v>0.79</v>
      </c>
      <c r="V269" s="292">
        <f t="shared" si="126"/>
        <v>0</v>
      </c>
      <c r="W269" s="292">
        <f t="shared" si="127"/>
        <v>0</v>
      </c>
      <c r="X269" s="292">
        <f t="shared" si="128"/>
        <v>0</v>
      </c>
      <c r="Y269" s="292">
        <f t="shared" si="129"/>
        <v>0</v>
      </c>
      <c r="Z269" s="292">
        <f t="shared" si="130"/>
        <v>0</v>
      </c>
      <c r="AA269" s="287"/>
      <c r="AB269" s="287"/>
      <c r="AC269" s="293">
        <f>'Unit Savings Calculations'!N265</f>
        <v>12.515179237984789</v>
      </c>
      <c r="AD269" s="287"/>
      <c r="AE269" s="292">
        <f t="shared" si="138"/>
        <v>0</v>
      </c>
      <c r="AF269" s="289">
        <f t="shared" si="139"/>
        <v>0</v>
      </c>
      <c r="AG269" s="287"/>
      <c r="AH269" s="287">
        <f t="shared" si="140"/>
        <v>0</v>
      </c>
      <c r="AI269" s="290">
        <f>'Unit Savings Calculations'!O265</f>
        <v>12.515179237984789</v>
      </c>
      <c r="AJ269" s="287" t="s">
        <v>872</v>
      </c>
      <c r="AK269" s="292">
        <f t="shared" si="141"/>
        <v>0</v>
      </c>
      <c r="AL269" s="289">
        <f t="shared" si="142"/>
        <v>0</v>
      </c>
      <c r="AM269" s="287"/>
      <c r="AN269" s="287"/>
      <c r="AO269" s="290">
        <f>'Unit Savings Calculations'!P265</f>
        <v>12.515179237984789</v>
      </c>
      <c r="AP269" s="287" t="s">
        <v>764</v>
      </c>
      <c r="AQ269" s="292">
        <f t="shared" si="143"/>
        <v>0</v>
      </c>
      <c r="AR269" s="289">
        <f t="shared" si="144"/>
        <v>0</v>
      </c>
      <c r="AS269" s="287"/>
      <c r="AT269" s="287"/>
      <c r="AU269" s="290">
        <f>'Unit Savings Calculations'!Q265</f>
        <v>12.515179237984789</v>
      </c>
      <c r="AV269" s="287" t="str">
        <f t="shared" si="131"/>
        <v>n/a</v>
      </c>
      <c r="AW269" s="292">
        <f t="shared" si="145"/>
        <v>0</v>
      </c>
      <c r="AX269" s="289">
        <f t="shared" si="146"/>
        <v>0</v>
      </c>
      <c r="AY269" s="292">
        <f t="shared" si="132"/>
        <v>0</v>
      </c>
      <c r="AZ269" s="292">
        <f t="shared" si="133"/>
        <v>0</v>
      </c>
      <c r="BA269" s="292">
        <f t="shared" si="134"/>
        <v>0</v>
      </c>
      <c r="BB269" s="292">
        <f t="shared" si="135"/>
        <v>0</v>
      </c>
      <c r="BC269" s="294">
        <f t="shared" si="136"/>
        <v>0</v>
      </c>
      <c r="BD269" s="287" t="s">
        <v>764</v>
      </c>
      <c r="BE269" s="295" t="str">
        <f t="shared" si="137"/>
        <v>Exhibit 1.5B_R Peoples Gas EEPS_Adjustable_Savings_Goal_Template.xlsx, Unit Savings Calculations Tab</v>
      </c>
      <c r="BF269" s="297"/>
    </row>
    <row r="270" spans="1:58" ht="13.5" customHeight="1">
      <c r="A270" s="287" t="str">
        <f>'Unit Savings Calculations'!C266</f>
        <v>Bus - CI Rebates</v>
      </c>
      <c r="B270" s="287" t="str">
        <f>'Unit Savings Calculations'!D266</f>
        <v>Pipe Insulation - Steam Large Fitting</v>
      </c>
      <c r="C270" s="288">
        <f t="shared" si="125"/>
        <v>1</v>
      </c>
      <c r="D270" s="287" t="str">
        <f>'Unit Savings Calculations'!T266</f>
        <v>4.4.14</v>
      </c>
      <c r="E270" s="287">
        <f>INDEX('Unit Savings Calculations'!$H$4:$H$421,MATCH('Measure-Level Adjustments Tab'!$A270&amp;"_"&amp;'Measure-Level Adjustments Tab'!$B270,'Unit Savings Calculations'!$A$4:$A$421,0))</f>
        <v>15</v>
      </c>
      <c r="F270" s="287">
        <f>INDEX('Unit Savings Calculations'!$I$4:$I$421,MATCH('Measure-Level Adjustments Tab'!A270&amp;"_"&amp;'Measure-Level Adjustments Tab'!B270,'Unit Savings Calculations'!$A$4:$A$421,0))</f>
        <v>15</v>
      </c>
      <c r="G270" s="287" t="str">
        <f>'Unit Savings Calculations'!E266</f>
        <v>each</v>
      </c>
      <c r="H270" s="289">
        <f>'Unit Savings Calculations'!$F266*'Unit Savings Calculations'!J266</f>
        <v>20</v>
      </c>
      <c r="I270" s="289">
        <f>'Unit Savings Calculations'!$F266*'Unit Savings Calculations'!K266</f>
        <v>20</v>
      </c>
      <c r="J270" s="289">
        <f>'Unit Savings Calculations'!$F266*'Unit Savings Calculations'!L266</f>
        <v>20</v>
      </c>
      <c r="K270" s="289">
        <f>'Unit Savings Calculations'!$F266*'Unit Savings Calculations'!M266</f>
        <v>20</v>
      </c>
      <c r="L270" s="287" t="str">
        <f>'Unit Savings Calculations'!U266</f>
        <v>CI-HVC-PINS-V04-160601</v>
      </c>
      <c r="M270" s="363" t="s">
        <v>830</v>
      </c>
      <c r="N270" s="290">
        <v>51.249515380658096</v>
      </c>
      <c r="O270" s="290">
        <v>51.249515380658096</v>
      </c>
      <c r="P270" s="290">
        <v>51.249515380658096</v>
      </c>
      <c r="Q270" s="290">
        <v>51.249515380658096</v>
      </c>
      <c r="R270" s="291">
        <f>'Unit Savings Calculations'!$G266</f>
        <v>0.79</v>
      </c>
      <c r="S270" s="291">
        <f>'Unit Savings Calculations'!$G266</f>
        <v>0.79</v>
      </c>
      <c r="T270" s="291">
        <f>'Unit Savings Calculations'!$G266</f>
        <v>0.79</v>
      </c>
      <c r="U270" s="291">
        <f>'Unit Savings Calculations'!$G266</f>
        <v>0.79</v>
      </c>
      <c r="V270" s="292">
        <f t="shared" si="126"/>
        <v>809.74234301439787</v>
      </c>
      <c r="W270" s="292">
        <f t="shared" si="127"/>
        <v>809.74234301439787</v>
      </c>
      <c r="X270" s="292">
        <f t="shared" si="128"/>
        <v>809.74234301439787</v>
      </c>
      <c r="Y270" s="292">
        <f t="shared" si="129"/>
        <v>809.74234301439787</v>
      </c>
      <c r="Z270" s="292">
        <f t="shared" si="130"/>
        <v>3238.9693720575915</v>
      </c>
      <c r="AA270" s="287"/>
      <c r="AB270" s="287"/>
      <c r="AC270" s="293">
        <f>'Unit Savings Calculations'!N266</f>
        <v>51.249515380658096</v>
      </c>
      <c r="AD270" s="287"/>
      <c r="AE270" s="292">
        <f t="shared" si="138"/>
        <v>809.74234301439787</v>
      </c>
      <c r="AF270" s="289">
        <f t="shared" si="139"/>
        <v>0</v>
      </c>
      <c r="AG270" s="287"/>
      <c r="AH270" s="287">
        <f t="shared" si="140"/>
        <v>0</v>
      </c>
      <c r="AI270" s="290">
        <f>'Unit Savings Calculations'!O266</f>
        <v>51.249515380658096</v>
      </c>
      <c r="AJ270" s="287" t="s">
        <v>872</v>
      </c>
      <c r="AK270" s="292">
        <f t="shared" si="141"/>
        <v>809.74234301439787</v>
      </c>
      <c r="AL270" s="289">
        <f t="shared" si="142"/>
        <v>0</v>
      </c>
      <c r="AM270" s="287"/>
      <c r="AN270" s="287"/>
      <c r="AO270" s="290">
        <f>'Unit Savings Calculations'!P266</f>
        <v>51.249515380658096</v>
      </c>
      <c r="AP270" s="287" t="s">
        <v>764</v>
      </c>
      <c r="AQ270" s="292">
        <f t="shared" si="143"/>
        <v>809.74234301439787</v>
      </c>
      <c r="AR270" s="289">
        <f t="shared" si="144"/>
        <v>0</v>
      </c>
      <c r="AS270" s="287"/>
      <c r="AT270" s="287"/>
      <c r="AU270" s="290">
        <f>'Unit Savings Calculations'!Q266</f>
        <v>51.249515380658096</v>
      </c>
      <c r="AV270" s="287" t="str">
        <f t="shared" si="131"/>
        <v>n/a</v>
      </c>
      <c r="AW270" s="292">
        <f t="shared" si="145"/>
        <v>809.74234301439787</v>
      </c>
      <c r="AX270" s="289">
        <f t="shared" si="146"/>
        <v>0</v>
      </c>
      <c r="AY270" s="292">
        <f t="shared" si="132"/>
        <v>809.74234301439787</v>
      </c>
      <c r="AZ270" s="292">
        <f t="shared" si="133"/>
        <v>809.74234301439787</v>
      </c>
      <c r="BA270" s="292">
        <f t="shared" si="134"/>
        <v>809.74234301439787</v>
      </c>
      <c r="BB270" s="292">
        <f t="shared" si="135"/>
        <v>809.74234301439787</v>
      </c>
      <c r="BC270" s="294">
        <f t="shared" si="136"/>
        <v>3238.9693720575915</v>
      </c>
      <c r="BD270" s="287" t="s">
        <v>764</v>
      </c>
      <c r="BE270" s="295" t="str">
        <f t="shared" si="137"/>
        <v>Exhibit 1.5B_R Peoples Gas EEPS_Adjustable_Savings_Goal_Template.xlsx, Unit Savings Calculations Tab</v>
      </c>
      <c r="BF270" s="297"/>
    </row>
    <row r="271" spans="1:58" ht="13.5" customHeight="1">
      <c r="A271" s="287" t="str">
        <f>'Unit Savings Calculations'!C267</f>
        <v>Bus - CI Rebates</v>
      </c>
      <c r="B271" s="287" t="str">
        <f>'Unit Savings Calculations'!D267</f>
        <v>Pipe Insulation - Steam X-Large Fitting</v>
      </c>
      <c r="C271" s="288">
        <f t="shared" si="125"/>
        <v>1</v>
      </c>
      <c r="D271" s="287" t="str">
        <f>'Unit Savings Calculations'!T267</f>
        <v>4.4.14</v>
      </c>
      <c r="E271" s="287">
        <f>INDEX('Unit Savings Calculations'!$H$4:$H$421,MATCH('Measure-Level Adjustments Tab'!$A271&amp;"_"&amp;'Measure-Level Adjustments Tab'!$B271,'Unit Savings Calculations'!$A$4:$A$421,0))</f>
        <v>15</v>
      </c>
      <c r="F271" s="287">
        <f>INDEX('Unit Savings Calculations'!$I$4:$I$421,MATCH('Measure-Level Adjustments Tab'!A271&amp;"_"&amp;'Measure-Level Adjustments Tab'!B271,'Unit Savings Calculations'!$A$4:$A$421,0))</f>
        <v>15</v>
      </c>
      <c r="G271" s="287" t="str">
        <f>'Unit Savings Calculations'!E267</f>
        <v>each</v>
      </c>
      <c r="H271" s="289">
        <f>'Unit Savings Calculations'!$F267*'Unit Savings Calculations'!J267</f>
        <v>0</v>
      </c>
      <c r="I271" s="289">
        <f>'Unit Savings Calculations'!$F267*'Unit Savings Calculations'!K267</f>
        <v>0</v>
      </c>
      <c r="J271" s="289">
        <f>'Unit Savings Calculations'!$F267*'Unit Savings Calculations'!L267</f>
        <v>0</v>
      </c>
      <c r="K271" s="289">
        <f>'Unit Savings Calculations'!$F267*'Unit Savings Calculations'!M267</f>
        <v>0</v>
      </c>
      <c r="L271" s="287" t="str">
        <f>'Unit Savings Calculations'!U267</f>
        <v>CI-HVC-PINS-V04-160601</v>
      </c>
      <c r="M271" s="363" t="s">
        <v>830</v>
      </c>
      <c r="N271" s="290">
        <v>99.138118398437726</v>
      </c>
      <c r="O271" s="290">
        <v>99.138118398437726</v>
      </c>
      <c r="P271" s="290">
        <v>99.138118398437726</v>
      </c>
      <c r="Q271" s="290">
        <v>99.138118398437726</v>
      </c>
      <c r="R271" s="291">
        <f>'Unit Savings Calculations'!$G267</f>
        <v>0.79</v>
      </c>
      <c r="S271" s="291">
        <f>'Unit Savings Calculations'!$G267</f>
        <v>0.79</v>
      </c>
      <c r="T271" s="291">
        <f>'Unit Savings Calculations'!$G267</f>
        <v>0.79</v>
      </c>
      <c r="U271" s="291">
        <f>'Unit Savings Calculations'!$G267</f>
        <v>0.79</v>
      </c>
      <c r="V271" s="292">
        <f t="shared" si="126"/>
        <v>0</v>
      </c>
      <c r="W271" s="292">
        <f t="shared" si="127"/>
        <v>0</v>
      </c>
      <c r="X271" s="292">
        <f t="shared" si="128"/>
        <v>0</v>
      </c>
      <c r="Y271" s="292">
        <f t="shared" si="129"/>
        <v>0</v>
      </c>
      <c r="Z271" s="292">
        <f t="shared" si="130"/>
        <v>0</v>
      </c>
      <c r="AA271" s="287"/>
      <c r="AB271" s="287"/>
      <c r="AC271" s="293">
        <f>'Unit Savings Calculations'!N267</f>
        <v>99.138118398437726</v>
      </c>
      <c r="AD271" s="287"/>
      <c r="AE271" s="292">
        <f t="shared" si="138"/>
        <v>0</v>
      </c>
      <c r="AF271" s="289">
        <f t="shared" si="139"/>
        <v>0</v>
      </c>
      <c r="AG271" s="287"/>
      <c r="AH271" s="287">
        <f t="shared" si="140"/>
        <v>0</v>
      </c>
      <c r="AI271" s="290">
        <f>'Unit Savings Calculations'!O267</f>
        <v>99.138118398437726</v>
      </c>
      <c r="AJ271" s="287" t="s">
        <v>872</v>
      </c>
      <c r="AK271" s="292">
        <f t="shared" si="141"/>
        <v>0</v>
      </c>
      <c r="AL271" s="289">
        <f t="shared" si="142"/>
        <v>0</v>
      </c>
      <c r="AM271" s="287"/>
      <c r="AN271" s="287"/>
      <c r="AO271" s="290">
        <f>'Unit Savings Calculations'!P267</f>
        <v>99.138118398437726</v>
      </c>
      <c r="AP271" s="287" t="s">
        <v>764</v>
      </c>
      <c r="AQ271" s="292">
        <f t="shared" si="143"/>
        <v>0</v>
      </c>
      <c r="AR271" s="289">
        <f t="shared" si="144"/>
        <v>0</v>
      </c>
      <c r="AS271" s="287"/>
      <c r="AT271" s="287"/>
      <c r="AU271" s="290">
        <f>'Unit Savings Calculations'!Q267</f>
        <v>99.138118398437726</v>
      </c>
      <c r="AV271" s="287" t="str">
        <f t="shared" si="131"/>
        <v>n/a</v>
      </c>
      <c r="AW271" s="292">
        <f t="shared" si="145"/>
        <v>0</v>
      </c>
      <c r="AX271" s="289">
        <f t="shared" si="146"/>
        <v>0</v>
      </c>
      <c r="AY271" s="292">
        <f t="shared" si="132"/>
        <v>0</v>
      </c>
      <c r="AZ271" s="292">
        <f t="shared" si="133"/>
        <v>0</v>
      </c>
      <c r="BA271" s="292">
        <f t="shared" si="134"/>
        <v>0</v>
      </c>
      <c r="BB271" s="292">
        <f t="shared" si="135"/>
        <v>0</v>
      </c>
      <c r="BC271" s="294">
        <f t="shared" si="136"/>
        <v>0</v>
      </c>
      <c r="BD271" s="287" t="s">
        <v>764</v>
      </c>
      <c r="BE271" s="295" t="str">
        <f t="shared" si="137"/>
        <v>Exhibit 1.5B_R Peoples Gas EEPS_Adjustable_Savings_Goal_Template.xlsx, Unit Savings Calculations Tab</v>
      </c>
      <c r="BF271" s="297"/>
    </row>
    <row r="272" spans="1:58" ht="13.5" customHeight="1">
      <c r="A272" s="287" t="str">
        <f>'Unit Savings Calculations'!C268</f>
        <v>Bus - CI Rebates</v>
      </c>
      <c r="B272" s="287" t="str">
        <f>'Unit Savings Calculations'!D268</f>
        <v>Pipe Insulation - Steam Med Valve</v>
      </c>
      <c r="C272" s="288">
        <f t="shared" si="125"/>
        <v>1</v>
      </c>
      <c r="D272" s="287" t="str">
        <f>'Unit Savings Calculations'!T268</f>
        <v>4.4.14</v>
      </c>
      <c r="E272" s="287">
        <f>INDEX('Unit Savings Calculations'!$H$4:$H$421,MATCH('Measure-Level Adjustments Tab'!$A272&amp;"_"&amp;'Measure-Level Adjustments Tab'!$B272,'Unit Savings Calculations'!$A$4:$A$421,0))</f>
        <v>15</v>
      </c>
      <c r="F272" s="287">
        <f>INDEX('Unit Savings Calculations'!$I$4:$I$421,MATCH('Measure-Level Adjustments Tab'!A272&amp;"_"&amp;'Measure-Level Adjustments Tab'!B272,'Unit Savings Calculations'!$A$4:$A$421,0))</f>
        <v>15</v>
      </c>
      <c r="G272" s="287" t="str">
        <f>'Unit Savings Calculations'!E268</f>
        <v>each</v>
      </c>
      <c r="H272" s="289">
        <f>'Unit Savings Calculations'!$F268*'Unit Savings Calculations'!J268</f>
        <v>0</v>
      </c>
      <c r="I272" s="289">
        <f>'Unit Savings Calculations'!$F268*'Unit Savings Calculations'!K268</f>
        <v>0</v>
      </c>
      <c r="J272" s="289">
        <f>'Unit Savings Calculations'!$F268*'Unit Savings Calculations'!L268</f>
        <v>0</v>
      </c>
      <c r="K272" s="289">
        <f>'Unit Savings Calculations'!$F268*'Unit Savings Calculations'!M268</f>
        <v>0</v>
      </c>
      <c r="L272" s="287" t="str">
        <f>'Unit Savings Calculations'!U268</f>
        <v>CI-HVC-PINS-V04-160601</v>
      </c>
      <c r="M272" s="363" t="s">
        <v>830</v>
      </c>
      <c r="N272" s="290">
        <v>37.423389683572815</v>
      </c>
      <c r="O272" s="290">
        <v>37.423389683572815</v>
      </c>
      <c r="P272" s="290">
        <v>37.423389683572815</v>
      </c>
      <c r="Q272" s="290">
        <v>37.423389683572815</v>
      </c>
      <c r="R272" s="291">
        <f>'Unit Savings Calculations'!$G268</f>
        <v>0.79</v>
      </c>
      <c r="S272" s="291">
        <f>'Unit Savings Calculations'!$G268</f>
        <v>0.79</v>
      </c>
      <c r="T272" s="291">
        <f>'Unit Savings Calculations'!$G268</f>
        <v>0.79</v>
      </c>
      <c r="U272" s="291">
        <f>'Unit Savings Calculations'!$G268</f>
        <v>0.79</v>
      </c>
      <c r="V272" s="292">
        <f t="shared" si="126"/>
        <v>0</v>
      </c>
      <c r="W272" s="292">
        <f t="shared" si="127"/>
        <v>0</v>
      </c>
      <c r="X272" s="292">
        <f t="shared" si="128"/>
        <v>0</v>
      </c>
      <c r="Y272" s="292">
        <f t="shared" si="129"/>
        <v>0</v>
      </c>
      <c r="Z272" s="292">
        <f t="shared" si="130"/>
        <v>0</v>
      </c>
      <c r="AA272" s="287"/>
      <c r="AB272" s="287"/>
      <c r="AC272" s="293">
        <f>'Unit Savings Calculations'!N268</f>
        <v>37.423389683572815</v>
      </c>
      <c r="AD272" s="287"/>
      <c r="AE272" s="292">
        <f t="shared" si="138"/>
        <v>0</v>
      </c>
      <c r="AF272" s="289">
        <f t="shared" si="139"/>
        <v>0</v>
      </c>
      <c r="AG272" s="287"/>
      <c r="AH272" s="287">
        <f t="shared" si="140"/>
        <v>0</v>
      </c>
      <c r="AI272" s="290">
        <f>'Unit Savings Calculations'!O268</f>
        <v>37.423389683572815</v>
      </c>
      <c r="AJ272" s="287" t="s">
        <v>872</v>
      </c>
      <c r="AK272" s="292">
        <f t="shared" si="141"/>
        <v>0</v>
      </c>
      <c r="AL272" s="289">
        <f t="shared" si="142"/>
        <v>0</v>
      </c>
      <c r="AM272" s="287"/>
      <c r="AN272" s="287"/>
      <c r="AO272" s="290">
        <f>'Unit Savings Calculations'!P268</f>
        <v>37.423389683572815</v>
      </c>
      <c r="AP272" s="287" t="s">
        <v>764</v>
      </c>
      <c r="AQ272" s="292">
        <f t="shared" si="143"/>
        <v>0</v>
      </c>
      <c r="AR272" s="289">
        <f t="shared" si="144"/>
        <v>0</v>
      </c>
      <c r="AS272" s="287"/>
      <c r="AT272" s="287"/>
      <c r="AU272" s="290">
        <f>'Unit Savings Calculations'!Q268</f>
        <v>37.423389683572815</v>
      </c>
      <c r="AV272" s="287" t="str">
        <f t="shared" si="131"/>
        <v>n/a</v>
      </c>
      <c r="AW272" s="292">
        <f t="shared" si="145"/>
        <v>0</v>
      </c>
      <c r="AX272" s="289">
        <f t="shared" si="146"/>
        <v>0</v>
      </c>
      <c r="AY272" s="292">
        <f t="shared" si="132"/>
        <v>0</v>
      </c>
      <c r="AZ272" s="292">
        <f t="shared" si="133"/>
        <v>0</v>
      </c>
      <c r="BA272" s="292">
        <f t="shared" si="134"/>
        <v>0</v>
      </c>
      <c r="BB272" s="292">
        <f t="shared" si="135"/>
        <v>0</v>
      </c>
      <c r="BC272" s="294">
        <f t="shared" si="136"/>
        <v>0</v>
      </c>
      <c r="BD272" s="287" t="s">
        <v>764</v>
      </c>
      <c r="BE272" s="295" t="str">
        <f t="shared" si="137"/>
        <v>Exhibit 1.5B_R Peoples Gas EEPS_Adjustable_Savings_Goal_Template.xlsx, Unit Savings Calculations Tab</v>
      </c>
      <c r="BF272" s="297"/>
    </row>
    <row r="273" spans="1:58" ht="13.5" customHeight="1">
      <c r="A273" s="287" t="str">
        <f>'Unit Savings Calculations'!C269</f>
        <v>Bus - CI Rebates</v>
      </c>
      <c r="B273" s="287" t="str">
        <f>'Unit Savings Calculations'!D269</f>
        <v>Pipe Insulation - Steam Large Valve</v>
      </c>
      <c r="C273" s="288">
        <f t="shared" si="125"/>
        <v>1</v>
      </c>
      <c r="D273" s="287" t="str">
        <f>'Unit Savings Calculations'!T269</f>
        <v>4.4.14</v>
      </c>
      <c r="E273" s="287">
        <f>INDEX('Unit Savings Calculations'!$H$4:$H$421,MATCH('Measure-Level Adjustments Tab'!$A273&amp;"_"&amp;'Measure-Level Adjustments Tab'!$B273,'Unit Savings Calculations'!$A$4:$A$421,0))</f>
        <v>15</v>
      </c>
      <c r="F273" s="287">
        <f>INDEX('Unit Savings Calculations'!$I$4:$I$421,MATCH('Measure-Level Adjustments Tab'!A273&amp;"_"&amp;'Measure-Level Adjustments Tab'!B273,'Unit Savings Calculations'!$A$4:$A$421,0))</f>
        <v>15</v>
      </c>
      <c r="G273" s="287" t="str">
        <f>'Unit Savings Calculations'!E269</f>
        <v>each</v>
      </c>
      <c r="H273" s="289">
        <f>'Unit Savings Calculations'!$F269*'Unit Savings Calculations'!J269</f>
        <v>20</v>
      </c>
      <c r="I273" s="289">
        <f>'Unit Savings Calculations'!$F269*'Unit Savings Calculations'!K269</f>
        <v>20</v>
      </c>
      <c r="J273" s="289">
        <f>'Unit Savings Calculations'!$F269*'Unit Savings Calculations'!L269</f>
        <v>20</v>
      </c>
      <c r="K273" s="289">
        <f>'Unit Savings Calculations'!$F269*'Unit Savings Calculations'!M269</f>
        <v>20</v>
      </c>
      <c r="L273" s="287" t="str">
        <f>'Unit Savings Calculations'!U269</f>
        <v>CI-HVC-PINS-V04-160601</v>
      </c>
      <c r="M273" s="363" t="s">
        <v>830</v>
      </c>
      <c r="N273" s="290">
        <v>107.52607289087437</v>
      </c>
      <c r="O273" s="290">
        <v>107.52607289087437</v>
      </c>
      <c r="P273" s="290">
        <v>107.52607289087437</v>
      </c>
      <c r="Q273" s="290">
        <v>107.52607289087437</v>
      </c>
      <c r="R273" s="291">
        <f>'Unit Savings Calculations'!$G269</f>
        <v>0.79</v>
      </c>
      <c r="S273" s="291">
        <f>'Unit Savings Calculations'!$G269</f>
        <v>0.79</v>
      </c>
      <c r="T273" s="291">
        <f>'Unit Savings Calculations'!$G269</f>
        <v>0.79</v>
      </c>
      <c r="U273" s="291">
        <f>'Unit Savings Calculations'!$G269</f>
        <v>0.79</v>
      </c>
      <c r="V273" s="292">
        <f t="shared" si="126"/>
        <v>1698.9119516758151</v>
      </c>
      <c r="W273" s="292">
        <f t="shared" si="127"/>
        <v>1698.9119516758151</v>
      </c>
      <c r="X273" s="292">
        <f t="shared" si="128"/>
        <v>1698.9119516758151</v>
      </c>
      <c r="Y273" s="292">
        <f t="shared" si="129"/>
        <v>1698.9119516758151</v>
      </c>
      <c r="Z273" s="292">
        <f t="shared" si="130"/>
        <v>6795.6478067032604</v>
      </c>
      <c r="AA273" s="287"/>
      <c r="AB273" s="287"/>
      <c r="AC273" s="293">
        <f>'Unit Savings Calculations'!N269</f>
        <v>107.52607289087437</v>
      </c>
      <c r="AD273" s="287"/>
      <c r="AE273" s="292">
        <f t="shared" si="138"/>
        <v>1698.9119516758151</v>
      </c>
      <c r="AF273" s="289">
        <f t="shared" si="139"/>
        <v>0</v>
      </c>
      <c r="AG273" s="287"/>
      <c r="AH273" s="287">
        <f t="shared" si="140"/>
        <v>0</v>
      </c>
      <c r="AI273" s="290">
        <f>'Unit Savings Calculations'!O269</f>
        <v>107.52607289087437</v>
      </c>
      <c r="AJ273" s="287" t="s">
        <v>872</v>
      </c>
      <c r="AK273" s="292">
        <f t="shared" si="141"/>
        <v>1698.9119516758151</v>
      </c>
      <c r="AL273" s="289">
        <f t="shared" si="142"/>
        <v>0</v>
      </c>
      <c r="AM273" s="287"/>
      <c r="AN273" s="287"/>
      <c r="AO273" s="290">
        <f>'Unit Savings Calculations'!P269</f>
        <v>107.52607289087437</v>
      </c>
      <c r="AP273" s="287" t="s">
        <v>764</v>
      </c>
      <c r="AQ273" s="292">
        <f t="shared" si="143"/>
        <v>1698.9119516758151</v>
      </c>
      <c r="AR273" s="289">
        <f t="shared" si="144"/>
        <v>0</v>
      </c>
      <c r="AS273" s="287"/>
      <c r="AT273" s="287"/>
      <c r="AU273" s="290">
        <f>'Unit Savings Calculations'!Q269</f>
        <v>107.52607289087437</v>
      </c>
      <c r="AV273" s="287" t="str">
        <f t="shared" si="131"/>
        <v>n/a</v>
      </c>
      <c r="AW273" s="292">
        <f t="shared" si="145"/>
        <v>1698.9119516758151</v>
      </c>
      <c r="AX273" s="289">
        <f t="shared" si="146"/>
        <v>0</v>
      </c>
      <c r="AY273" s="292">
        <f t="shared" si="132"/>
        <v>1698.9119516758151</v>
      </c>
      <c r="AZ273" s="292">
        <f t="shared" si="133"/>
        <v>1698.9119516758151</v>
      </c>
      <c r="BA273" s="292">
        <f t="shared" si="134"/>
        <v>1698.9119516758151</v>
      </c>
      <c r="BB273" s="292">
        <f t="shared" si="135"/>
        <v>1698.9119516758151</v>
      </c>
      <c r="BC273" s="294">
        <f t="shared" si="136"/>
        <v>6795.6478067032604</v>
      </c>
      <c r="BD273" s="287" t="s">
        <v>764</v>
      </c>
      <c r="BE273" s="295" t="str">
        <f t="shared" si="137"/>
        <v>Exhibit 1.5B_R Peoples Gas EEPS_Adjustable_Savings_Goal_Template.xlsx, Unit Savings Calculations Tab</v>
      </c>
      <c r="BF273" s="297"/>
    </row>
    <row r="274" spans="1:58" ht="13.5" customHeight="1">
      <c r="A274" s="287" t="str">
        <f>'Unit Savings Calculations'!C270</f>
        <v>Bus - CI Rebates</v>
      </c>
      <c r="B274" s="287" t="str">
        <f>'Unit Savings Calculations'!D270</f>
        <v>Pipe Insulation - Steam X-Large Valve</v>
      </c>
      <c r="C274" s="288">
        <f t="shared" si="125"/>
        <v>1</v>
      </c>
      <c r="D274" s="287" t="str">
        <f>'Unit Savings Calculations'!T270</f>
        <v>4.4.14</v>
      </c>
      <c r="E274" s="287">
        <f>INDEX('Unit Savings Calculations'!$H$4:$H$421,MATCH('Measure-Level Adjustments Tab'!$A274&amp;"_"&amp;'Measure-Level Adjustments Tab'!$B274,'Unit Savings Calculations'!$A$4:$A$421,0))</f>
        <v>15</v>
      </c>
      <c r="F274" s="287">
        <f>INDEX('Unit Savings Calculations'!$I$4:$I$421,MATCH('Measure-Level Adjustments Tab'!A274&amp;"_"&amp;'Measure-Level Adjustments Tab'!B274,'Unit Savings Calculations'!$A$4:$A$421,0))</f>
        <v>15</v>
      </c>
      <c r="G274" s="287" t="str">
        <f>'Unit Savings Calculations'!E270</f>
        <v>each</v>
      </c>
      <c r="H274" s="289">
        <f>'Unit Savings Calculations'!$F270*'Unit Savings Calculations'!J270</f>
        <v>0</v>
      </c>
      <c r="I274" s="289">
        <f>'Unit Savings Calculations'!$F270*'Unit Savings Calculations'!K270</f>
        <v>0</v>
      </c>
      <c r="J274" s="289">
        <f>'Unit Savings Calculations'!$F270*'Unit Savings Calculations'!L270</f>
        <v>0</v>
      </c>
      <c r="K274" s="289">
        <f>'Unit Savings Calculations'!$F270*'Unit Savings Calculations'!M270</f>
        <v>0</v>
      </c>
      <c r="L274" s="287" t="str">
        <f>'Unit Savings Calculations'!U270</f>
        <v>CI-HVC-PINS-V04-160601</v>
      </c>
      <c r="M274" s="363" t="s">
        <v>830</v>
      </c>
      <c r="N274" s="290">
        <v>175.06254164158375</v>
      </c>
      <c r="O274" s="290">
        <v>175.06254164158375</v>
      </c>
      <c r="P274" s="290">
        <v>175.06254164158375</v>
      </c>
      <c r="Q274" s="290">
        <v>175.06254164158375</v>
      </c>
      <c r="R274" s="291">
        <f>'Unit Savings Calculations'!$G270</f>
        <v>0.79</v>
      </c>
      <c r="S274" s="291">
        <f>'Unit Savings Calculations'!$G270</f>
        <v>0.79</v>
      </c>
      <c r="T274" s="291">
        <f>'Unit Savings Calculations'!$G270</f>
        <v>0.79</v>
      </c>
      <c r="U274" s="291">
        <f>'Unit Savings Calculations'!$G270</f>
        <v>0.79</v>
      </c>
      <c r="V274" s="292">
        <f t="shared" si="126"/>
        <v>0</v>
      </c>
      <c r="W274" s="292">
        <f t="shared" si="127"/>
        <v>0</v>
      </c>
      <c r="X274" s="292">
        <f t="shared" si="128"/>
        <v>0</v>
      </c>
      <c r="Y274" s="292">
        <f t="shared" si="129"/>
        <v>0</v>
      </c>
      <c r="Z274" s="292">
        <f t="shared" si="130"/>
        <v>0</v>
      </c>
      <c r="AA274" s="287"/>
      <c r="AB274" s="287"/>
      <c r="AC274" s="293">
        <f>'Unit Savings Calculations'!N270</f>
        <v>175.06254164158375</v>
      </c>
      <c r="AD274" s="287"/>
      <c r="AE274" s="292">
        <f t="shared" si="138"/>
        <v>0</v>
      </c>
      <c r="AF274" s="289">
        <f t="shared" si="139"/>
        <v>0</v>
      </c>
      <c r="AG274" s="287"/>
      <c r="AH274" s="287">
        <f t="shared" si="140"/>
        <v>0</v>
      </c>
      <c r="AI274" s="290">
        <f>'Unit Savings Calculations'!O270</f>
        <v>175.06254164158375</v>
      </c>
      <c r="AJ274" s="287" t="s">
        <v>872</v>
      </c>
      <c r="AK274" s="292">
        <f t="shared" si="141"/>
        <v>0</v>
      </c>
      <c r="AL274" s="289">
        <f t="shared" si="142"/>
        <v>0</v>
      </c>
      <c r="AM274" s="287"/>
      <c r="AN274" s="287"/>
      <c r="AO274" s="290">
        <f>'Unit Savings Calculations'!P270</f>
        <v>175.06254164158375</v>
      </c>
      <c r="AP274" s="287" t="s">
        <v>764</v>
      </c>
      <c r="AQ274" s="292">
        <f t="shared" si="143"/>
        <v>0</v>
      </c>
      <c r="AR274" s="289">
        <f t="shared" si="144"/>
        <v>0</v>
      </c>
      <c r="AS274" s="287"/>
      <c r="AT274" s="287"/>
      <c r="AU274" s="290">
        <f>'Unit Savings Calculations'!Q270</f>
        <v>175.06254164158375</v>
      </c>
      <c r="AV274" s="287" t="str">
        <f t="shared" si="131"/>
        <v>n/a</v>
      </c>
      <c r="AW274" s="292">
        <f t="shared" si="145"/>
        <v>0</v>
      </c>
      <c r="AX274" s="289">
        <f t="shared" si="146"/>
        <v>0</v>
      </c>
      <c r="AY274" s="292">
        <f t="shared" si="132"/>
        <v>0</v>
      </c>
      <c r="AZ274" s="292">
        <f t="shared" si="133"/>
        <v>0</v>
      </c>
      <c r="BA274" s="292">
        <f t="shared" si="134"/>
        <v>0</v>
      </c>
      <c r="BB274" s="292">
        <f t="shared" si="135"/>
        <v>0</v>
      </c>
      <c r="BC274" s="294">
        <f t="shared" si="136"/>
        <v>0</v>
      </c>
      <c r="BD274" s="287" t="s">
        <v>764</v>
      </c>
      <c r="BE274" s="295" t="str">
        <f t="shared" si="137"/>
        <v>Exhibit 1.5B_R Peoples Gas EEPS_Adjustable_Savings_Goal_Template.xlsx, Unit Savings Calculations Tab</v>
      </c>
      <c r="BF274" s="297"/>
    </row>
    <row r="275" spans="1:58" ht="13.5" customHeight="1">
      <c r="A275" s="287" t="str">
        <f>'Unit Savings Calculations'!C271</f>
        <v>Bus - CI Rebates</v>
      </c>
      <c r="B275" s="287" t="str">
        <f>'Unit Savings Calculations'!D271</f>
        <v>Pre Rinse Sprayer</v>
      </c>
      <c r="C275" s="288">
        <f t="shared" si="125"/>
        <v>1</v>
      </c>
      <c r="D275" s="287" t="str">
        <f>'Unit Savings Calculations'!T271</f>
        <v>4.2.11</v>
      </c>
      <c r="E275" s="287">
        <f>INDEX('Unit Savings Calculations'!$H$4:$H$421,MATCH('Measure-Level Adjustments Tab'!$A275&amp;"_"&amp;'Measure-Level Adjustments Tab'!$B275,'Unit Savings Calculations'!$A$4:$A$421,0))</f>
        <v>5</v>
      </c>
      <c r="F275" s="287">
        <f>INDEX('Unit Savings Calculations'!$I$4:$I$421,MATCH('Measure-Level Adjustments Tab'!A275&amp;"_"&amp;'Measure-Level Adjustments Tab'!B275,'Unit Savings Calculations'!$A$4:$A$421,0))</f>
        <v>5</v>
      </c>
      <c r="G275" s="287" t="str">
        <f>'Unit Savings Calculations'!E271</f>
        <v>each</v>
      </c>
      <c r="H275" s="289">
        <f>'Unit Savings Calculations'!$F271*'Unit Savings Calculations'!J271</f>
        <v>0</v>
      </c>
      <c r="I275" s="289">
        <f>'Unit Savings Calculations'!$F271*'Unit Savings Calculations'!K271</f>
        <v>0</v>
      </c>
      <c r="J275" s="289">
        <f>'Unit Savings Calculations'!$F271*'Unit Savings Calculations'!L271</f>
        <v>0</v>
      </c>
      <c r="K275" s="289">
        <f>'Unit Savings Calculations'!$F271*'Unit Savings Calculations'!M271</f>
        <v>0</v>
      </c>
      <c r="L275" s="287" t="str">
        <f>'Unit Savings Calculations'!U271</f>
        <v>CI-FSE-SPRY-V04-180101</v>
      </c>
      <c r="M275" s="363" t="s">
        <v>830</v>
      </c>
      <c r="N275" s="290">
        <v>221.04154800000003</v>
      </c>
      <c r="O275" s="290">
        <v>221.04154800000003</v>
      </c>
      <c r="P275" s="290">
        <v>221.04154800000003</v>
      </c>
      <c r="Q275" s="290">
        <v>221.04154800000003</v>
      </c>
      <c r="R275" s="291">
        <f>'Unit Savings Calculations'!$G271</f>
        <v>0.79</v>
      </c>
      <c r="S275" s="291">
        <f>'Unit Savings Calculations'!$G271</f>
        <v>0.79</v>
      </c>
      <c r="T275" s="291">
        <f>'Unit Savings Calculations'!$G271</f>
        <v>0.79</v>
      </c>
      <c r="U275" s="291">
        <f>'Unit Savings Calculations'!$G271</f>
        <v>0.79</v>
      </c>
      <c r="V275" s="292">
        <f t="shared" si="126"/>
        <v>0</v>
      </c>
      <c r="W275" s="292">
        <f t="shared" si="127"/>
        <v>0</v>
      </c>
      <c r="X275" s="292">
        <f t="shared" si="128"/>
        <v>0</v>
      </c>
      <c r="Y275" s="292">
        <f t="shared" si="129"/>
        <v>0</v>
      </c>
      <c r="Z275" s="292">
        <f t="shared" si="130"/>
        <v>0</v>
      </c>
      <c r="AA275" s="287"/>
      <c r="AB275" s="287"/>
      <c r="AC275" s="293">
        <f>'Unit Savings Calculations'!N271</f>
        <v>102.33405</v>
      </c>
      <c r="AD275" s="287"/>
      <c r="AE275" s="292">
        <f t="shared" si="138"/>
        <v>0</v>
      </c>
      <c r="AF275" s="289">
        <f t="shared" si="139"/>
        <v>0</v>
      </c>
      <c r="AG275" s="287"/>
      <c r="AH275" s="287">
        <f t="shared" si="140"/>
        <v>0</v>
      </c>
      <c r="AI275" s="290">
        <f>'Unit Savings Calculations'!O271</f>
        <v>102.33405</v>
      </c>
      <c r="AJ275" s="287" t="s">
        <v>872</v>
      </c>
      <c r="AK275" s="292">
        <f t="shared" si="141"/>
        <v>0</v>
      </c>
      <c r="AL275" s="289">
        <f t="shared" si="142"/>
        <v>0</v>
      </c>
      <c r="AM275" s="287"/>
      <c r="AN275" s="287"/>
      <c r="AO275" s="290">
        <f>'Unit Savings Calculations'!P271</f>
        <v>102.33405</v>
      </c>
      <c r="AP275" s="287" t="s">
        <v>1430</v>
      </c>
      <c r="AQ275" s="292">
        <f t="shared" si="143"/>
        <v>0</v>
      </c>
      <c r="AR275" s="289">
        <f t="shared" si="144"/>
        <v>0</v>
      </c>
      <c r="AS275" s="287"/>
      <c r="AT275" s="287"/>
      <c r="AU275" s="290">
        <f>'Unit Savings Calculations'!Q271</f>
        <v>102.33405</v>
      </c>
      <c r="AV275" s="287" t="str">
        <f t="shared" si="131"/>
        <v>Updated base and EE flow rates</v>
      </c>
      <c r="AW275" s="292">
        <f t="shared" si="145"/>
        <v>0</v>
      </c>
      <c r="AX275" s="289">
        <f t="shared" si="146"/>
        <v>0</v>
      </c>
      <c r="AY275" s="292">
        <f t="shared" si="132"/>
        <v>0</v>
      </c>
      <c r="AZ275" s="292">
        <f t="shared" si="133"/>
        <v>0</v>
      </c>
      <c r="BA275" s="292">
        <f t="shared" si="134"/>
        <v>0</v>
      </c>
      <c r="BB275" s="292">
        <f t="shared" si="135"/>
        <v>0</v>
      </c>
      <c r="BC275" s="294">
        <f t="shared" si="136"/>
        <v>0</v>
      </c>
      <c r="BD275" s="287" t="s">
        <v>764</v>
      </c>
      <c r="BE275" s="295" t="str">
        <f t="shared" si="137"/>
        <v>Exhibit 1.5B_R Peoples Gas EEPS_Adjustable_Savings_Goal_Template.xlsx, Unit Savings Calculations Tab</v>
      </c>
      <c r="BF275" s="297"/>
    </row>
    <row r="276" spans="1:58" ht="13.5" customHeight="1">
      <c r="A276" s="287" t="str">
        <f>'Unit Savings Calculations'!C272</f>
        <v>Bus - CI Rebates</v>
      </c>
      <c r="B276" s="287" t="str">
        <f>'Unit Savings Calculations'!D272</f>
        <v>Steam Boiler ≥82% AFUE, &gt;300MBh TE</v>
      </c>
      <c r="C276" s="288">
        <f t="shared" si="125"/>
        <v>1</v>
      </c>
      <c r="D276" s="287" t="str">
        <f>'Unit Savings Calculations'!T272</f>
        <v>4.4.10</v>
      </c>
      <c r="E276" s="287">
        <f>INDEX('Unit Savings Calculations'!$H$4:$H$421,MATCH('Measure-Level Adjustments Tab'!$A276&amp;"_"&amp;'Measure-Level Adjustments Tab'!$B276,'Unit Savings Calculations'!$A$4:$A$421,0))</f>
        <v>20</v>
      </c>
      <c r="F276" s="287">
        <f>INDEX('Unit Savings Calculations'!$I$4:$I$421,MATCH('Measure-Level Adjustments Tab'!A276&amp;"_"&amp;'Measure-Level Adjustments Tab'!B276,'Unit Savings Calculations'!$A$4:$A$421,0))</f>
        <v>20</v>
      </c>
      <c r="G276" s="287" t="str">
        <f>'Unit Savings Calculations'!E272</f>
        <v>MBH</v>
      </c>
      <c r="H276" s="289">
        <f>'Unit Savings Calculations'!$F272*'Unit Savings Calculations'!J272</f>
        <v>2500</v>
      </c>
      <c r="I276" s="289">
        <f>'Unit Savings Calculations'!$F272*'Unit Savings Calculations'!K272</f>
        <v>2500</v>
      </c>
      <c r="J276" s="289">
        <f>'Unit Savings Calculations'!$F272*'Unit Savings Calculations'!L272</f>
        <v>2500</v>
      </c>
      <c r="K276" s="289">
        <f>'Unit Savings Calculations'!$F272*'Unit Savings Calculations'!M272</f>
        <v>2500</v>
      </c>
      <c r="L276" s="287" t="str">
        <f>'Unit Savings Calculations'!U272</f>
        <v>CI-HVC-BOIL-V05-150601</v>
      </c>
      <c r="M276" s="363" t="s">
        <v>830</v>
      </c>
      <c r="N276" s="290">
        <v>0.58443037974683376</v>
      </c>
      <c r="O276" s="290">
        <v>0.58443037974683376</v>
      </c>
      <c r="P276" s="290">
        <v>0.58443037974683376</v>
      </c>
      <c r="Q276" s="290">
        <v>0.58443037974683376</v>
      </c>
      <c r="R276" s="291">
        <f>'Unit Savings Calculations'!$G272</f>
        <v>0.79</v>
      </c>
      <c r="S276" s="291">
        <f>'Unit Savings Calculations'!$G272</f>
        <v>0.79</v>
      </c>
      <c r="T276" s="291">
        <f>'Unit Savings Calculations'!$G272</f>
        <v>0.79</v>
      </c>
      <c r="U276" s="291">
        <f>'Unit Savings Calculations'!$G272</f>
        <v>0.79</v>
      </c>
      <c r="V276" s="292">
        <f t="shared" si="126"/>
        <v>1154.2499999999968</v>
      </c>
      <c r="W276" s="292">
        <f t="shared" si="127"/>
        <v>1154.2499999999968</v>
      </c>
      <c r="X276" s="292">
        <f t="shared" si="128"/>
        <v>1154.2499999999968</v>
      </c>
      <c r="Y276" s="292">
        <f t="shared" si="129"/>
        <v>1154.2499999999968</v>
      </c>
      <c r="Z276" s="292">
        <f t="shared" si="130"/>
        <v>4616.9999999999873</v>
      </c>
      <c r="AA276" s="287"/>
      <c r="AB276" s="287"/>
      <c r="AC276" s="293">
        <f>'Unit Savings Calculations'!N272</f>
        <v>0.63721518987341585</v>
      </c>
      <c r="AD276" s="287"/>
      <c r="AE276" s="292">
        <f t="shared" si="138"/>
        <v>1258.4999999999964</v>
      </c>
      <c r="AF276" s="289">
        <f t="shared" si="139"/>
        <v>104.24999999999955</v>
      </c>
      <c r="AG276" s="287"/>
      <c r="AH276" s="287">
        <f t="shared" si="140"/>
        <v>0</v>
      </c>
      <c r="AI276" s="290">
        <f>'Unit Savings Calculations'!O272</f>
        <v>0.63721518987341585</v>
      </c>
      <c r="AJ276" s="287" t="s">
        <v>872</v>
      </c>
      <c r="AK276" s="292">
        <f t="shared" si="141"/>
        <v>1258.4999999999964</v>
      </c>
      <c r="AL276" s="289">
        <f t="shared" si="142"/>
        <v>104.24999999999955</v>
      </c>
      <c r="AM276" s="287"/>
      <c r="AN276" s="287"/>
      <c r="AO276" s="290">
        <f>'Unit Savings Calculations'!P272</f>
        <v>0.63721518987341585</v>
      </c>
      <c r="AP276" s="287" t="s">
        <v>1450</v>
      </c>
      <c r="AQ276" s="292">
        <f t="shared" si="143"/>
        <v>1258.4999999999964</v>
      </c>
      <c r="AR276" s="289">
        <f t="shared" si="144"/>
        <v>104.24999999999955</v>
      </c>
      <c r="AS276" s="287"/>
      <c r="AT276" s="287"/>
      <c r="AU276" s="290">
        <f>'Unit Savings Calculations'!Q272</f>
        <v>0.63721518987341585</v>
      </c>
      <c r="AV276" s="287" t="str">
        <f t="shared" si="131"/>
        <v>Updated heating EFLH</v>
      </c>
      <c r="AW276" s="292">
        <f t="shared" si="145"/>
        <v>1258.4999999999964</v>
      </c>
      <c r="AX276" s="289">
        <f t="shared" si="146"/>
        <v>104.24999999999955</v>
      </c>
      <c r="AY276" s="292">
        <f t="shared" si="132"/>
        <v>1258.4999999999964</v>
      </c>
      <c r="AZ276" s="292">
        <f t="shared" si="133"/>
        <v>1258.4999999999964</v>
      </c>
      <c r="BA276" s="292">
        <f t="shared" si="134"/>
        <v>1258.4999999999964</v>
      </c>
      <c r="BB276" s="292">
        <f t="shared" si="135"/>
        <v>1258.4999999999964</v>
      </c>
      <c r="BC276" s="294">
        <f t="shared" si="136"/>
        <v>5033.9999999999854</v>
      </c>
      <c r="BD276" s="287" t="s">
        <v>764</v>
      </c>
      <c r="BE276" s="295" t="str">
        <f t="shared" si="137"/>
        <v>Exhibit 1.5B_R Peoples Gas EEPS_Adjustable_Savings_Goal_Template.xlsx, Unit Savings Calculations Tab</v>
      </c>
      <c r="BF276" s="297"/>
    </row>
    <row r="277" spans="1:58" ht="13.5" customHeight="1">
      <c r="A277" s="287" t="str">
        <f>'Unit Savings Calculations'!C273</f>
        <v>Bus - CI Rebates</v>
      </c>
      <c r="B277" s="287" t="str">
        <f>'Unit Savings Calculations'!D273</f>
        <v>Steam Traps - Dry Cleaner/Industrial</v>
      </c>
      <c r="C277" s="288">
        <f t="shared" si="125"/>
        <v>1</v>
      </c>
      <c r="D277" s="287" t="str">
        <f>'Unit Savings Calculations'!T273</f>
        <v>4.4.16</v>
      </c>
      <c r="E277" s="287">
        <f>INDEX('Unit Savings Calculations'!$H$4:$H$421,MATCH('Measure-Level Adjustments Tab'!$A277&amp;"_"&amp;'Measure-Level Adjustments Tab'!$B277,'Unit Savings Calculations'!$A$4:$A$421,0))</f>
        <v>6</v>
      </c>
      <c r="F277" s="287">
        <f>INDEX('Unit Savings Calculations'!$I$4:$I$421,MATCH('Measure-Level Adjustments Tab'!A277&amp;"_"&amp;'Measure-Level Adjustments Tab'!B277,'Unit Savings Calculations'!$A$4:$A$421,0))</f>
        <v>6</v>
      </c>
      <c r="G277" s="287" t="str">
        <f>'Unit Savings Calculations'!E273</f>
        <v>each</v>
      </c>
      <c r="H277" s="289">
        <f>'Unit Savings Calculations'!$F273*'Unit Savings Calculations'!J273</f>
        <v>175</v>
      </c>
      <c r="I277" s="289">
        <f>'Unit Savings Calculations'!$F273*'Unit Savings Calculations'!K273</f>
        <v>175</v>
      </c>
      <c r="J277" s="289">
        <f>'Unit Savings Calculations'!$F273*'Unit Savings Calculations'!L273</f>
        <v>175</v>
      </c>
      <c r="K277" s="289">
        <f>'Unit Savings Calculations'!$F273*'Unit Savings Calculations'!M273</f>
        <v>175</v>
      </c>
      <c r="L277" s="287" t="str">
        <f>'Unit Savings Calculations'!U273</f>
        <v>CI-HVC-STRE-V05-180101</v>
      </c>
      <c r="M277" s="363" t="s">
        <v>830</v>
      </c>
      <c r="N277" s="290">
        <v>137.91939591078068</v>
      </c>
      <c r="O277" s="290">
        <v>137.91939591078068</v>
      </c>
      <c r="P277" s="290">
        <v>137.91939591078068</v>
      </c>
      <c r="Q277" s="290">
        <v>137.91939591078068</v>
      </c>
      <c r="R277" s="291">
        <f>'Unit Savings Calculations'!$G273</f>
        <v>0.79</v>
      </c>
      <c r="S277" s="291">
        <f>'Unit Savings Calculations'!$G273</f>
        <v>0.79</v>
      </c>
      <c r="T277" s="291">
        <f>'Unit Savings Calculations'!$G273</f>
        <v>0.79</v>
      </c>
      <c r="U277" s="291">
        <f>'Unit Savings Calculations'!$G273</f>
        <v>0.79</v>
      </c>
      <c r="V277" s="292">
        <f t="shared" si="126"/>
        <v>19067.35648466543</v>
      </c>
      <c r="W277" s="292">
        <f t="shared" si="127"/>
        <v>19067.35648466543</v>
      </c>
      <c r="X277" s="292">
        <f t="shared" si="128"/>
        <v>19067.35648466543</v>
      </c>
      <c r="Y277" s="292">
        <f t="shared" si="129"/>
        <v>19067.35648466543</v>
      </c>
      <c r="Z277" s="292">
        <f t="shared" si="130"/>
        <v>76269.42593866172</v>
      </c>
      <c r="AA277" s="287"/>
      <c r="AB277" s="287"/>
      <c r="AC277" s="293">
        <f>'Unit Savings Calculations'!N273</f>
        <v>137.91939591078068</v>
      </c>
      <c r="AD277" s="287"/>
      <c r="AE277" s="292">
        <f t="shared" si="138"/>
        <v>19067.35648466543</v>
      </c>
      <c r="AF277" s="289">
        <f t="shared" si="139"/>
        <v>0</v>
      </c>
      <c r="AG277" s="287"/>
      <c r="AH277" s="287">
        <f t="shared" si="140"/>
        <v>0</v>
      </c>
      <c r="AI277" s="290">
        <f>'Unit Savings Calculations'!O273</f>
        <v>137.91939591078068</v>
      </c>
      <c r="AJ277" s="287" t="s">
        <v>872</v>
      </c>
      <c r="AK277" s="292">
        <f t="shared" si="141"/>
        <v>19067.35648466543</v>
      </c>
      <c r="AL277" s="289">
        <f t="shared" si="142"/>
        <v>0</v>
      </c>
      <c r="AM277" s="287"/>
      <c r="AN277" s="287"/>
      <c r="AO277" s="290">
        <f>'Unit Savings Calculations'!P273</f>
        <v>137.91939591078068</v>
      </c>
      <c r="AP277" s="287" t="s">
        <v>764</v>
      </c>
      <c r="AQ277" s="292">
        <f t="shared" si="143"/>
        <v>19067.35648466543</v>
      </c>
      <c r="AR277" s="289">
        <f t="shared" si="144"/>
        <v>0</v>
      </c>
      <c r="AS277" s="287"/>
      <c r="AT277" s="287"/>
      <c r="AU277" s="290">
        <f>'Unit Savings Calculations'!Q273</f>
        <v>137.91939591078068</v>
      </c>
      <c r="AV277" s="287" t="str">
        <f t="shared" si="131"/>
        <v>n/a</v>
      </c>
      <c r="AW277" s="292">
        <f t="shared" si="145"/>
        <v>19067.35648466543</v>
      </c>
      <c r="AX277" s="289">
        <f t="shared" si="146"/>
        <v>0</v>
      </c>
      <c r="AY277" s="292">
        <f t="shared" si="132"/>
        <v>19067.35648466543</v>
      </c>
      <c r="AZ277" s="292">
        <f t="shared" si="133"/>
        <v>19067.35648466543</v>
      </c>
      <c r="BA277" s="292">
        <f t="shared" si="134"/>
        <v>19067.35648466543</v>
      </c>
      <c r="BB277" s="292">
        <f t="shared" si="135"/>
        <v>19067.35648466543</v>
      </c>
      <c r="BC277" s="294">
        <f t="shared" si="136"/>
        <v>76269.42593866172</v>
      </c>
      <c r="BD277" s="287" t="s">
        <v>764</v>
      </c>
      <c r="BE277" s="295" t="str">
        <f t="shared" si="137"/>
        <v>Exhibit 1.5B_R Peoples Gas EEPS_Adjustable_Savings_Goal_Template.xlsx, Unit Savings Calculations Tab</v>
      </c>
      <c r="BF277" s="297"/>
    </row>
    <row r="278" spans="1:58" ht="13.5" customHeight="1">
      <c r="A278" s="287" t="str">
        <f>'Unit Savings Calculations'!C274</f>
        <v>Bus - CI Rebates</v>
      </c>
      <c r="B278" s="287" t="str">
        <f>'Unit Savings Calculations'!D274</f>
        <v>Steam Traps - HVAC Repair/Rep - Audit</v>
      </c>
      <c r="C278" s="288">
        <f t="shared" si="125"/>
        <v>1</v>
      </c>
      <c r="D278" s="287" t="str">
        <f>'Unit Savings Calculations'!T274</f>
        <v>4.4.16</v>
      </c>
      <c r="E278" s="287">
        <f>INDEX('Unit Savings Calculations'!$H$4:$H$421,MATCH('Measure-Level Adjustments Tab'!$A278&amp;"_"&amp;'Measure-Level Adjustments Tab'!$B278,'Unit Savings Calculations'!$A$4:$A$421,0))</f>
        <v>6</v>
      </c>
      <c r="F278" s="287">
        <f>INDEX('Unit Savings Calculations'!$I$4:$I$421,MATCH('Measure-Level Adjustments Tab'!A278&amp;"_"&amp;'Measure-Level Adjustments Tab'!B278,'Unit Savings Calculations'!$A$4:$A$421,0))</f>
        <v>6</v>
      </c>
      <c r="G278" s="287" t="str">
        <f>'Unit Savings Calculations'!E274</f>
        <v>each</v>
      </c>
      <c r="H278" s="289">
        <f>'Unit Savings Calculations'!$F274*'Unit Savings Calculations'!J274</f>
        <v>150</v>
      </c>
      <c r="I278" s="289">
        <f>'Unit Savings Calculations'!$F274*'Unit Savings Calculations'!K274</f>
        <v>150</v>
      </c>
      <c r="J278" s="289">
        <f>'Unit Savings Calculations'!$F274*'Unit Savings Calculations'!L274</f>
        <v>150</v>
      </c>
      <c r="K278" s="289">
        <f>'Unit Savings Calculations'!$F274*'Unit Savings Calculations'!M274</f>
        <v>150</v>
      </c>
      <c r="L278" s="287" t="str">
        <f>'Unit Savings Calculations'!U274</f>
        <v>CI-HVC-STRE-V05-180101</v>
      </c>
      <c r="M278" s="363" t="s">
        <v>830</v>
      </c>
      <c r="N278" s="290">
        <v>88.453924126394057</v>
      </c>
      <c r="O278" s="290">
        <v>88.453924126394057</v>
      </c>
      <c r="P278" s="290">
        <v>88.453924126394057</v>
      </c>
      <c r="Q278" s="290">
        <v>88.453924126394057</v>
      </c>
      <c r="R278" s="291">
        <f>'Unit Savings Calculations'!$G274</f>
        <v>0.79</v>
      </c>
      <c r="S278" s="291">
        <f>'Unit Savings Calculations'!$G274</f>
        <v>0.79</v>
      </c>
      <c r="T278" s="291">
        <f>'Unit Savings Calculations'!$G274</f>
        <v>0.79</v>
      </c>
      <c r="U278" s="291">
        <f>'Unit Savings Calculations'!$G274</f>
        <v>0.79</v>
      </c>
      <c r="V278" s="292">
        <f t="shared" si="126"/>
        <v>10481.790008977698</v>
      </c>
      <c r="W278" s="292">
        <f t="shared" si="127"/>
        <v>10481.790008977698</v>
      </c>
      <c r="X278" s="292">
        <f t="shared" si="128"/>
        <v>10481.790008977698</v>
      </c>
      <c r="Y278" s="292">
        <f t="shared" si="129"/>
        <v>10481.790008977698</v>
      </c>
      <c r="Z278" s="292">
        <f t="shared" si="130"/>
        <v>41927.160035910791</v>
      </c>
      <c r="AA278" s="287"/>
      <c r="AB278" s="287"/>
      <c r="AC278" s="293">
        <f>'Unit Savings Calculations'!N274</f>
        <v>88.453924126394057</v>
      </c>
      <c r="AD278" s="287"/>
      <c r="AE278" s="292">
        <f t="shared" si="138"/>
        <v>10481.790008977698</v>
      </c>
      <c r="AF278" s="289">
        <f t="shared" si="139"/>
        <v>0</v>
      </c>
      <c r="AG278" s="287"/>
      <c r="AH278" s="287">
        <f t="shared" si="140"/>
        <v>0</v>
      </c>
      <c r="AI278" s="290">
        <f>'Unit Savings Calculations'!O274</f>
        <v>88.453924126394057</v>
      </c>
      <c r="AJ278" s="287" t="s">
        <v>872</v>
      </c>
      <c r="AK278" s="292">
        <f t="shared" si="141"/>
        <v>10481.790008977698</v>
      </c>
      <c r="AL278" s="289">
        <f t="shared" si="142"/>
        <v>0</v>
      </c>
      <c r="AM278" s="287"/>
      <c r="AN278" s="287"/>
      <c r="AO278" s="290">
        <f>'Unit Savings Calculations'!P274</f>
        <v>88.453924126394057</v>
      </c>
      <c r="AP278" s="287" t="s">
        <v>764</v>
      </c>
      <c r="AQ278" s="292">
        <f t="shared" si="143"/>
        <v>10481.790008977698</v>
      </c>
      <c r="AR278" s="289">
        <f t="shared" si="144"/>
        <v>0</v>
      </c>
      <c r="AS278" s="287"/>
      <c r="AT278" s="287"/>
      <c r="AU278" s="290">
        <f>'Unit Savings Calculations'!Q274</f>
        <v>88.453924126394057</v>
      </c>
      <c r="AV278" s="287" t="str">
        <f t="shared" si="131"/>
        <v>n/a</v>
      </c>
      <c r="AW278" s="292">
        <f t="shared" si="145"/>
        <v>10481.790008977698</v>
      </c>
      <c r="AX278" s="289">
        <f t="shared" si="146"/>
        <v>0</v>
      </c>
      <c r="AY278" s="292">
        <f t="shared" si="132"/>
        <v>10481.790008977698</v>
      </c>
      <c r="AZ278" s="292">
        <f t="shared" si="133"/>
        <v>10481.790008977698</v>
      </c>
      <c r="BA278" s="292">
        <f t="shared" si="134"/>
        <v>10481.790008977698</v>
      </c>
      <c r="BB278" s="292">
        <f t="shared" si="135"/>
        <v>10481.790008977698</v>
      </c>
      <c r="BC278" s="294">
        <f t="shared" si="136"/>
        <v>41927.160035910791</v>
      </c>
      <c r="BD278" s="287" t="s">
        <v>764</v>
      </c>
      <c r="BE278" s="295" t="str">
        <f t="shared" si="137"/>
        <v>Exhibit 1.5B_R Peoples Gas EEPS_Adjustable_Savings_Goal_Template.xlsx, Unit Savings Calculations Tab</v>
      </c>
      <c r="BF278" s="297"/>
    </row>
    <row r="279" spans="1:58" ht="13.5" customHeight="1">
      <c r="A279" s="287" t="str">
        <f>'Unit Savings Calculations'!C275</f>
        <v>Bus - CI Rebates</v>
      </c>
      <c r="B279" s="287" t="str">
        <f>'Unit Savings Calculations'!D275</f>
        <v>Steam Traps - HVAC Repair/Rep - No Audit</v>
      </c>
      <c r="C279" s="288">
        <f t="shared" si="125"/>
        <v>1</v>
      </c>
      <c r="D279" s="287" t="str">
        <f>'Unit Savings Calculations'!T275</f>
        <v>4.4.16</v>
      </c>
      <c r="E279" s="287">
        <f>INDEX('Unit Savings Calculations'!$H$4:$H$421,MATCH('Measure-Level Adjustments Tab'!$A279&amp;"_"&amp;'Measure-Level Adjustments Tab'!$B279,'Unit Savings Calculations'!$A$4:$A$421,0))</f>
        <v>6</v>
      </c>
      <c r="F279" s="287">
        <f>INDEX('Unit Savings Calculations'!$I$4:$I$421,MATCH('Measure-Level Adjustments Tab'!A279&amp;"_"&amp;'Measure-Level Adjustments Tab'!B279,'Unit Savings Calculations'!$A$4:$A$421,0))</f>
        <v>6</v>
      </c>
      <c r="G279" s="287" t="str">
        <f>'Unit Savings Calculations'!E275</f>
        <v>each</v>
      </c>
      <c r="H279" s="289">
        <f>'Unit Savings Calculations'!$F275*'Unit Savings Calculations'!J275</f>
        <v>100</v>
      </c>
      <c r="I279" s="289">
        <f>'Unit Savings Calculations'!$F275*'Unit Savings Calculations'!K275</f>
        <v>100</v>
      </c>
      <c r="J279" s="289">
        <f>'Unit Savings Calculations'!$F275*'Unit Savings Calculations'!L275</f>
        <v>100</v>
      </c>
      <c r="K279" s="289">
        <f>'Unit Savings Calculations'!$F275*'Unit Savings Calculations'!M275</f>
        <v>100</v>
      </c>
      <c r="L279" s="287" t="str">
        <f>'Unit Savings Calculations'!U275</f>
        <v>CI-HVC-STRE-V05-180101</v>
      </c>
      <c r="M279" s="363" t="s">
        <v>830</v>
      </c>
      <c r="N279" s="290">
        <v>88.453924126394057</v>
      </c>
      <c r="O279" s="290">
        <v>88.453924126394057</v>
      </c>
      <c r="P279" s="290">
        <v>88.453924126394057</v>
      </c>
      <c r="Q279" s="290">
        <v>88.453924126394057</v>
      </c>
      <c r="R279" s="291">
        <f>'Unit Savings Calculations'!$G275</f>
        <v>0.79</v>
      </c>
      <c r="S279" s="291">
        <f>'Unit Savings Calculations'!$G275</f>
        <v>0.79</v>
      </c>
      <c r="T279" s="291">
        <f>'Unit Savings Calculations'!$G275</f>
        <v>0.79</v>
      </c>
      <c r="U279" s="291">
        <f>'Unit Savings Calculations'!$G275</f>
        <v>0.79</v>
      </c>
      <c r="V279" s="292">
        <f t="shared" si="126"/>
        <v>6987.8600059851306</v>
      </c>
      <c r="W279" s="292">
        <f t="shared" si="127"/>
        <v>6987.8600059851306</v>
      </c>
      <c r="X279" s="292">
        <f t="shared" si="128"/>
        <v>6987.8600059851306</v>
      </c>
      <c r="Y279" s="292">
        <f t="shared" si="129"/>
        <v>6987.8600059851306</v>
      </c>
      <c r="Z279" s="292">
        <f t="shared" si="130"/>
        <v>27951.440023940522</v>
      </c>
      <c r="AA279" s="287"/>
      <c r="AB279" s="287"/>
      <c r="AC279" s="293">
        <f>'Unit Savings Calculations'!N275</f>
        <v>88.453924126394057</v>
      </c>
      <c r="AD279" s="287"/>
      <c r="AE279" s="292">
        <f t="shared" si="138"/>
        <v>6987.8600059851306</v>
      </c>
      <c r="AF279" s="289">
        <f t="shared" si="139"/>
        <v>0</v>
      </c>
      <c r="AG279" s="287"/>
      <c r="AH279" s="287">
        <f t="shared" si="140"/>
        <v>0</v>
      </c>
      <c r="AI279" s="290">
        <f>'Unit Savings Calculations'!O275</f>
        <v>88.453924126394057</v>
      </c>
      <c r="AJ279" s="287" t="s">
        <v>872</v>
      </c>
      <c r="AK279" s="292">
        <f t="shared" si="141"/>
        <v>6987.8600059851306</v>
      </c>
      <c r="AL279" s="289">
        <f t="shared" si="142"/>
        <v>0</v>
      </c>
      <c r="AM279" s="287"/>
      <c r="AN279" s="287"/>
      <c r="AO279" s="290">
        <f>'Unit Savings Calculations'!P275</f>
        <v>88.453924126394057</v>
      </c>
      <c r="AP279" s="287" t="s">
        <v>764</v>
      </c>
      <c r="AQ279" s="292">
        <f t="shared" si="143"/>
        <v>6987.8600059851306</v>
      </c>
      <c r="AR279" s="289">
        <f t="shared" si="144"/>
        <v>0</v>
      </c>
      <c r="AS279" s="287"/>
      <c r="AT279" s="287"/>
      <c r="AU279" s="290">
        <f>'Unit Savings Calculations'!Q275</f>
        <v>88.453924126394057</v>
      </c>
      <c r="AV279" s="287" t="str">
        <f t="shared" si="131"/>
        <v>n/a</v>
      </c>
      <c r="AW279" s="292">
        <f t="shared" si="145"/>
        <v>6987.8600059851306</v>
      </c>
      <c r="AX279" s="289">
        <f t="shared" si="146"/>
        <v>0</v>
      </c>
      <c r="AY279" s="292">
        <f t="shared" si="132"/>
        <v>6987.8600059851306</v>
      </c>
      <c r="AZ279" s="292">
        <f t="shared" si="133"/>
        <v>6987.8600059851306</v>
      </c>
      <c r="BA279" s="292">
        <f t="shared" si="134"/>
        <v>6987.8600059851306</v>
      </c>
      <c r="BB279" s="292">
        <f t="shared" si="135"/>
        <v>6987.8600059851306</v>
      </c>
      <c r="BC279" s="294">
        <f t="shared" si="136"/>
        <v>27951.440023940522</v>
      </c>
      <c r="BD279" s="287" t="s">
        <v>764</v>
      </c>
      <c r="BE279" s="295" t="str">
        <f t="shared" si="137"/>
        <v>Exhibit 1.5B_R Peoples Gas EEPS_Adjustable_Savings_Goal_Template.xlsx, Unit Savings Calculations Tab</v>
      </c>
      <c r="BF279" s="297"/>
    </row>
    <row r="280" spans="1:58" ht="13.5" customHeight="1">
      <c r="A280" s="287" t="str">
        <f>'Unit Savings Calculations'!C276</f>
        <v>Bus - CI Rebates</v>
      </c>
      <c r="B280" s="287" t="str">
        <f>'Unit Savings Calculations'!D276</f>
        <v>Steam Traps - Test</v>
      </c>
      <c r="C280" s="288">
        <f t="shared" ref="C280:C348" si="147">IF(D280="Custom",0,1)</f>
        <v>0</v>
      </c>
      <c r="D280" s="287" t="str">
        <f>'Unit Savings Calculations'!T276</f>
        <v>Custom</v>
      </c>
      <c r="E280" s="287">
        <f>INDEX('Unit Savings Calculations'!$H$4:$H$421,MATCH('Measure-Level Adjustments Tab'!$A280&amp;"_"&amp;'Measure-Level Adjustments Tab'!$B280,'Unit Savings Calculations'!$A$4:$A$421,0))</f>
        <v>3</v>
      </c>
      <c r="F280" s="287">
        <f>INDEX('Unit Savings Calculations'!$I$4:$I$421,MATCH('Measure-Level Adjustments Tab'!A280&amp;"_"&amp;'Measure-Level Adjustments Tab'!B280,'Unit Savings Calculations'!$A$4:$A$421,0))</f>
        <v>3</v>
      </c>
      <c r="G280" s="287" t="str">
        <f>'Unit Savings Calculations'!E276</f>
        <v>each</v>
      </c>
      <c r="H280" s="289">
        <f>'Unit Savings Calculations'!$F276*'Unit Savings Calculations'!J276</f>
        <v>100</v>
      </c>
      <c r="I280" s="289">
        <f>'Unit Savings Calculations'!$F276*'Unit Savings Calculations'!K276</f>
        <v>100</v>
      </c>
      <c r="J280" s="289">
        <f>'Unit Savings Calculations'!$F276*'Unit Savings Calculations'!L276</f>
        <v>100</v>
      </c>
      <c r="K280" s="289">
        <f>'Unit Savings Calculations'!$F276*'Unit Savings Calculations'!M276</f>
        <v>100</v>
      </c>
      <c r="L280" s="287" t="str">
        <f>'Unit Savings Calculations'!U276</f>
        <v>Custom</v>
      </c>
      <c r="M280" s="287" t="str">
        <f>'Unit Savings Calculations'!S276</f>
        <v>Custom</v>
      </c>
      <c r="N280" s="290">
        <v>0</v>
      </c>
      <c r="O280" s="290">
        <v>0</v>
      </c>
      <c r="P280" s="290">
        <v>0</v>
      </c>
      <c r="Q280" s="290">
        <v>0</v>
      </c>
      <c r="R280" s="291">
        <f>'Unit Savings Calculations'!$G276</f>
        <v>0.79</v>
      </c>
      <c r="S280" s="291">
        <f>'Unit Savings Calculations'!$G276</f>
        <v>0.79</v>
      </c>
      <c r="T280" s="291">
        <f>'Unit Savings Calculations'!$G276</f>
        <v>0.79</v>
      </c>
      <c r="U280" s="291">
        <f>'Unit Savings Calculations'!$G276</f>
        <v>0.79</v>
      </c>
      <c r="V280" s="292">
        <f t="shared" si="126"/>
        <v>0</v>
      </c>
      <c r="W280" s="292">
        <f t="shared" si="127"/>
        <v>0</v>
      </c>
      <c r="X280" s="292">
        <f t="shared" si="128"/>
        <v>0</v>
      </c>
      <c r="Y280" s="292">
        <f t="shared" si="129"/>
        <v>0</v>
      </c>
      <c r="Z280" s="292">
        <f t="shared" si="130"/>
        <v>0</v>
      </c>
      <c r="AA280" s="364"/>
      <c r="AB280" s="364"/>
      <c r="AC280" s="365">
        <f>'Unit Savings Calculations'!N276</f>
        <v>0</v>
      </c>
      <c r="AD280" s="364"/>
      <c r="AE280" s="366">
        <f t="shared" si="138"/>
        <v>0</v>
      </c>
      <c r="AF280" s="367">
        <f t="shared" si="139"/>
        <v>0</v>
      </c>
      <c r="AG280" s="364"/>
      <c r="AH280" s="364">
        <f t="shared" si="140"/>
        <v>0</v>
      </c>
      <c r="AI280" s="368">
        <f>'Unit Savings Calculations'!O276</f>
        <v>0</v>
      </c>
      <c r="AJ280" s="364" t="s">
        <v>872</v>
      </c>
      <c r="AK280" s="366">
        <f t="shared" si="141"/>
        <v>0</v>
      </c>
      <c r="AL280" s="367">
        <f t="shared" si="142"/>
        <v>0</v>
      </c>
      <c r="AM280" s="364"/>
      <c r="AN280" s="364"/>
      <c r="AO280" s="368">
        <f>'Unit Savings Calculations'!P276</f>
        <v>0</v>
      </c>
      <c r="AP280" s="364" t="s">
        <v>764</v>
      </c>
      <c r="AQ280" s="366">
        <f t="shared" si="143"/>
        <v>0</v>
      </c>
      <c r="AR280" s="367">
        <f t="shared" si="144"/>
        <v>0</v>
      </c>
      <c r="AS280" s="364"/>
      <c r="AT280" s="364"/>
      <c r="AU280" s="368">
        <f>'Unit Savings Calculations'!Q276</f>
        <v>0</v>
      </c>
      <c r="AV280" s="364" t="str">
        <f t="shared" si="131"/>
        <v>n/a</v>
      </c>
      <c r="AW280" s="366">
        <f t="shared" si="145"/>
        <v>0</v>
      </c>
      <c r="AX280" s="367">
        <f t="shared" si="146"/>
        <v>0</v>
      </c>
      <c r="AY280" s="292">
        <f t="shared" si="132"/>
        <v>0</v>
      </c>
      <c r="AZ280" s="292">
        <f t="shared" si="133"/>
        <v>0</v>
      </c>
      <c r="BA280" s="292">
        <f t="shared" si="134"/>
        <v>0</v>
      </c>
      <c r="BB280" s="292">
        <f t="shared" si="135"/>
        <v>0</v>
      </c>
      <c r="BC280" s="294">
        <f t="shared" si="136"/>
        <v>0</v>
      </c>
      <c r="BD280" s="287" t="s">
        <v>764</v>
      </c>
      <c r="BE280" s="295" t="str">
        <f t="shared" si="137"/>
        <v>Custom</v>
      </c>
      <c r="BF280" s="297"/>
    </row>
    <row r="281" spans="1:58" ht="13.5" customHeight="1">
      <c r="A281" s="287" t="str">
        <f>'Unit Savings Calculations'!C277</f>
        <v>Bus - CI Rebates</v>
      </c>
      <c r="B281" s="287" t="str">
        <f>'Unit Savings Calculations'!D277</f>
        <v>Thermostat - Programmable</v>
      </c>
      <c r="C281" s="288">
        <f t="shared" si="147"/>
        <v>1</v>
      </c>
      <c r="D281" s="287" t="str">
        <f>'Unit Savings Calculations'!T277</f>
        <v>4.4.18</v>
      </c>
      <c r="E281" s="287">
        <f>INDEX('Unit Savings Calculations'!$H$4:$H$421,MATCH('Measure-Level Adjustments Tab'!$A281&amp;"_"&amp;'Measure-Level Adjustments Tab'!$B281,'Unit Savings Calculations'!$A$4:$A$421,0))</f>
        <v>4</v>
      </c>
      <c r="F281" s="287">
        <f>INDEX('Unit Savings Calculations'!$I$4:$I$421,MATCH('Measure-Level Adjustments Tab'!A281&amp;"_"&amp;'Measure-Level Adjustments Tab'!B281,'Unit Savings Calculations'!$A$4:$A$421,0))</f>
        <v>4</v>
      </c>
      <c r="G281" s="287" t="str">
        <f>'Unit Savings Calculations'!E277</f>
        <v>each</v>
      </c>
      <c r="H281" s="289">
        <f>'Unit Savings Calculations'!$F277*'Unit Savings Calculations'!J277</f>
        <v>15</v>
      </c>
      <c r="I281" s="289">
        <f>'Unit Savings Calculations'!$F277*'Unit Savings Calculations'!K277</f>
        <v>15</v>
      </c>
      <c r="J281" s="289">
        <f>'Unit Savings Calculations'!$F277*'Unit Savings Calculations'!L277</f>
        <v>15</v>
      </c>
      <c r="K281" s="289">
        <f>'Unit Savings Calculations'!$F277*'Unit Savings Calculations'!M277</f>
        <v>15</v>
      </c>
      <c r="L281" s="287" t="str">
        <f>'Unit Savings Calculations'!U277</f>
        <v>CI-HVC-PROG-V02-150601</v>
      </c>
      <c r="M281" s="363" t="s">
        <v>829</v>
      </c>
      <c r="N281" s="290">
        <v>124.68584320000001</v>
      </c>
      <c r="O281" s="290">
        <v>124.68584320000001</v>
      </c>
      <c r="P281" s="290">
        <v>124.68584320000001</v>
      </c>
      <c r="Q281" s="290">
        <v>124.68584320000001</v>
      </c>
      <c r="R281" s="291">
        <f>'Unit Savings Calculations'!$G277</f>
        <v>0.79</v>
      </c>
      <c r="S281" s="291">
        <f>'Unit Savings Calculations'!$G277</f>
        <v>0.79</v>
      </c>
      <c r="T281" s="291">
        <f>'Unit Savings Calculations'!$G277</f>
        <v>0.79</v>
      </c>
      <c r="U281" s="291">
        <f>'Unit Savings Calculations'!$G277</f>
        <v>0.79</v>
      </c>
      <c r="V281" s="292">
        <f t="shared" si="126"/>
        <v>1477.5272419200003</v>
      </c>
      <c r="W281" s="292">
        <f t="shared" si="127"/>
        <v>1477.5272419200003</v>
      </c>
      <c r="X281" s="292">
        <f t="shared" si="128"/>
        <v>1477.5272419200003</v>
      </c>
      <c r="Y281" s="292">
        <f t="shared" si="129"/>
        <v>1477.5272419200003</v>
      </c>
      <c r="Z281" s="292">
        <f t="shared" si="130"/>
        <v>5910.1089676800011</v>
      </c>
      <c r="AA281" s="287"/>
      <c r="AB281" s="287"/>
      <c r="AC281" s="293">
        <f>'Unit Savings Calculations'!N277</f>
        <v>124.68584320000001</v>
      </c>
      <c r="AD281" s="287"/>
      <c r="AE281" s="292">
        <f t="shared" si="138"/>
        <v>1477.5272419200003</v>
      </c>
      <c r="AF281" s="289">
        <f t="shared" si="139"/>
        <v>0</v>
      </c>
      <c r="AG281" s="287"/>
      <c r="AH281" s="287">
        <f t="shared" si="140"/>
        <v>0</v>
      </c>
      <c r="AI281" s="290">
        <f>'Unit Savings Calculations'!O277</f>
        <v>124.68584320000001</v>
      </c>
      <c r="AJ281" s="287" t="s">
        <v>872</v>
      </c>
      <c r="AK281" s="292">
        <f t="shared" si="141"/>
        <v>1477.5272419200003</v>
      </c>
      <c r="AL281" s="289">
        <f t="shared" si="142"/>
        <v>0</v>
      </c>
      <c r="AM281" s="287"/>
      <c r="AN281" s="287"/>
      <c r="AO281" s="290">
        <f>'Unit Savings Calculations'!P277</f>
        <v>124.68584320000001</v>
      </c>
      <c r="AP281" s="287" t="s">
        <v>764</v>
      </c>
      <c r="AQ281" s="292">
        <f t="shared" si="143"/>
        <v>1477.5272419200003</v>
      </c>
      <c r="AR281" s="289">
        <f t="shared" si="144"/>
        <v>0</v>
      </c>
      <c r="AS281" s="287"/>
      <c r="AT281" s="287"/>
      <c r="AU281" s="290">
        <f>'Unit Savings Calculations'!Q277</f>
        <v>124.68584320000001</v>
      </c>
      <c r="AV281" s="287" t="str">
        <f t="shared" si="131"/>
        <v>n/a</v>
      </c>
      <c r="AW281" s="292">
        <f t="shared" si="145"/>
        <v>1477.5272419200003</v>
      </c>
      <c r="AX281" s="289">
        <f t="shared" si="146"/>
        <v>0</v>
      </c>
      <c r="AY281" s="292">
        <f t="shared" si="132"/>
        <v>1477.5272419200003</v>
      </c>
      <c r="AZ281" s="292">
        <f t="shared" si="133"/>
        <v>1477.5272419200003</v>
      </c>
      <c r="BA281" s="292">
        <f t="shared" si="134"/>
        <v>1477.5272419200003</v>
      </c>
      <c r="BB281" s="292">
        <f t="shared" si="135"/>
        <v>1477.5272419200003</v>
      </c>
      <c r="BC281" s="294">
        <f t="shared" si="136"/>
        <v>5910.1089676800011</v>
      </c>
      <c r="BD281" s="287" t="s">
        <v>764</v>
      </c>
      <c r="BE281" s="295" t="str">
        <f t="shared" si="137"/>
        <v>Exhibit 1.5B_R Peoples Gas EEPS_Adjustable_Savings_Goal_Template.xlsx, Thermostat Detail Tab</v>
      </c>
      <c r="BF281" s="297"/>
    </row>
    <row r="282" spans="1:58" ht="13.5" customHeight="1">
      <c r="A282" s="287" t="str">
        <f>'Unit Savings Calculations'!C278</f>
        <v>Bus - CI Rebates</v>
      </c>
      <c r="B282" s="287" t="str">
        <f>'Unit Savings Calculations'!D278</f>
        <v>Water Heater - Storage 88% TE ≥75MBh</v>
      </c>
      <c r="C282" s="288">
        <f t="shared" si="147"/>
        <v>1</v>
      </c>
      <c r="D282" s="287" t="str">
        <f>'Unit Savings Calculations'!T278</f>
        <v>4.3.1</v>
      </c>
      <c r="E282" s="287">
        <f>INDEX('Unit Savings Calculations'!$H$4:$H$421,MATCH('Measure-Level Adjustments Tab'!$A282&amp;"_"&amp;'Measure-Level Adjustments Tab'!$B282,'Unit Savings Calculations'!$A$4:$A$421,0))</f>
        <v>15</v>
      </c>
      <c r="F282" s="287">
        <f>INDEX('Unit Savings Calculations'!$I$4:$I$421,MATCH('Measure-Level Adjustments Tab'!A282&amp;"_"&amp;'Measure-Level Adjustments Tab'!B282,'Unit Savings Calculations'!$A$4:$A$421,0))</f>
        <v>15</v>
      </c>
      <c r="G282" s="287" t="str">
        <f>'Unit Savings Calculations'!E278</f>
        <v>each</v>
      </c>
      <c r="H282" s="289">
        <f>'Unit Savings Calculations'!$F278*'Unit Savings Calculations'!J278</f>
        <v>0</v>
      </c>
      <c r="I282" s="289">
        <f>'Unit Savings Calculations'!$F278*'Unit Savings Calculations'!K278</f>
        <v>0</v>
      </c>
      <c r="J282" s="289">
        <f>'Unit Savings Calculations'!$F278*'Unit Savings Calculations'!L278</f>
        <v>0</v>
      </c>
      <c r="K282" s="289">
        <f>'Unit Savings Calculations'!$F278*'Unit Savings Calculations'!M278</f>
        <v>0</v>
      </c>
      <c r="L282" s="287" t="str">
        <f>'Unit Savings Calculations'!U278</f>
        <v>CI-HW-STWH-V03-180101</v>
      </c>
      <c r="M282" s="363" t="s">
        <v>830</v>
      </c>
      <c r="N282" s="290">
        <v>135.66827090062347</v>
      </c>
      <c r="O282" s="290">
        <v>135.66827090062347</v>
      </c>
      <c r="P282" s="290">
        <v>135.66827090062347</v>
      </c>
      <c r="Q282" s="290">
        <v>135.66827090062347</v>
      </c>
      <c r="R282" s="291">
        <f>'Unit Savings Calculations'!$G278</f>
        <v>0.79</v>
      </c>
      <c r="S282" s="291">
        <f>'Unit Savings Calculations'!$G278</f>
        <v>0.79</v>
      </c>
      <c r="T282" s="291">
        <f>'Unit Savings Calculations'!$G278</f>
        <v>0.79</v>
      </c>
      <c r="U282" s="291">
        <f>'Unit Savings Calculations'!$G278</f>
        <v>0.79</v>
      </c>
      <c r="V282" s="292">
        <f t="shared" si="126"/>
        <v>0</v>
      </c>
      <c r="W282" s="292">
        <f t="shared" si="127"/>
        <v>0</v>
      </c>
      <c r="X282" s="292">
        <f t="shared" si="128"/>
        <v>0</v>
      </c>
      <c r="Y282" s="292">
        <f t="shared" si="129"/>
        <v>0</v>
      </c>
      <c r="Z282" s="292">
        <f t="shared" si="130"/>
        <v>0</v>
      </c>
      <c r="AA282" s="287"/>
      <c r="AB282" s="287"/>
      <c r="AC282" s="293">
        <f>'Unit Savings Calculations'!N278</f>
        <v>1514.573584976577</v>
      </c>
      <c r="AD282" s="287"/>
      <c r="AE282" s="292">
        <f t="shared" si="138"/>
        <v>0</v>
      </c>
      <c r="AF282" s="289">
        <f t="shared" si="139"/>
        <v>0</v>
      </c>
      <c r="AG282" s="287"/>
      <c r="AH282" s="287">
        <f t="shared" si="140"/>
        <v>0</v>
      </c>
      <c r="AI282" s="290">
        <f>'Unit Savings Calculations'!O278</f>
        <v>1514.573584976577</v>
      </c>
      <c r="AJ282" s="287" t="s">
        <v>888</v>
      </c>
      <c r="AK282" s="292">
        <f t="shared" si="141"/>
        <v>0</v>
      </c>
      <c r="AL282" s="289">
        <f t="shared" si="142"/>
        <v>0</v>
      </c>
      <c r="AM282" s="287"/>
      <c r="AN282" s="287"/>
      <c r="AO282" s="290">
        <f>'Unit Savings Calculations'!P278</f>
        <v>1514.573584976577</v>
      </c>
      <c r="AP282" s="287" t="s">
        <v>764</v>
      </c>
      <c r="AQ282" s="292">
        <f t="shared" si="143"/>
        <v>0</v>
      </c>
      <c r="AR282" s="289">
        <f t="shared" si="144"/>
        <v>0</v>
      </c>
      <c r="AS282" s="287"/>
      <c r="AT282" s="287"/>
      <c r="AU282" s="290">
        <f>'Unit Savings Calculations'!Q278</f>
        <v>1514.573584976577</v>
      </c>
      <c r="AV282" s="287" t="str">
        <f t="shared" si="131"/>
        <v>n/a</v>
      </c>
      <c r="AW282" s="292">
        <f t="shared" si="145"/>
        <v>0</v>
      </c>
      <c r="AX282" s="289">
        <f t="shared" si="146"/>
        <v>0</v>
      </c>
      <c r="AY282" s="292">
        <f t="shared" si="132"/>
        <v>0</v>
      </c>
      <c r="AZ282" s="292">
        <f t="shared" si="133"/>
        <v>0</v>
      </c>
      <c r="BA282" s="292">
        <f t="shared" si="134"/>
        <v>0</v>
      </c>
      <c r="BB282" s="292">
        <f t="shared" si="135"/>
        <v>0</v>
      </c>
      <c r="BC282" s="294">
        <f t="shared" si="136"/>
        <v>0</v>
      </c>
      <c r="BD282" s="287" t="s">
        <v>764</v>
      </c>
      <c r="BE282" s="295" t="str">
        <f t="shared" si="137"/>
        <v>Exhibit 1.5B_R Peoples Gas EEPS_Adjustable_Savings_Goal_Template.xlsx, Unit Savings Calculations Tab</v>
      </c>
      <c r="BF282" s="297"/>
    </row>
    <row r="283" spans="1:58" ht="13.5" customHeight="1">
      <c r="A283" s="287" t="str">
        <f>'Unit Savings Calculations'!C279</f>
        <v>Bus - CI Rebates</v>
      </c>
      <c r="B283" s="287" t="str">
        <f>'Unit Savings Calculations'!D279</f>
        <v>Double Rack Oven</v>
      </c>
      <c r="C283" s="288">
        <f t="shared" si="147"/>
        <v>1</v>
      </c>
      <c r="D283" s="287" t="str">
        <f>'Unit Savings Calculations'!T279</f>
        <v>4.2.18</v>
      </c>
      <c r="E283" s="287">
        <f>INDEX('Unit Savings Calculations'!$H$4:$H$421,MATCH('Measure-Level Adjustments Tab'!$A283&amp;"_"&amp;'Measure-Level Adjustments Tab'!$B283,'Unit Savings Calculations'!$A$4:$A$421,0))</f>
        <v>12</v>
      </c>
      <c r="F283" s="287">
        <f>INDEX('Unit Savings Calculations'!$I$4:$I$421,MATCH('Measure-Level Adjustments Tab'!A283&amp;"_"&amp;'Measure-Level Adjustments Tab'!B283,'Unit Savings Calculations'!$A$4:$A$421,0))</f>
        <v>12</v>
      </c>
      <c r="G283" s="287" t="str">
        <f>'Unit Savings Calculations'!E279</f>
        <v>each</v>
      </c>
      <c r="H283" s="289">
        <f>'Unit Savings Calculations'!$F279*'Unit Savings Calculations'!J279</f>
        <v>0</v>
      </c>
      <c r="I283" s="289">
        <f>'Unit Savings Calculations'!$F279*'Unit Savings Calculations'!K279</f>
        <v>0</v>
      </c>
      <c r="J283" s="289">
        <f>'Unit Savings Calculations'!$F279*'Unit Savings Calculations'!L279</f>
        <v>0</v>
      </c>
      <c r="K283" s="289">
        <f>'Unit Savings Calculations'!$F279*'Unit Savings Calculations'!M279</f>
        <v>0</v>
      </c>
      <c r="L283" s="287" t="str">
        <f>'Unit Savings Calculations'!U279</f>
        <v>CI-FSE-RKOV-VO2-180101</v>
      </c>
      <c r="M283" s="363" t="s">
        <v>830</v>
      </c>
      <c r="N283" s="290">
        <v>1930</v>
      </c>
      <c r="O283" s="290">
        <v>1930</v>
      </c>
      <c r="P283" s="290">
        <v>1930</v>
      </c>
      <c r="Q283" s="290">
        <v>1930</v>
      </c>
      <c r="R283" s="291">
        <f>'Unit Savings Calculations'!$G279</f>
        <v>0.79</v>
      </c>
      <c r="S283" s="291">
        <f>'Unit Savings Calculations'!$G279</f>
        <v>0.79</v>
      </c>
      <c r="T283" s="291">
        <f>'Unit Savings Calculations'!$G279</f>
        <v>0.79</v>
      </c>
      <c r="U283" s="291">
        <f>'Unit Savings Calculations'!$G279</f>
        <v>0.79</v>
      </c>
      <c r="V283" s="292">
        <f t="shared" si="126"/>
        <v>0</v>
      </c>
      <c r="W283" s="292">
        <f t="shared" si="127"/>
        <v>0</v>
      </c>
      <c r="X283" s="292">
        <f t="shared" si="128"/>
        <v>0</v>
      </c>
      <c r="Y283" s="292">
        <f t="shared" si="129"/>
        <v>0</v>
      </c>
      <c r="Z283" s="292">
        <f t="shared" si="130"/>
        <v>0</v>
      </c>
      <c r="AA283" s="287"/>
      <c r="AB283" s="287"/>
      <c r="AC283" s="293">
        <f>'Unit Savings Calculations'!N279</f>
        <v>1930</v>
      </c>
      <c r="AD283" s="287"/>
      <c r="AE283" s="292">
        <f t="shared" si="138"/>
        <v>0</v>
      </c>
      <c r="AF283" s="289">
        <f t="shared" si="139"/>
        <v>0</v>
      </c>
      <c r="AG283" s="287"/>
      <c r="AH283" s="287">
        <f t="shared" si="140"/>
        <v>0</v>
      </c>
      <c r="AI283" s="290">
        <f>'Unit Savings Calculations'!O279</f>
        <v>1930</v>
      </c>
      <c r="AJ283" s="287" t="s">
        <v>872</v>
      </c>
      <c r="AK283" s="292">
        <f t="shared" si="141"/>
        <v>0</v>
      </c>
      <c r="AL283" s="289">
        <f t="shared" si="142"/>
        <v>0</v>
      </c>
      <c r="AM283" s="287"/>
      <c r="AN283" s="287"/>
      <c r="AO283" s="290">
        <f>'Unit Savings Calculations'!P279</f>
        <v>1930</v>
      </c>
      <c r="AP283" s="287" t="s">
        <v>764</v>
      </c>
      <c r="AQ283" s="292">
        <f t="shared" si="143"/>
        <v>0</v>
      </c>
      <c r="AR283" s="289">
        <f t="shared" si="144"/>
        <v>0</v>
      </c>
      <c r="AS283" s="287"/>
      <c r="AT283" s="287"/>
      <c r="AU283" s="290">
        <f>'Unit Savings Calculations'!Q279</f>
        <v>1930</v>
      </c>
      <c r="AV283" s="287" t="str">
        <f t="shared" si="131"/>
        <v>n/a</v>
      </c>
      <c r="AW283" s="292">
        <f t="shared" si="145"/>
        <v>0</v>
      </c>
      <c r="AX283" s="289">
        <f t="shared" si="146"/>
        <v>0</v>
      </c>
      <c r="AY283" s="292">
        <f t="shared" si="132"/>
        <v>0</v>
      </c>
      <c r="AZ283" s="292">
        <f t="shared" si="133"/>
        <v>0</v>
      </c>
      <c r="BA283" s="292">
        <f t="shared" si="134"/>
        <v>0</v>
      </c>
      <c r="BB283" s="292">
        <f t="shared" si="135"/>
        <v>0</v>
      </c>
      <c r="BC283" s="294">
        <f t="shared" si="136"/>
        <v>0</v>
      </c>
      <c r="BD283" s="287" t="s">
        <v>764</v>
      </c>
      <c r="BE283" s="295" t="str">
        <f t="shared" si="137"/>
        <v>Exhibit 1.5B_R Peoples Gas EEPS_Adjustable_Savings_Goal_Template.xlsx, Unit Savings Calculations Tab</v>
      </c>
      <c r="BF283" s="297"/>
    </row>
    <row r="284" spans="1:58" ht="13.5" customHeight="1">
      <c r="A284" s="287" t="str">
        <f>'Unit Savings Calculations'!C280</f>
        <v>Bus - CI Rebates</v>
      </c>
      <c r="B284" s="287" t="str">
        <f>'Unit Savings Calculations'!D280</f>
        <v>Energy Star Convection Oven</v>
      </c>
      <c r="C284" s="288">
        <f t="shared" si="147"/>
        <v>1</v>
      </c>
      <c r="D284" s="287" t="str">
        <f>'Unit Savings Calculations'!T280</f>
        <v>4.2.5</v>
      </c>
      <c r="E284" s="287">
        <f>INDEX('Unit Savings Calculations'!$H$4:$H$421,MATCH('Measure-Level Adjustments Tab'!$A284&amp;"_"&amp;'Measure-Level Adjustments Tab'!$B284,'Unit Savings Calculations'!$A$4:$A$421,0))</f>
        <v>12</v>
      </c>
      <c r="F284" s="287">
        <f>INDEX('Unit Savings Calculations'!$I$4:$I$421,MATCH('Measure-Level Adjustments Tab'!A284&amp;"_"&amp;'Measure-Level Adjustments Tab'!B284,'Unit Savings Calculations'!$A$4:$A$421,0))</f>
        <v>12</v>
      </c>
      <c r="G284" s="287" t="str">
        <f>'Unit Savings Calculations'!E280</f>
        <v>each</v>
      </c>
      <c r="H284" s="289">
        <f>'Unit Savings Calculations'!$F280*'Unit Savings Calculations'!J280</f>
        <v>10</v>
      </c>
      <c r="I284" s="289">
        <f>'Unit Savings Calculations'!$F280*'Unit Savings Calculations'!K280</f>
        <v>10</v>
      </c>
      <c r="J284" s="289">
        <f>'Unit Savings Calculations'!$F280*'Unit Savings Calculations'!L280</f>
        <v>10</v>
      </c>
      <c r="K284" s="289">
        <f>'Unit Savings Calculations'!$F280*'Unit Savings Calculations'!M280</f>
        <v>10</v>
      </c>
      <c r="L284" s="287" t="str">
        <f>'Unit Savings Calculations'!U280</f>
        <v>CI-FSE-ESCV-V02-180101</v>
      </c>
      <c r="M284" s="363" t="s">
        <v>830</v>
      </c>
      <c r="N284" s="290">
        <v>352.14445072463781</v>
      </c>
      <c r="O284" s="290">
        <v>352.14445072463781</v>
      </c>
      <c r="P284" s="290">
        <v>352.14445072463781</v>
      </c>
      <c r="Q284" s="290">
        <v>352.14445072463781</v>
      </c>
      <c r="R284" s="291">
        <f>'Unit Savings Calculations'!$G280</f>
        <v>0.79</v>
      </c>
      <c r="S284" s="291">
        <f>'Unit Savings Calculations'!$G280</f>
        <v>0.79</v>
      </c>
      <c r="T284" s="291">
        <f>'Unit Savings Calculations'!$G280</f>
        <v>0.79</v>
      </c>
      <c r="U284" s="291">
        <f>'Unit Savings Calculations'!$G280</f>
        <v>0.79</v>
      </c>
      <c r="V284" s="292">
        <f t="shared" si="126"/>
        <v>2781.9411607246388</v>
      </c>
      <c r="W284" s="292">
        <f t="shared" si="127"/>
        <v>2781.9411607246388</v>
      </c>
      <c r="X284" s="292">
        <f t="shared" si="128"/>
        <v>2781.9411607246388</v>
      </c>
      <c r="Y284" s="292">
        <f t="shared" si="129"/>
        <v>2781.9411607246388</v>
      </c>
      <c r="Z284" s="292">
        <f t="shared" si="130"/>
        <v>11127.764642898555</v>
      </c>
      <c r="AA284" s="287"/>
      <c r="AB284" s="287"/>
      <c r="AC284" s="293">
        <f>'Unit Savings Calculations'!N280</f>
        <v>352.14445072463781</v>
      </c>
      <c r="AD284" s="287"/>
      <c r="AE284" s="292">
        <f t="shared" si="138"/>
        <v>2781.9411607246388</v>
      </c>
      <c r="AF284" s="289">
        <f t="shared" si="139"/>
        <v>0</v>
      </c>
      <c r="AG284" s="287"/>
      <c r="AH284" s="287">
        <f t="shared" si="140"/>
        <v>0</v>
      </c>
      <c r="AI284" s="290">
        <f>'Unit Savings Calculations'!O280</f>
        <v>352.14445072463781</v>
      </c>
      <c r="AJ284" s="287" t="s">
        <v>872</v>
      </c>
      <c r="AK284" s="292">
        <f t="shared" si="141"/>
        <v>2781.9411607246388</v>
      </c>
      <c r="AL284" s="289">
        <f t="shared" si="142"/>
        <v>0</v>
      </c>
      <c r="AM284" s="287"/>
      <c r="AN284" s="287"/>
      <c r="AO284" s="290">
        <f>'Unit Savings Calculations'!P280</f>
        <v>352.14445072463781</v>
      </c>
      <c r="AP284" s="287" t="s">
        <v>764</v>
      </c>
      <c r="AQ284" s="292">
        <f t="shared" si="143"/>
        <v>2781.9411607246388</v>
      </c>
      <c r="AR284" s="289">
        <f t="shared" si="144"/>
        <v>0</v>
      </c>
      <c r="AS284" s="287"/>
      <c r="AT284" s="287"/>
      <c r="AU284" s="290">
        <f>'Unit Savings Calculations'!Q280</f>
        <v>352.14445072463781</v>
      </c>
      <c r="AV284" s="287" t="str">
        <f t="shared" si="131"/>
        <v>n/a</v>
      </c>
      <c r="AW284" s="292">
        <f t="shared" si="145"/>
        <v>2781.9411607246388</v>
      </c>
      <c r="AX284" s="289">
        <f t="shared" si="146"/>
        <v>0</v>
      </c>
      <c r="AY284" s="292">
        <f t="shared" si="132"/>
        <v>2781.9411607246388</v>
      </c>
      <c r="AZ284" s="292">
        <f t="shared" si="133"/>
        <v>2781.9411607246388</v>
      </c>
      <c r="BA284" s="292">
        <f t="shared" si="134"/>
        <v>2781.9411607246388</v>
      </c>
      <c r="BB284" s="292">
        <f t="shared" si="135"/>
        <v>2781.9411607246388</v>
      </c>
      <c r="BC284" s="294">
        <f t="shared" si="136"/>
        <v>11127.764642898555</v>
      </c>
      <c r="BD284" s="287" t="s">
        <v>764</v>
      </c>
      <c r="BE284" s="295" t="str">
        <f t="shared" si="137"/>
        <v>Exhibit 1.5B_R Peoples Gas EEPS_Adjustable_Savings_Goal_Template.xlsx, Unit Savings Calculations Tab</v>
      </c>
      <c r="BF284" s="297"/>
    </row>
    <row r="285" spans="1:58" ht="13.5" customHeight="1">
      <c r="A285" s="287" t="str">
        <f>'Unit Savings Calculations'!C281</f>
        <v>Bus - CI Rebates</v>
      </c>
      <c r="B285" s="287" t="str">
        <f>'Unit Savings Calculations'!D281</f>
        <v>Energy Star Conveyer Oven</v>
      </c>
      <c r="C285" s="288">
        <f t="shared" si="147"/>
        <v>1</v>
      </c>
      <c r="D285" s="287" t="str">
        <f>'Unit Savings Calculations'!T281</f>
        <v>4.2.4</v>
      </c>
      <c r="E285" s="287">
        <f>INDEX('Unit Savings Calculations'!$H$4:$H$421,MATCH('Measure-Level Adjustments Tab'!$A285&amp;"_"&amp;'Measure-Level Adjustments Tab'!$B285,'Unit Savings Calculations'!$A$4:$A$421,0))</f>
        <v>17</v>
      </c>
      <c r="F285" s="287">
        <f>INDEX('Unit Savings Calculations'!$I$4:$I$421,MATCH('Measure-Level Adjustments Tab'!A285&amp;"_"&amp;'Measure-Level Adjustments Tab'!B285,'Unit Savings Calculations'!$A$4:$A$421,0))</f>
        <v>17</v>
      </c>
      <c r="G285" s="287" t="str">
        <f>'Unit Savings Calculations'!E281</f>
        <v>each</v>
      </c>
      <c r="H285" s="289">
        <f>'Unit Savings Calculations'!$F281*'Unit Savings Calculations'!J281</f>
        <v>0</v>
      </c>
      <c r="I285" s="289">
        <f>'Unit Savings Calculations'!$F281*'Unit Savings Calculations'!K281</f>
        <v>0</v>
      </c>
      <c r="J285" s="289">
        <f>'Unit Savings Calculations'!$F281*'Unit Savings Calculations'!L281</f>
        <v>0</v>
      </c>
      <c r="K285" s="289">
        <f>'Unit Savings Calculations'!$F281*'Unit Savings Calculations'!M281</f>
        <v>0</v>
      </c>
      <c r="L285" s="287" t="str">
        <f>'Unit Savings Calculations'!U281</f>
        <v>CI-FSE-CVOV-V02-180101</v>
      </c>
      <c r="M285" s="363" t="s">
        <v>830</v>
      </c>
      <c r="N285" s="290">
        <v>884</v>
      </c>
      <c r="O285" s="290">
        <v>884</v>
      </c>
      <c r="P285" s="290">
        <v>884</v>
      </c>
      <c r="Q285" s="290">
        <v>884</v>
      </c>
      <c r="R285" s="291">
        <f>'Unit Savings Calculations'!$G281</f>
        <v>0.79</v>
      </c>
      <c r="S285" s="291">
        <f>'Unit Savings Calculations'!$G281</f>
        <v>0.79</v>
      </c>
      <c r="T285" s="291">
        <f>'Unit Savings Calculations'!$G281</f>
        <v>0.79</v>
      </c>
      <c r="U285" s="291">
        <f>'Unit Savings Calculations'!$G281</f>
        <v>0.79</v>
      </c>
      <c r="V285" s="292">
        <f t="shared" si="126"/>
        <v>0</v>
      </c>
      <c r="W285" s="292">
        <f t="shared" si="127"/>
        <v>0</v>
      </c>
      <c r="X285" s="292">
        <f t="shared" si="128"/>
        <v>0</v>
      </c>
      <c r="Y285" s="292">
        <f t="shared" si="129"/>
        <v>0</v>
      </c>
      <c r="Z285" s="292">
        <f t="shared" si="130"/>
        <v>0</v>
      </c>
      <c r="AA285" s="287"/>
      <c r="AB285" s="287"/>
      <c r="AC285" s="293">
        <f>'Unit Savings Calculations'!N281</f>
        <v>884</v>
      </c>
      <c r="AD285" s="287"/>
      <c r="AE285" s="292">
        <f t="shared" si="138"/>
        <v>0</v>
      </c>
      <c r="AF285" s="289">
        <f t="shared" si="139"/>
        <v>0</v>
      </c>
      <c r="AG285" s="287"/>
      <c r="AH285" s="287">
        <f t="shared" si="140"/>
        <v>0</v>
      </c>
      <c r="AI285" s="290">
        <f>'Unit Savings Calculations'!O281</f>
        <v>884</v>
      </c>
      <c r="AJ285" s="287" t="s">
        <v>872</v>
      </c>
      <c r="AK285" s="292">
        <f t="shared" si="141"/>
        <v>0</v>
      </c>
      <c r="AL285" s="289">
        <f t="shared" si="142"/>
        <v>0</v>
      </c>
      <c r="AM285" s="287"/>
      <c r="AN285" s="287"/>
      <c r="AO285" s="290">
        <f>'Unit Savings Calculations'!P281</f>
        <v>884</v>
      </c>
      <c r="AP285" s="287" t="s">
        <v>764</v>
      </c>
      <c r="AQ285" s="292">
        <f t="shared" si="143"/>
        <v>0</v>
      </c>
      <c r="AR285" s="289">
        <f t="shared" si="144"/>
        <v>0</v>
      </c>
      <c r="AS285" s="287"/>
      <c r="AT285" s="287"/>
      <c r="AU285" s="290">
        <f>'Unit Savings Calculations'!Q281</f>
        <v>884</v>
      </c>
      <c r="AV285" s="287" t="str">
        <f t="shared" si="131"/>
        <v>n/a</v>
      </c>
      <c r="AW285" s="292">
        <f t="shared" si="145"/>
        <v>0</v>
      </c>
      <c r="AX285" s="289">
        <f t="shared" si="146"/>
        <v>0</v>
      </c>
      <c r="AY285" s="292">
        <f t="shared" si="132"/>
        <v>0</v>
      </c>
      <c r="AZ285" s="292">
        <f t="shared" si="133"/>
        <v>0</v>
      </c>
      <c r="BA285" s="292">
        <f t="shared" si="134"/>
        <v>0</v>
      </c>
      <c r="BB285" s="292">
        <f t="shared" si="135"/>
        <v>0</v>
      </c>
      <c r="BC285" s="294">
        <f t="shared" si="136"/>
        <v>0</v>
      </c>
      <c r="BD285" s="287" t="s">
        <v>764</v>
      </c>
      <c r="BE285" s="295" t="str">
        <f t="shared" si="137"/>
        <v>Exhibit 1.5B_R Peoples Gas EEPS_Adjustable_Savings_Goal_Template.xlsx, Unit Savings Calculations Tab</v>
      </c>
      <c r="BF285" s="297"/>
    </row>
    <row r="286" spans="1:58" ht="13.5" customHeight="1">
      <c r="A286" s="287" t="str">
        <f>'Unit Savings Calculations'!C282</f>
        <v>Bus - CI Rebates</v>
      </c>
      <c r="B286" s="287" t="str">
        <f>'Unit Savings Calculations'!D282</f>
        <v>Energy Star Fryer</v>
      </c>
      <c r="C286" s="288">
        <f t="shared" si="147"/>
        <v>1</v>
      </c>
      <c r="D286" s="287" t="str">
        <f>'Unit Savings Calculations'!T282</f>
        <v>4.2.7</v>
      </c>
      <c r="E286" s="287">
        <f>INDEX('Unit Savings Calculations'!$H$4:$H$421,MATCH('Measure-Level Adjustments Tab'!$A286&amp;"_"&amp;'Measure-Level Adjustments Tab'!$B286,'Unit Savings Calculations'!$A$4:$A$421,0))</f>
        <v>15</v>
      </c>
      <c r="F286" s="287">
        <f>INDEX('Unit Savings Calculations'!$I$4:$I$421,MATCH('Measure-Level Adjustments Tab'!A286&amp;"_"&amp;'Measure-Level Adjustments Tab'!B286,'Unit Savings Calculations'!$A$4:$A$421,0))</f>
        <v>12</v>
      </c>
      <c r="G286" s="287" t="str">
        <f>'Unit Savings Calculations'!E282</f>
        <v>each</v>
      </c>
      <c r="H286" s="289">
        <f>'Unit Savings Calculations'!$F282*'Unit Savings Calculations'!J282</f>
        <v>0</v>
      </c>
      <c r="I286" s="289">
        <f>'Unit Savings Calculations'!$F282*'Unit Savings Calculations'!K282</f>
        <v>0</v>
      </c>
      <c r="J286" s="289">
        <f>'Unit Savings Calculations'!$F282*'Unit Savings Calculations'!L282</f>
        <v>0</v>
      </c>
      <c r="K286" s="289">
        <f>'Unit Savings Calculations'!$F282*'Unit Savings Calculations'!M282</f>
        <v>0</v>
      </c>
      <c r="L286" s="287" t="str">
        <f>'Unit Savings Calculations'!U282</f>
        <v>CI-FSE-ESFR-V01-120601</v>
      </c>
      <c r="M286" s="363" t="s">
        <v>830</v>
      </c>
      <c r="N286" s="290">
        <v>505.37299714285717</v>
      </c>
      <c r="O286" s="290">
        <v>505.37299714285717</v>
      </c>
      <c r="P286" s="290">
        <v>505.37299714285717</v>
      </c>
      <c r="Q286" s="290">
        <v>505.37299714285717</v>
      </c>
      <c r="R286" s="291">
        <f>'Unit Savings Calculations'!$G282</f>
        <v>0.79</v>
      </c>
      <c r="S286" s="291">
        <f>'Unit Savings Calculations'!$G282</f>
        <v>0.79</v>
      </c>
      <c r="T286" s="291">
        <f>'Unit Savings Calculations'!$G282</f>
        <v>0.79</v>
      </c>
      <c r="U286" s="291">
        <f>'Unit Savings Calculations'!$G282</f>
        <v>0.79</v>
      </c>
      <c r="V286" s="292">
        <f t="shared" ref="V286:V349" si="148">H286*N286*R286</f>
        <v>0</v>
      </c>
      <c r="W286" s="292">
        <f t="shared" ref="W286:W349" si="149">I286*O286*S286</f>
        <v>0</v>
      </c>
      <c r="X286" s="292">
        <f t="shared" ref="X286:X349" si="150">J286*P286*T286</f>
        <v>0</v>
      </c>
      <c r="Y286" s="292">
        <f t="shared" ref="Y286:Y349" si="151">K286*Q286*U286</f>
        <v>0</v>
      </c>
      <c r="Z286" s="292">
        <f t="shared" ref="Z286:Z349" si="152">V286+W286+X286+Y286</f>
        <v>0</v>
      </c>
      <c r="AA286" s="287"/>
      <c r="AB286" s="287"/>
      <c r="AC286" s="293">
        <f>'Unit Savings Calculations'!N282</f>
        <v>505.37299714285717</v>
      </c>
      <c r="AD286" s="287"/>
      <c r="AE286" s="292">
        <f t="shared" si="138"/>
        <v>0</v>
      </c>
      <c r="AF286" s="289">
        <f t="shared" si="139"/>
        <v>0</v>
      </c>
      <c r="AG286" s="287"/>
      <c r="AH286" s="287">
        <f t="shared" si="140"/>
        <v>0</v>
      </c>
      <c r="AI286" s="290">
        <f>'Unit Savings Calculations'!O282</f>
        <v>505.37299714285717</v>
      </c>
      <c r="AJ286" s="287" t="s">
        <v>872</v>
      </c>
      <c r="AK286" s="292">
        <f t="shared" si="141"/>
        <v>0</v>
      </c>
      <c r="AL286" s="289">
        <f t="shared" si="142"/>
        <v>0</v>
      </c>
      <c r="AM286" s="287"/>
      <c r="AN286" s="287"/>
      <c r="AO286" s="290">
        <f>'Unit Savings Calculations'!P282</f>
        <v>505.37299714285717</v>
      </c>
      <c r="AP286" s="287" t="s">
        <v>764</v>
      </c>
      <c r="AQ286" s="292">
        <f t="shared" si="143"/>
        <v>0</v>
      </c>
      <c r="AR286" s="289">
        <f t="shared" si="144"/>
        <v>0</v>
      </c>
      <c r="AS286" s="287"/>
      <c r="AT286" s="287"/>
      <c r="AU286" s="290">
        <f>'Unit Savings Calculations'!Q282</f>
        <v>505.37299714285717</v>
      </c>
      <c r="AV286" s="287" t="str">
        <f t="shared" si="131"/>
        <v>n/a</v>
      </c>
      <c r="AW286" s="292">
        <f t="shared" si="145"/>
        <v>0</v>
      </c>
      <c r="AX286" s="289">
        <f t="shared" si="146"/>
        <v>0</v>
      </c>
      <c r="AY286" s="292">
        <f t="shared" si="132"/>
        <v>0</v>
      </c>
      <c r="AZ286" s="292">
        <f t="shared" si="133"/>
        <v>0</v>
      </c>
      <c r="BA286" s="292">
        <f t="shared" si="134"/>
        <v>0</v>
      </c>
      <c r="BB286" s="292">
        <f t="shared" si="135"/>
        <v>0</v>
      </c>
      <c r="BC286" s="294">
        <f t="shared" si="136"/>
        <v>0</v>
      </c>
      <c r="BD286" s="287" t="s">
        <v>764</v>
      </c>
      <c r="BE286" s="295" t="str">
        <f t="shared" si="137"/>
        <v>Exhibit 1.5B_R Peoples Gas EEPS_Adjustable_Savings_Goal_Template.xlsx, Unit Savings Calculations Tab</v>
      </c>
      <c r="BF286" s="297"/>
    </row>
    <row r="287" spans="1:58" ht="13.5" customHeight="1">
      <c r="A287" s="287" t="str">
        <f>'Unit Savings Calculations'!C283</f>
        <v>Bus - CI Rebates</v>
      </c>
      <c r="B287" s="287" t="str">
        <f>'Unit Savings Calculations'!D283</f>
        <v>Energy Star Steamer - 3 Pans</v>
      </c>
      <c r="C287" s="288">
        <f t="shared" si="147"/>
        <v>1</v>
      </c>
      <c r="D287" s="287" t="str">
        <f>'Unit Savings Calculations'!T283</f>
        <v>4.2.3</v>
      </c>
      <c r="E287" s="287">
        <f>INDEX('Unit Savings Calculations'!$H$4:$H$421,MATCH('Measure-Level Adjustments Tab'!$A287&amp;"_"&amp;'Measure-Level Adjustments Tab'!$B287,'Unit Savings Calculations'!$A$4:$A$421,0))</f>
        <v>12</v>
      </c>
      <c r="F287" s="287">
        <f>INDEX('Unit Savings Calculations'!$I$4:$I$421,MATCH('Measure-Level Adjustments Tab'!A287&amp;"_"&amp;'Measure-Level Adjustments Tab'!B287,'Unit Savings Calculations'!$A$4:$A$421,0))</f>
        <v>12</v>
      </c>
      <c r="G287" s="287" t="str">
        <f>'Unit Savings Calculations'!E283</f>
        <v>each</v>
      </c>
      <c r="H287" s="289">
        <f>'Unit Savings Calculations'!$F283*'Unit Savings Calculations'!J283</f>
        <v>0</v>
      </c>
      <c r="I287" s="289">
        <f>'Unit Savings Calculations'!$F283*'Unit Savings Calculations'!K283</f>
        <v>0</v>
      </c>
      <c r="J287" s="289">
        <f>'Unit Savings Calculations'!$F283*'Unit Savings Calculations'!L283</f>
        <v>0</v>
      </c>
      <c r="K287" s="289">
        <f>'Unit Savings Calculations'!$F283*'Unit Savings Calculations'!M283</f>
        <v>0</v>
      </c>
      <c r="L287" s="287" t="str">
        <f>'Unit Savings Calculations'!U283</f>
        <v>CI-FSE-STMC-V04-160601</v>
      </c>
      <c r="M287" s="363" t="s">
        <v>827</v>
      </c>
      <c r="N287" s="290">
        <v>752.01231086676478</v>
      </c>
      <c r="O287" s="290">
        <v>752.01231086676478</v>
      </c>
      <c r="P287" s="290">
        <v>752.01231086676478</v>
      </c>
      <c r="Q287" s="290">
        <v>752.01231086676478</v>
      </c>
      <c r="R287" s="291">
        <f>'Unit Savings Calculations'!$G283</f>
        <v>0.79</v>
      </c>
      <c r="S287" s="291">
        <f>'Unit Savings Calculations'!$G283</f>
        <v>0.79</v>
      </c>
      <c r="T287" s="291">
        <f>'Unit Savings Calculations'!$G283</f>
        <v>0.79</v>
      </c>
      <c r="U287" s="291">
        <f>'Unit Savings Calculations'!$G283</f>
        <v>0.79</v>
      </c>
      <c r="V287" s="292">
        <f t="shared" si="148"/>
        <v>0</v>
      </c>
      <c r="W287" s="292">
        <f t="shared" si="149"/>
        <v>0</v>
      </c>
      <c r="X287" s="292">
        <f t="shared" si="150"/>
        <v>0</v>
      </c>
      <c r="Y287" s="292">
        <f t="shared" si="151"/>
        <v>0</v>
      </c>
      <c r="Z287" s="292">
        <f t="shared" si="152"/>
        <v>0</v>
      </c>
      <c r="AA287" s="287"/>
      <c r="AB287" s="287"/>
      <c r="AC287" s="293">
        <f>'Unit Savings Calculations'!N283</f>
        <v>921.04270586676478</v>
      </c>
      <c r="AD287" s="287"/>
      <c r="AE287" s="292">
        <f t="shared" si="138"/>
        <v>0</v>
      </c>
      <c r="AF287" s="289">
        <f t="shared" si="139"/>
        <v>0</v>
      </c>
      <c r="AG287" s="287"/>
      <c r="AH287" s="287">
        <f t="shared" si="140"/>
        <v>0</v>
      </c>
      <c r="AI287" s="290">
        <f>'Unit Savings Calculations'!O283</f>
        <v>921.04270586676478</v>
      </c>
      <c r="AJ287" s="287" t="s">
        <v>872</v>
      </c>
      <c r="AK287" s="292">
        <f t="shared" si="141"/>
        <v>0</v>
      </c>
      <c r="AL287" s="289">
        <f t="shared" si="142"/>
        <v>0</v>
      </c>
      <c r="AM287" s="287"/>
      <c r="AN287" s="287"/>
      <c r="AO287" s="290">
        <f>'Unit Savings Calculations'!P283</f>
        <v>921.04270586676478</v>
      </c>
      <c r="AP287" s="287" t="s">
        <v>764</v>
      </c>
      <c r="AQ287" s="292">
        <f t="shared" si="143"/>
        <v>0</v>
      </c>
      <c r="AR287" s="289">
        <f t="shared" si="144"/>
        <v>0</v>
      </c>
      <c r="AS287" s="287"/>
      <c r="AT287" s="287"/>
      <c r="AU287" s="290">
        <f>'Unit Savings Calculations'!Q283</f>
        <v>921.04270586676478</v>
      </c>
      <c r="AV287" s="287" t="str">
        <f t="shared" si="131"/>
        <v>n/a</v>
      </c>
      <c r="AW287" s="292">
        <f t="shared" si="145"/>
        <v>0</v>
      </c>
      <c r="AX287" s="289">
        <f t="shared" si="146"/>
        <v>0</v>
      </c>
      <c r="AY287" s="292">
        <f t="shared" si="132"/>
        <v>0</v>
      </c>
      <c r="AZ287" s="292">
        <f t="shared" si="133"/>
        <v>0</v>
      </c>
      <c r="BA287" s="292">
        <f t="shared" si="134"/>
        <v>0</v>
      </c>
      <c r="BB287" s="292">
        <f t="shared" si="135"/>
        <v>0</v>
      </c>
      <c r="BC287" s="294">
        <f t="shared" si="136"/>
        <v>0</v>
      </c>
      <c r="BD287" s="287" t="s">
        <v>764</v>
      </c>
      <c r="BE287" s="295" t="str">
        <f t="shared" si="137"/>
        <v>Exhibit 1.5B_R Peoples Gas EEPS_Adjustable_Savings_Goal_Template.xlsx, Food Equipment Tab</v>
      </c>
      <c r="BF287" s="297"/>
    </row>
    <row r="288" spans="1:58" ht="13.5" customHeight="1">
      <c r="A288" s="287" t="str">
        <f>'Unit Savings Calculations'!C284</f>
        <v>Bus - CI Rebates</v>
      </c>
      <c r="B288" s="287" t="str">
        <f>'Unit Savings Calculations'!D284</f>
        <v>Energy Star Steamer - 4 Pans</v>
      </c>
      <c r="C288" s="288">
        <f t="shared" si="147"/>
        <v>1</v>
      </c>
      <c r="D288" s="287" t="str">
        <f>'Unit Savings Calculations'!T284</f>
        <v>4.2.3</v>
      </c>
      <c r="E288" s="287">
        <f>INDEX('Unit Savings Calculations'!$H$4:$H$421,MATCH('Measure-Level Adjustments Tab'!$A288&amp;"_"&amp;'Measure-Level Adjustments Tab'!$B288,'Unit Savings Calculations'!$A$4:$A$421,0))</f>
        <v>12</v>
      </c>
      <c r="F288" s="287">
        <f>INDEX('Unit Savings Calculations'!$I$4:$I$421,MATCH('Measure-Level Adjustments Tab'!A288&amp;"_"&amp;'Measure-Level Adjustments Tab'!B288,'Unit Savings Calculations'!$A$4:$A$421,0))</f>
        <v>12</v>
      </c>
      <c r="G288" s="287" t="str">
        <f>'Unit Savings Calculations'!E284</f>
        <v>each</v>
      </c>
      <c r="H288" s="289">
        <f>'Unit Savings Calculations'!$F284*'Unit Savings Calculations'!J284</f>
        <v>15</v>
      </c>
      <c r="I288" s="289">
        <f>'Unit Savings Calculations'!$F284*'Unit Savings Calculations'!K284</f>
        <v>15</v>
      </c>
      <c r="J288" s="289">
        <f>'Unit Savings Calculations'!$F284*'Unit Savings Calculations'!L284</f>
        <v>15</v>
      </c>
      <c r="K288" s="289">
        <f>'Unit Savings Calculations'!$F284*'Unit Savings Calculations'!M284</f>
        <v>15</v>
      </c>
      <c r="L288" s="287" t="str">
        <f>'Unit Savings Calculations'!U284</f>
        <v>CI-FSE-STMC-V04-160601</v>
      </c>
      <c r="M288" s="363" t="s">
        <v>827</v>
      </c>
      <c r="N288" s="290">
        <v>1007.2641787965732</v>
      </c>
      <c r="O288" s="290">
        <v>1007.2641787965732</v>
      </c>
      <c r="P288" s="290">
        <v>1007.2641787965732</v>
      </c>
      <c r="Q288" s="290">
        <v>1007.2641787965732</v>
      </c>
      <c r="R288" s="291">
        <f>'Unit Savings Calculations'!$G284</f>
        <v>0.79</v>
      </c>
      <c r="S288" s="291">
        <f>'Unit Savings Calculations'!$G284</f>
        <v>0.79</v>
      </c>
      <c r="T288" s="291">
        <f>'Unit Savings Calculations'!$G284</f>
        <v>0.79</v>
      </c>
      <c r="U288" s="291">
        <f>'Unit Savings Calculations'!$G284</f>
        <v>0.79</v>
      </c>
      <c r="V288" s="292">
        <f t="shared" si="148"/>
        <v>11936.080518739393</v>
      </c>
      <c r="W288" s="292">
        <f t="shared" si="149"/>
        <v>11936.080518739393</v>
      </c>
      <c r="X288" s="292">
        <f t="shared" si="150"/>
        <v>11936.080518739393</v>
      </c>
      <c r="Y288" s="292">
        <f t="shared" si="151"/>
        <v>11936.080518739393</v>
      </c>
      <c r="Z288" s="292">
        <f t="shared" si="152"/>
        <v>47744.32207495757</v>
      </c>
      <c r="AA288" s="287"/>
      <c r="AB288" s="287"/>
      <c r="AC288" s="293">
        <f>'Unit Savings Calculations'!N284</f>
        <v>1176.2945737965733</v>
      </c>
      <c r="AD288" s="287"/>
      <c r="AE288" s="292">
        <f t="shared" si="138"/>
        <v>13939.090699489394</v>
      </c>
      <c r="AF288" s="289">
        <f t="shared" si="139"/>
        <v>2003.0101807500014</v>
      </c>
      <c r="AG288" s="287"/>
      <c r="AH288" s="287">
        <f t="shared" si="140"/>
        <v>0</v>
      </c>
      <c r="AI288" s="290">
        <f>'Unit Savings Calculations'!O284</f>
        <v>1176.2945737965733</v>
      </c>
      <c r="AJ288" s="287" t="s">
        <v>872</v>
      </c>
      <c r="AK288" s="292">
        <f t="shared" si="141"/>
        <v>13939.090699489394</v>
      </c>
      <c r="AL288" s="289">
        <f t="shared" si="142"/>
        <v>2003.0101807500014</v>
      </c>
      <c r="AM288" s="287"/>
      <c r="AN288" s="287"/>
      <c r="AO288" s="290">
        <f>'Unit Savings Calculations'!P284</f>
        <v>1176.2945737965733</v>
      </c>
      <c r="AP288" s="287" t="s">
        <v>764</v>
      </c>
      <c r="AQ288" s="292">
        <f t="shared" si="143"/>
        <v>13939.090699489394</v>
      </c>
      <c r="AR288" s="289">
        <f t="shared" si="144"/>
        <v>2003.0101807500014</v>
      </c>
      <c r="AS288" s="287"/>
      <c r="AT288" s="287"/>
      <c r="AU288" s="290">
        <f>'Unit Savings Calculations'!Q284</f>
        <v>1176.2945737965733</v>
      </c>
      <c r="AV288" s="287" t="str">
        <f t="shared" si="131"/>
        <v>n/a</v>
      </c>
      <c r="AW288" s="292">
        <f t="shared" si="145"/>
        <v>13939.090699489394</v>
      </c>
      <c r="AX288" s="289">
        <f t="shared" si="146"/>
        <v>2003.0101807500014</v>
      </c>
      <c r="AY288" s="292">
        <f t="shared" si="132"/>
        <v>13939.090699489394</v>
      </c>
      <c r="AZ288" s="292">
        <f t="shared" si="133"/>
        <v>13939.090699489394</v>
      </c>
      <c r="BA288" s="292">
        <f t="shared" si="134"/>
        <v>13939.090699489394</v>
      </c>
      <c r="BB288" s="292">
        <f t="shared" si="135"/>
        <v>13939.090699489394</v>
      </c>
      <c r="BC288" s="294">
        <f t="shared" si="136"/>
        <v>55756.362797957576</v>
      </c>
      <c r="BD288" s="287" t="s">
        <v>764</v>
      </c>
      <c r="BE288" s="295" t="str">
        <f t="shared" si="137"/>
        <v>Exhibit 1.5B_R Peoples Gas EEPS_Adjustable_Savings_Goal_Template.xlsx, Food Equipment Tab</v>
      </c>
      <c r="BF288" s="297"/>
    </row>
    <row r="289" spans="1:58" ht="13.5" customHeight="1">
      <c r="A289" s="287" t="str">
        <f>'Unit Savings Calculations'!C285</f>
        <v>Bus - CI Rebates</v>
      </c>
      <c r="B289" s="287" t="str">
        <f>'Unit Savings Calculations'!D285</f>
        <v>Energy Star Steamer - 5 Pans</v>
      </c>
      <c r="C289" s="288">
        <f t="shared" si="147"/>
        <v>1</v>
      </c>
      <c r="D289" s="287" t="str">
        <f>'Unit Savings Calculations'!T285</f>
        <v>4.2.3</v>
      </c>
      <c r="E289" s="287">
        <f>INDEX('Unit Savings Calculations'!$H$4:$H$421,MATCH('Measure-Level Adjustments Tab'!$A289&amp;"_"&amp;'Measure-Level Adjustments Tab'!$B289,'Unit Savings Calculations'!$A$4:$A$421,0))</f>
        <v>12</v>
      </c>
      <c r="F289" s="287">
        <f>INDEX('Unit Savings Calculations'!$I$4:$I$421,MATCH('Measure-Level Adjustments Tab'!A289&amp;"_"&amp;'Measure-Level Adjustments Tab'!B289,'Unit Savings Calculations'!$A$4:$A$421,0))</f>
        <v>12</v>
      </c>
      <c r="G289" s="287" t="str">
        <f>'Unit Savings Calculations'!E285</f>
        <v>each</v>
      </c>
      <c r="H289" s="289">
        <f>'Unit Savings Calculations'!$F285*'Unit Savings Calculations'!J285</f>
        <v>0</v>
      </c>
      <c r="I289" s="289">
        <f>'Unit Savings Calculations'!$F285*'Unit Savings Calculations'!K285</f>
        <v>0</v>
      </c>
      <c r="J289" s="289">
        <f>'Unit Savings Calculations'!$F285*'Unit Savings Calculations'!L285</f>
        <v>0</v>
      </c>
      <c r="K289" s="289">
        <f>'Unit Savings Calculations'!$F285*'Unit Savings Calculations'!M285</f>
        <v>0</v>
      </c>
      <c r="L289" s="287" t="str">
        <f>'Unit Savings Calculations'!U285</f>
        <v>CI-FSE-STMC-V04-160601</v>
      </c>
      <c r="M289" s="363" t="s">
        <v>827</v>
      </c>
      <c r="N289" s="290">
        <v>1248.6709419898457</v>
      </c>
      <c r="O289" s="290">
        <v>1248.6709419898457</v>
      </c>
      <c r="P289" s="290">
        <v>1248.6709419898457</v>
      </c>
      <c r="Q289" s="290">
        <v>1248.6709419898457</v>
      </c>
      <c r="R289" s="291">
        <f>'Unit Savings Calculations'!$G285</f>
        <v>0.79</v>
      </c>
      <c r="S289" s="291">
        <f>'Unit Savings Calculations'!$G285</f>
        <v>0.79</v>
      </c>
      <c r="T289" s="291">
        <f>'Unit Savings Calculations'!$G285</f>
        <v>0.79</v>
      </c>
      <c r="U289" s="291">
        <f>'Unit Savings Calculations'!$G285</f>
        <v>0.79</v>
      </c>
      <c r="V289" s="292">
        <f t="shared" si="148"/>
        <v>0</v>
      </c>
      <c r="W289" s="292">
        <f t="shared" si="149"/>
        <v>0</v>
      </c>
      <c r="X289" s="292">
        <f t="shared" si="150"/>
        <v>0</v>
      </c>
      <c r="Y289" s="292">
        <f t="shared" si="151"/>
        <v>0</v>
      </c>
      <c r="Z289" s="292">
        <f t="shared" si="152"/>
        <v>0</v>
      </c>
      <c r="AA289" s="287"/>
      <c r="AB289" s="287"/>
      <c r="AC289" s="293">
        <f>'Unit Savings Calculations'!N285</f>
        <v>1417.7013369898457</v>
      </c>
      <c r="AD289" s="287"/>
      <c r="AE289" s="292">
        <f t="shared" si="138"/>
        <v>0</v>
      </c>
      <c r="AF289" s="289">
        <f t="shared" si="139"/>
        <v>0</v>
      </c>
      <c r="AG289" s="287"/>
      <c r="AH289" s="287">
        <f t="shared" si="140"/>
        <v>0</v>
      </c>
      <c r="AI289" s="290">
        <f>'Unit Savings Calculations'!O285</f>
        <v>1417.7013369898457</v>
      </c>
      <c r="AJ289" s="287" t="s">
        <v>872</v>
      </c>
      <c r="AK289" s="292">
        <f t="shared" si="141"/>
        <v>0</v>
      </c>
      <c r="AL289" s="289">
        <f t="shared" si="142"/>
        <v>0</v>
      </c>
      <c r="AM289" s="287"/>
      <c r="AN289" s="287"/>
      <c r="AO289" s="290">
        <f>'Unit Savings Calculations'!P285</f>
        <v>1417.7013369898457</v>
      </c>
      <c r="AP289" s="287" t="s">
        <v>764</v>
      </c>
      <c r="AQ289" s="292">
        <f t="shared" si="143"/>
        <v>0</v>
      </c>
      <c r="AR289" s="289">
        <f t="shared" si="144"/>
        <v>0</v>
      </c>
      <c r="AS289" s="287"/>
      <c r="AT289" s="287"/>
      <c r="AU289" s="290">
        <f>'Unit Savings Calculations'!Q285</f>
        <v>1417.7013369898457</v>
      </c>
      <c r="AV289" s="287" t="str">
        <f t="shared" si="131"/>
        <v>n/a</v>
      </c>
      <c r="AW289" s="292">
        <f t="shared" si="145"/>
        <v>0</v>
      </c>
      <c r="AX289" s="289">
        <f t="shared" si="146"/>
        <v>0</v>
      </c>
      <c r="AY289" s="292">
        <f t="shared" si="132"/>
        <v>0</v>
      </c>
      <c r="AZ289" s="292">
        <f t="shared" si="133"/>
        <v>0</v>
      </c>
      <c r="BA289" s="292">
        <f t="shared" si="134"/>
        <v>0</v>
      </c>
      <c r="BB289" s="292">
        <f t="shared" si="135"/>
        <v>0</v>
      </c>
      <c r="BC289" s="294">
        <f t="shared" si="136"/>
        <v>0</v>
      </c>
      <c r="BD289" s="287" t="s">
        <v>764</v>
      </c>
      <c r="BE289" s="295" t="str">
        <f t="shared" si="137"/>
        <v>Exhibit 1.5B_R Peoples Gas EEPS_Adjustable_Savings_Goal_Template.xlsx, Food Equipment Tab</v>
      </c>
      <c r="BF289" s="297"/>
    </row>
    <row r="290" spans="1:58" ht="13.5" customHeight="1">
      <c r="A290" s="287" t="str">
        <f>'Unit Savings Calculations'!C286</f>
        <v>Bus - CI Rebates</v>
      </c>
      <c r="B290" s="287" t="str">
        <f>'Unit Savings Calculations'!D286</f>
        <v>Energy Star Steamer - 6 Pans</v>
      </c>
      <c r="C290" s="288">
        <f t="shared" si="147"/>
        <v>1</v>
      </c>
      <c r="D290" s="287" t="str">
        <f>'Unit Savings Calculations'!T286</f>
        <v>4.2.3</v>
      </c>
      <c r="E290" s="287">
        <f>INDEX('Unit Savings Calculations'!$H$4:$H$421,MATCH('Measure-Level Adjustments Tab'!$A290&amp;"_"&amp;'Measure-Level Adjustments Tab'!$B290,'Unit Savings Calculations'!$A$4:$A$421,0))</f>
        <v>12</v>
      </c>
      <c r="F290" s="287">
        <f>INDEX('Unit Savings Calculations'!$I$4:$I$421,MATCH('Measure-Level Adjustments Tab'!A290&amp;"_"&amp;'Measure-Level Adjustments Tab'!B290,'Unit Savings Calculations'!$A$4:$A$421,0))</f>
        <v>12</v>
      </c>
      <c r="G290" s="287" t="str">
        <f>'Unit Savings Calculations'!E286</f>
        <v>each</v>
      </c>
      <c r="H290" s="289">
        <f>'Unit Savings Calculations'!$F286*'Unit Savings Calculations'!J286</f>
        <v>0</v>
      </c>
      <c r="I290" s="289">
        <f>'Unit Savings Calculations'!$F286*'Unit Savings Calculations'!K286</f>
        <v>0</v>
      </c>
      <c r="J290" s="289">
        <f>'Unit Savings Calculations'!$F286*'Unit Savings Calculations'!L286</f>
        <v>0</v>
      </c>
      <c r="K290" s="289">
        <f>'Unit Savings Calculations'!$F286*'Unit Savings Calculations'!M286</f>
        <v>0</v>
      </c>
      <c r="L290" s="287" t="str">
        <f>'Unit Savings Calculations'!U286</f>
        <v>CI-FSE-STMC-V04-160601</v>
      </c>
      <c r="M290" s="363" t="s">
        <v>827</v>
      </c>
      <c r="N290" s="290">
        <v>1503.8794358667649</v>
      </c>
      <c r="O290" s="290">
        <v>1503.8794358667649</v>
      </c>
      <c r="P290" s="290">
        <v>1503.8794358667649</v>
      </c>
      <c r="Q290" s="290">
        <v>1503.8794358667649</v>
      </c>
      <c r="R290" s="291">
        <f>'Unit Savings Calculations'!$G286</f>
        <v>0.79</v>
      </c>
      <c r="S290" s="291">
        <f>'Unit Savings Calculations'!$G286</f>
        <v>0.79</v>
      </c>
      <c r="T290" s="291">
        <f>'Unit Savings Calculations'!$G286</f>
        <v>0.79</v>
      </c>
      <c r="U290" s="291">
        <f>'Unit Savings Calculations'!$G286</f>
        <v>0.79</v>
      </c>
      <c r="V290" s="292">
        <f t="shared" si="148"/>
        <v>0</v>
      </c>
      <c r="W290" s="292">
        <f t="shared" si="149"/>
        <v>0</v>
      </c>
      <c r="X290" s="292">
        <f t="shared" si="150"/>
        <v>0</v>
      </c>
      <c r="Y290" s="292">
        <f t="shared" si="151"/>
        <v>0</v>
      </c>
      <c r="Z290" s="292">
        <f t="shared" si="152"/>
        <v>0</v>
      </c>
      <c r="AA290" s="287"/>
      <c r="AB290" s="287"/>
      <c r="AC290" s="293">
        <f>'Unit Savings Calculations'!N286</f>
        <v>1672.9098308667649</v>
      </c>
      <c r="AD290" s="287"/>
      <c r="AE290" s="292">
        <f t="shared" si="138"/>
        <v>0</v>
      </c>
      <c r="AF290" s="289">
        <f t="shared" si="139"/>
        <v>0</v>
      </c>
      <c r="AG290" s="287"/>
      <c r="AH290" s="287">
        <f t="shared" si="140"/>
        <v>0</v>
      </c>
      <c r="AI290" s="290">
        <f>'Unit Savings Calculations'!O286</f>
        <v>1672.9098308667649</v>
      </c>
      <c r="AJ290" s="287" t="s">
        <v>872</v>
      </c>
      <c r="AK290" s="292">
        <f t="shared" si="141"/>
        <v>0</v>
      </c>
      <c r="AL290" s="289">
        <f t="shared" si="142"/>
        <v>0</v>
      </c>
      <c r="AM290" s="287"/>
      <c r="AN290" s="287"/>
      <c r="AO290" s="290">
        <f>'Unit Savings Calculations'!P286</f>
        <v>1672.9098308667649</v>
      </c>
      <c r="AP290" s="287" t="s">
        <v>764</v>
      </c>
      <c r="AQ290" s="292">
        <f t="shared" si="143"/>
        <v>0</v>
      </c>
      <c r="AR290" s="289">
        <f t="shared" si="144"/>
        <v>0</v>
      </c>
      <c r="AS290" s="287"/>
      <c r="AT290" s="287"/>
      <c r="AU290" s="290">
        <f>'Unit Savings Calculations'!Q286</f>
        <v>1672.9098308667649</v>
      </c>
      <c r="AV290" s="287" t="str">
        <f t="shared" si="131"/>
        <v>n/a</v>
      </c>
      <c r="AW290" s="292">
        <f t="shared" si="145"/>
        <v>0</v>
      </c>
      <c r="AX290" s="289">
        <f t="shared" si="146"/>
        <v>0</v>
      </c>
      <c r="AY290" s="292">
        <f t="shared" si="132"/>
        <v>0</v>
      </c>
      <c r="AZ290" s="292">
        <f t="shared" si="133"/>
        <v>0</v>
      </c>
      <c r="BA290" s="292">
        <f t="shared" si="134"/>
        <v>0</v>
      </c>
      <c r="BB290" s="292">
        <f t="shared" si="135"/>
        <v>0</v>
      </c>
      <c r="BC290" s="294">
        <f t="shared" si="136"/>
        <v>0</v>
      </c>
      <c r="BD290" s="287" t="s">
        <v>764</v>
      </c>
      <c r="BE290" s="295" t="str">
        <f t="shared" si="137"/>
        <v>Exhibit 1.5B_R Peoples Gas EEPS_Adjustable_Savings_Goal_Template.xlsx, Food Equipment Tab</v>
      </c>
      <c r="BF290" s="297"/>
    </row>
    <row r="291" spans="1:58" ht="13.5" customHeight="1">
      <c r="A291" s="287" t="str">
        <f>'Unit Savings Calculations'!C287</f>
        <v>Bus - CI Rebates</v>
      </c>
      <c r="B291" s="287" t="str">
        <f>'Unit Savings Calculations'!D287</f>
        <v>Heat Recovery Grease Trap Filter</v>
      </c>
      <c r="C291" s="288">
        <f t="shared" si="147"/>
        <v>1</v>
      </c>
      <c r="D291" s="287" t="str">
        <f>'Unit Savings Calculations'!T287</f>
        <v>4.3.9</v>
      </c>
      <c r="E291" s="287">
        <f>INDEX('Unit Savings Calculations'!$H$4:$H$421,MATCH('Measure-Level Adjustments Tab'!$A291&amp;"_"&amp;'Measure-Level Adjustments Tab'!$B291,'Unit Savings Calculations'!$A$4:$A$421,0))</f>
        <v>15</v>
      </c>
      <c r="F291" s="287">
        <f>INDEX('Unit Savings Calculations'!$I$4:$I$421,MATCH('Measure-Level Adjustments Tab'!A291&amp;"_"&amp;'Measure-Level Adjustments Tab'!B291,'Unit Savings Calculations'!$A$4:$A$421,0))</f>
        <v>15</v>
      </c>
      <c r="G291" s="287" t="str">
        <f>'Unit Savings Calculations'!E287</f>
        <v>each</v>
      </c>
      <c r="H291" s="289">
        <f>'Unit Savings Calculations'!$F287*'Unit Savings Calculations'!J287</f>
        <v>4</v>
      </c>
      <c r="I291" s="289">
        <f>'Unit Savings Calculations'!$F287*'Unit Savings Calculations'!K287</f>
        <v>4</v>
      </c>
      <c r="J291" s="289">
        <f>'Unit Savings Calculations'!$F287*'Unit Savings Calculations'!L287</f>
        <v>4</v>
      </c>
      <c r="K291" s="289">
        <f>'Unit Savings Calculations'!$F287*'Unit Savings Calculations'!M287</f>
        <v>4</v>
      </c>
      <c r="L291" s="287" t="str">
        <f>'Unit Savings Calculations'!U287</f>
        <v>CI-HW-GRTF-V01-160601</v>
      </c>
      <c r="M291" s="363" t="s">
        <v>830</v>
      </c>
      <c r="N291" s="290">
        <v>1757.3025600000001</v>
      </c>
      <c r="O291" s="290">
        <v>1757.3025600000001</v>
      </c>
      <c r="P291" s="290">
        <v>1757.3025600000001</v>
      </c>
      <c r="Q291" s="290">
        <v>1757.3025600000001</v>
      </c>
      <c r="R291" s="291">
        <f>'Unit Savings Calculations'!$G287</f>
        <v>0.79</v>
      </c>
      <c r="S291" s="291">
        <f>'Unit Savings Calculations'!$G287</f>
        <v>0.79</v>
      </c>
      <c r="T291" s="291">
        <f>'Unit Savings Calculations'!$G287</f>
        <v>0.79</v>
      </c>
      <c r="U291" s="291">
        <f>'Unit Savings Calculations'!$G287</f>
        <v>0.79</v>
      </c>
      <c r="V291" s="292">
        <f t="shared" si="148"/>
        <v>5553.0760896000002</v>
      </c>
      <c r="W291" s="292">
        <f t="shared" si="149"/>
        <v>5553.0760896000002</v>
      </c>
      <c r="X291" s="292">
        <f t="shared" si="150"/>
        <v>5553.0760896000002</v>
      </c>
      <c r="Y291" s="292">
        <f t="shared" si="151"/>
        <v>5553.0760896000002</v>
      </c>
      <c r="Z291" s="292">
        <f t="shared" si="152"/>
        <v>22212.304358400001</v>
      </c>
      <c r="AA291" s="287"/>
      <c r="AB291" s="287"/>
      <c r="AC291" s="293">
        <f>'Unit Savings Calculations'!N287</f>
        <v>1757.3025600000001</v>
      </c>
      <c r="AD291" s="287"/>
      <c r="AE291" s="292">
        <f t="shared" si="138"/>
        <v>5553.0760896000002</v>
      </c>
      <c r="AF291" s="289">
        <f t="shared" si="139"/>
        <v>0</v>
      </c>
      <c r="AG291" s="287"/>
      <c r="AH291" s="287">
        <f t="shared" si="140"/>
        <v>0</v>
      </c>
      <c r="AI291" s="290">
        <f>'Unit Savings Calculations'!O287</f>
        <v>1757.3025600000001</v>
      </c>
      <c r="AJ291" s="287" t="s">
        <v>872</v>
      </c>
      <c r="AK291" s="292">
        <f t="shared" si="141"/>
        <v>5553.0760896000002</v>
      </c>
      <c r="AL291" s="289">
        <f t="shared" si="142"/>
        <v>0</v>
      </c>
      <c r="AM291" s="287"/>
      <c r="AN291" s="287"/>
      <c r="AO291" s="290">
        <f>'Unit Savings Calculations'!P287</f>
        <v>1757.3025600000001</v>
      </c>
      <c r="AP291" s="287" t="s">
        <v>764</v>
      </c>
      <c r="AQ291" s="292">
        <f t="shared" si="143"/>
        <v>5553.0760896000002</v>
      </c>
      <c r="AR291" s="289">
        <f t="shared" si="144"/>
        <v>0</v>
      </c>
      <c r="AS291" s="287"/>
      <c r="AT291" s="287"/>
      <c r="AU291" s="290">
        <f>'Unit Savings Calculations'!Q287</f>
        <v>1757.3025600000001</v>
      </c>
      <c r="AV291" s="287" t="str">
        <f t="shared" si="131"/>
        <v>n/a</v>
      </c>
      <c r="AW291" s="292">
        <f t="shared" si="145"/>
        <v>5553.0760896000002</v>
      </c>
      <c r="AX291" s="289">
        <f t="shared" si="146"/>
        <v>0</v>
      </c>
      <c r="AY291" s="292">
        <f t="shared" si="132"/>
        <v>5553.0760896000002</v>
      </c>
      <c r="AZ291" s="292">
        <f t="shared" si="133"/>
        <v>5553.0760896000002</v>
      </c>
      <c r="BA291" s="292">
        <f t="shared" si="134"/>
        <v>5553.0760896000002</v>
      </c>
      <c r="BB291" s="292">
        <f t="shared" si="135"/>
        <v>5553.0760896000002</v>
      </c>
      <c r="BC291" s="294">
        <f t="shared" si="136"/>
        <v>22212.304358400001</v>
      </c>
      <c r="BD291" s="287" t="s">
        <v>764</v>
      </c>
      <c r="BE291" s="295" t="str">
        <f t="shared" si="137"/>
        <v>Exhibit 1.5B_R Peoples Gas EEPS_Adjustable_Savings_Goal_Template.xlsx, Unit Savings Calculations Tab</v>
      </c>
      <c r="BF291" s="297"/>
    </row>
    <row r="292" spans="1:58" ht="13.5" customHeight="1">
      <c r="A292" s="287" t="str">
        <f>'Unit Savings Calculations'!C288</f>
        <v>Bus - CI Rebates</v>
      </c>
      <c r="B292" s="287" t="str">
        <f>'Unit Savings Calculations'!D288</f>
        <v>Infrared Charbroiler</v>
      </c>
      <c r="C292" s="288">
        <f t="shared" si="147"/>
        <v>1</v>
      </c>
      <c r="D292" s="287" t="str">
        <f>'Unit Savings Calculations'!T288</f>
        <v>4.2.12</v>
      </c>
      <c r="E292" s="287">
        <f>INDEX('Unit Savings Calculations'!$H$4:$H$421,MATCH('Measure-Level Adjustments Tab'!$A292&amp;"_"&amp;'Measure-Level Adjustments Tab'!$B292,'Unit Savings Calculations'!$A$4:$A$421,0))</f>
        <v>12</v>
      </c>
      <c r="F292" s="287">
        <f>INDEX('Unit Savings Calculations'!$I$4:$I$421,MATCH('Measure-Level Adjustments Tab'!A292&amp;"_"&amp;'Measure-Level Adjustments Tab'!B292,'Unit Savings Calculations'!$A$4:$A$421,0))</f>
        <v>12</v>
      </c>
      <c r="G292" s="287" t="str">
        <f>'Unit Savings Calculations'!E288</f>
        <v>each</v>
      </c>
      <c r="H292" s="289">
        <f>'Unit Savings Calculations'!$F288*'Unit Savings Calculations'!J288</f>
        <v>2</v>
      </c>
      <c r="I292" s="289">
        <f>'Unit Savings Calculations'!$F288*'Unit Savings Calculations'!K288</f>
        <v>2</v>
      </c>
      <c r="J292" s="289">
        <f>'Unit Savings Calculations'!$F288*'Unit Savings Calculations'!L288</f>
        <v>2</v>
      </c>
      <c r="K292" s="289">
        <f>'Unit Savings Calculations'!$F288*'Unit Savings Calculations'!M288</f>
        <v>2</v>
      </c>
      <c r="L292" s="287" t="str">
        <f>'Unit Savings Calculations'!U288</f>
        <v>CI-FSE-IRCB-V02-180101</v>
      </c>
      <c r="M292" s="363" t="s">
        <v>830</v>
      </c>
      <c r="N292" s="290">
        <v>706.68</v>
      </c>
      <c r="O292" s="290">
        <v>706.68</v>
      </c>
      <c r="P292" s="290">
        <v>706.68</v>
      </c>
      <c r="Q292" s="290">
        <v>706.68</v>
      </c>
      <c r="R292" s="291">
        <f>'Unit Savings Calculations'!$G288</f>
        <v>0.79</v>
      </c>
      <c r="S292" s="291">
        <f>'Unit Savings Calculations'!$G288</f>
        <v>0.79</v>
      </c>
      <c r="T292" s="291">
        <f>'Unit Savings Calculations'!$G288</f>
        <v>0.79</v>
      </c>
      <c r="U292" s="291">
        <f>'Unit Savings Calculations'!$G288</f>
        <v>0.79</v>
      </c>
      <c r="V292" s="292">
        <f t="shared" si="148"/>
        <v>1116.5544</v>
      </c>
      <c r="W292" s="292">
        <f t="shared" si="149"/>
        <v>1116.5544</v>
      </c>
      <c r="X292" s="292">
        <f t="shared" si="150"/>
        <v>1116.5544</v>
      </c>
      <c r="Y292" s="292">
        <f t="shared" si="151"/>
        <v>1116.5544</v>
      </c>
      <c r="Z292" s="292">
        <f t="shared" si="152"/>
        <v>4466.2175999999999</v>
      </c>
      <c r="AA292" s="287"/>
      <c r="AB292" s="287"/>
      <c r="AC292" s="293">
        <f>'Unit Savings Calculations'!N288</f>
        <v>706.68</v>
      </c>
      <c r="AD292" s="287"/>
      <c r="AE292" s="292">
        <f t="shared" si="138"/>
        <v>1116.5544</v>
      </c>
      <c r="AF292" s="289">
        <f t="shared" si="139"/>
        <v>0</v>
      </c>
      <c r="AG292" s="287"/>
      <c r="AH292" s="287">
        <f t="shared" si="140"/>
        <v>0</v>
      </c>
      <c r="AI292" s="290">
        <f>'Unit Savings Calculations'!O288</f>
        <v>706.68</v>
      </c>
      <c r="AJ292" s="287" t="s">
        <v>872</v>
      </c>
      <c r="AK292" s="292">
        <f t="shared" si="141"/>
        <v>1116.5544</v>
      </c>
      <c r="AL292" s="289">
        <f t="shared" si="142"/>
        <v>0</v>
      </c>
      <c r="AM292" s="287"/>
      <c r="AN292" s="287"/>
      <c r="AO292" s="290">
        <f>'Unit Savings Calculations'!P288</f>
        <v>706.68</v>
      </c>
      <c r="AP292" s="287" t="s">
        <v>764</v>
      </c>
      <c r="AQ292" s="292">
        <f t="shared" si="143"/>
        <v>1116.5544</v>
      </c>
      <c r="AR292" s="289">
        <f t="shared" si="144"/>
        <v>0</v>
      </c>
      <c r="AS292" s="287"/>
      <c r="AT292" s="287"/>
      <c r="AU292" s="290">
        <f>'Unit Savings Calculations'!Q288</f>
        <v>706.68</v>
      </c>
      <c r="AV292" s="287" t="str">
        <f t="shared" si="131"/>
        <v>n/a</v>
      </c>
      <c r="AW292" s="292">
        <f t="shared" si="145"/>
        <v>1116.5544</v>
      </c>
      <c r="AX292" s="289">
        <f t="shared" si="146"/>
        <v>0</v>
      </c>
      <c r="AY292" s="292">
        <f t="shared" si="132"/>
        <v>1116.5544</v>
      </c>
      <c r="AZ292" s="292">
        <f t="shared" si="133"/>
        <v>1116.5544</v>
      </c>
      <c r="BA292" s="292">
        <f t="shared" si="134"/>
        <v>1116.5544</v>
      </c>
      <c r="BB292" s="292">
        <f t="shared" si="135"/>
        <v>1116.5544</v>
      </c>
      <c r="BC292" s="294">
        <f t="shared" si="136"/>
        <v>4466.2175999999999</v>
      </c>
      <c r="BD292" s="287" t="s">
        <v>764</v>
      </c>
      <c r="BE292" s="295" t="str">
        <f t="shared" si="137"/>
        <v>Exhibit 1.5B_R Peoples Gas EEPS_Adjustable_Savings_Goal_Template.xlsx, Unit Savings Calculations Tab</v>
      </c>
      <c r="BF292" s="297"/>
    </row>
    <row r="293" spans="1:58" ht="13.5" customHeight="1">
      <c r="A293" s="287" t="str">
        <f>'Unit Savings Calculations'!C289</f>
        <v>Bus - CI Rebates</v>
      </c>
      <c r="B293" s="287" t="str">
        <f>'Unit Savings Calculations'!D289</f>
        <v>Infrared Rotisserie Oven</v>
      </c>
      <c r="C293" s="288">
        <f t="shared" si="147"/>
        <v>1</v>
      </c>
      <c r="D293" s="287" t="str">
        <f>'Unit Savings Calculations'!T289</f>
        <v>4.2.13</v>
      </c>
      <c r="E293" s="287">
        <f>INDEX('Unit Savings Calculations'!$H$4:$H$421,MATCH('Measure-Level Adjustments Tab'!$A293&amp;"_"&amp;'Measure-Level Adjustments Tab'!$B293,'Unit Savings Calculations'!$A$4:$A$421,0))</f>
        <v>12</v>
      </c>
      <c r="F293" s="287">
        <f>INDEX('Unit Savings Calculations'!$I$4:$I$421,MATCH('Measure-Level Adjustments Tab'!A293&amp;"_"&amp;'Measure-Level Adjustments Tab'!B293,'Unit Savings Calculations'!$A$4:$A$421,0))</f>
        <v>12</v>
      </c>
      <c r="G293" s="287" t="str">
        <f>'Unit Savings Calculations'!E289</f>
        <v>each</v>
      </c>
      <c r="H293" s="289">
        <f>'Unit Savings Calculations'!$F289*'Unit Savings Calculations'!J289</f>
        <v>2</v>
      </c>
      <c r="I293" s="289">
        <f>'Unit Savings Calculations'!$F289*'Unit Savings Calculations'!K289</f>
        <v>2</v>
      </c>
      <c r="J293" s="289">
        <f>'Unit Savings Calculations'!$F289*'Unit Savings Calculations'!L289</f>
        <v>2</v>
      </c>
      <c r="K293" s="289">
        <f>'Unit Savings Calculations'!$F289*'Unit Savings Calculations'!M289</f>
        <v>2</v>
      </c>
      <c r="L293" s="287" t="str">
        <f>'Unit Savings Calculations'!U289</f>
        <v>CI-FSE-IROV-V02-180101</v>
      </c>
      <c r="M293" s="363" t="s">
        <v>830</v>
      </c>
      <c r="N293" s="290">
        <v>599.04</v>
      </c>
      <c r="O293" s="290">
        <v>599.04</v>
      </c>
      <c r="P293" s="290">
        <v>599.04</v>
      </c>
      <c r="Q293" s="290">
        <v>599.04</v>
      </c>
      <c r="R293" s="291">
        <f>'Unit Savings Calculations'!$G289</f>
        <v>0.79</v>
      </c>
      <c r="S293" s="291">
        <f>'Unit Savings Calculations'!$G289</f>
        <v>0.79</v>
      </c>
      <c r="T293" s="291">
        <f>'Unit Savings Calculations'!$G289</f>
        <v>0.79</v>
      </c>
      <c r="U293" s="291">
        <f>'Unit Savings Calculations'!$G289</f>
        <v>0.79</v>
      </c>
      <c r="V293" s="292">
        <f t="shared" si="148"/>
        <v>946.48320000000001</v>
      </c>
      <c r="W293" s="292">
        <f t="shared" si="149"/>
        <v>946.48320000000001</v>
      </c>
      <c r="X293" s="292">
        <f t="shared" si="150"/>
        <v>946.48320000000001</v>
      </c>
      <c r="Y293" s="292">
        <f t="shared" si="151"/>
        <v>946.48320000000001</v>
      </c>
      <c r="Z293" s="292">
        <f t="shared" si="152"/>
        <v>3785.9328</v>
      </c>
      <c r="AA293" s="287"/>
      <c r="AB293" s="287"/>
      <c r="AC293" s="293">
        <f>'Unit Savings Calculations'!N289</f>
        <v>599.04</v>
      </c>
      <c r="AD293" s="287"/>
      <c r="AE293" s="292">
        <f t="shared" si="138"/>
        <v>946.48320000000001</v>
      </c>
      <c r="AF293" s="289">
        <f t="shared" si="139"/>
        <v>0</v>
      </c>
      <c r="AG293" s="287"/>
      <c r="AH293" s="287">
        <f t="shared" si="140"/>
        <v>0</v>
      </c>
      <c r="AI293" s="290">
        <f>'Unit Savings Calculations'!O289</f>
        <v>599.04</v>
      </c>
      <c r="AJ293" s="287" t="s">
        <v>872</v>
      </c>
      <c r="AK293" s="292">
        <f t="shared" si="141"/>
        <v>946.48320000000001</v>
      </c>
      <c r="AL293" s="289">
        <f t="shared" si="142"/>
        <v>0</v>
      </c>
      <c r="AM293" s="287"/>
      <c r="AN293" s="287"/>
      <c r="AO293" s="290">
        <f>'Unit Savings Calculations'!P289</f>
        <v>599.04</v>
      </c>
      <c r="AP293" s="287" t="s">
        <v>764</v>
      </c>
      <c r="AQ293" s="292">
        <f t="shared" si="143"/>
        <v>946.48320000000001</v>
      </c>
      <c r="AR293" s="289">
        <f t="shared" si="144"/>
        <v>0</v>
      </c>
      <c r="AS293" s="287"/>
      <c r="AT293" s="287"/>
      <c r="AU293" s="290">
        <f>'Unit Savings Calculations'!Q289</f>
        <v>599.04</v>
      </c>
      <c r="AV293" s="287" t="str">
        <f t="shared" si="131"/>
        <v>n/a</v>
      </c>
      <c r="AW293" s="292">
        <f t="shared" si="145"/>
        <v>946.48320000000001</v>
      </c>
      <c r="AX293" s="289">
        <f t="shared" si="146"/>
        <v>0</v>
      </c>
      <c r="AY293" s="292">
        <f t="shared" si="132"/>
        <v>946.48320000000001</v>
      </c>
      <c r="AZ293" s="292">
        <f t="shared" si="133"/>
        <v>946.48320000000001</v>
      </c>
      <c r="BA293" s="292">
        <f t="shared" si="134"/>
        <v>946.48320000000001</v>
      </c>
      <c r="BB293" s="292">
        <f t="shared" si="135"/>
        <v>946.48320000000001</v>
      </c>
      <c r="BC293" s="294">
        <f t="shared" si="136"/>
        <v>3785.9328</v>
      </c>
      <c r="BD293" s="287" t="s">
        <v>764</v>
      </c>
      <c r="BE293" s="295" t="str">
        <f t="shared" si="137"/>
        <v>Exhibit 1.5B_R Peoples Gas EEPS_Adjustable_Savings_Goal_Template.xlsx, Unit Savings Calculations Tab</v>
      </c>
      <c r="BF293" s="297"/>
    </row>
    <row r="294" spans="1:58" ht="13.5" customHeight="1">
      <c r="A294" s="287" t="str">
        <f>'Unit Savings Calculations'!C290</f>
        <v>Bus - CI Rebates</v>
      </c>
      <c r="B294" s="287" t="str">
        <f>'Unit Savings Calculations'!D290</f>
        <v>Infrared Salamander Broiler</v>
      </c>
      <c r="C294" s="288">
        <f t="shared" si="147"/>
        <v>1</v>
      </c>
      <c r="D294" s="287" t="str">
        <f>'Unit Savings Calculations'!T290</f>
        <v>4.2.14</v>
      </c>
      <c r="E294" s="287">
        <f>INDEX('Unit Savings Calculations'!$H$4:$H$421,MATCH('Measure-Level Adjustments Tab'!$A294&amp;"_"&amp;'Measure-Level Adjustments Tab'!$B294,'Unit Savings Calculations'!$A$4:$A$421,0))</f>
        <v>12</v>
      </c>
      <c r="F294" s="287">
        <f>INDEX('Unit Savings Calculations'!$I$4:$I$421,MATCH('Measure-Level Adjustments Tab'!A294&amp;"_"&amp;'Measure-Level Adjustments Tab'!B294,'Unit Savings Calculations'!$A$4:$A$421,0))</f>
        <v>12</v>
      </c>
      <c r="G294" s="287" t="str">
        <f>'Unit Savings Calculations'!E290</f>
        <v>each</v>
      </c>
      <c r="H294" s="289">
        <f>'Unit Savings Calculations'!$F290*'Unit Savings Calculations'!J290</f>
        <v>0</v>
      </c>
      <c r="I294" s="289">
        <f>'Unit Savings Calculations'!$F290*'Unit Savings Calculations'!K290</f>
        <v>0</v>
      </c>
      <c r="J294" s="289">
        <f>'Unit Savings Calculations'!$F290*'Unit Savings Calculations'!L290</f>
        <v>0</v>
      </c>
      <c r="K294" s="289">
        <f>'Unit Savings Calculations'!$F290*'Unit Savings Calculations'!M290</f>
        <v>0</v>
      </c>
      <c r="L294" s="287" t="str">
        <f>'Unit Savings Calculations'!U290</f>
        <v>CI-FSE-IRBL-V02-180101</v>
      </c>
      <c r="M294" s="363" t="s">
        <v>830</v>
      </c>
      <c r="N294" s="290">
        <v>240.24</v>
      </c>
      <c r="O294" s="290">
        <v>240.24</v>
      </c>
      <c r="P294" s="290">
        <v>240.24</v>
      </c>
      <c r="Q294" s="290">
        <v>240.24</v>
      </c>
      <c r="R294" s="291">
        <f>'Unit Savings Calculations'!$G290</f>
        <v>0.79</v>
      </c>
      <c r="S294" s="291">
        <f>'Unit Savings Calculations'!$G290</f>
        <v>0.79</v>
      </c>
      <c r="T294" s="291">
        <f>'Unit Savings Calculations'!$G290</f>
        <v>0.79</v>
      </c>
      <c r="U294" s="291">
        <f>'Unit Savings Calculations'!$G290</f>
        <v>0.79</v>
      </c>
      <c r="V294" s="292">
        <f t="shared" si="148"/>
        <v>0</v>
      </c>
      <c r="W294" s="292">
        <f t="shared" si="149"/>
        <v>0</v>
      </c>
      <c r="X294" s="292">
        <f t="shared" si="150"/>
        <v>0</v>
      </c>
      <c r="Y294" s="292">
        <f t="shared" si="151"/>
        <v>0</v>
      </c>
      <c r="Z294" s="292">
        <f t="shared" si="152"/>
        <v>0</v>
      </c>
      <c r="AA294" s="287"/>
      <c r="AB294" s="287"/>
      <c r="AC294" s="293">
        <f>'Unit Savings Calculations'!N290</f>
        <v>240.24</v>
      </c>
      <c r="AD294" s="287"/>
      <c r="AE294" s="292">
        <f t="shared" si="138"/>
        <v>0</v>
      </c>
      <c r="AF294" s="289">
        <f t="shared" si="139"/>
        <v>0</v>
      </c>
      <c r="AG294" s="287"/>
      <c r="AH294" s="287">
        <f t="shared" si="140"/>
        <v>0</v>
      </c>
      <c r="AI294" s="290">
        <f>'Unit Savings Calculations'!O290</f>
        <v>240.24</v>
      </c>
      <c r="AJ294" s="287" t="s">
        <v>872</v>
      </c>
      <c r="AK294" s="292">
        <f t="shared" si="141"/>
        <v>0</v>
      </c>
      <c r="AL294" s="289">
        <f t="shared" si="142"/>
        <v>0</v>
      </c>
      <c r="AM294" s="287"/>
      <c r="AN294" s="287"/>
      <c r="AO294" s="290">
        <f>'Unit Savings Calculations'!P290</f>
        <v>240.24</v>
      </c>
      <c r="AP294" s="287" t="s">
        <v>764</v>
      </c>
      <c r="AQ294" s="292">
        <f t="shared" si="143"/>
        <v>0</v>
      </c>
      <c r="AR294" s="289">
        <f t="shared" si="144"/>
        <v>0</v>
      </c>
      <c r="AS294" s="287"/>
      <c r="AT294" s="287"/>
      <c r="AU294" s="290">
        <f>'Unit Savings Calculations'!Q290</f>
        <v>240.24</v>
      </c>
      <c r="AV294" s="287" t="str">
        <f t="shared" si="131"/>
        <v>n/a</v>
      </c>
      <c r="AW294" s="292">
        <f t="shared" si="145"/>
        <v>0</v>
      </c>
      <c r="AX294" s="289">
        <f t="shared" si="146"/>
        <v>0</v>
      </c>
      <c r="AY294" s="292">
        <f t="shared" si="132"/>
        <v>0</v>
      </c>
      <c r="AZ294" s="292">
        <f t="shared" si="133"/>
        <v>0</v>
      </c>
      <c r="BA294" s="292">
        <f t="shared" si="134"/>
        <v>0</v>
      </c>
      <c r="BB294" s="292">
        <f t="shared" si="135"/>
        <v>0</v>
      </c>
      <c r="BC294" s="294">
        <f t="shared" si="136"/>
        <v>0</v>
      </c>
      <c r="BD294" s="287" t="s">
        <v>764</v>
      </c>
      <c r="BE294" s="295" t="str">
        <f t="shared" si="137"/>
        <v>Exhibit 1.5B_R Peoples Gas EEPS_Adjustable_Savings_Goal_Template.xlsx, Unit Savings Calculations Tab</v>
      </c>
      <c r="BF294" s="297"/>
    </row>
    <row r="295" spans="1:58" ht="13.5" customHeight="1">
      <c r="A295" s="287" t="str">
        <f>'Unit Savings Calculations'!C291</f>
        <v>Bus - CI Rebates</v>
      </c>
      <c r="B295" s="287" t="str">
        <f>'Unit Savings Calculations'!D291</f>
        <v>Infrared Upright Broiler</v>
      </c>
      <c r="C295" s="288">
        <f t="shared" si="147"/>
        <v>1</v>
      </c>
      <c r="D295" s="287" t="str">
        <f>'Unit Savings Calculations'!T291</f>
        <v>4.2.15</v>
      </c>
      <c r="E295" s="287">
        <f>INDEX('Unit Savings Calculations'!$H$4:$H$421,MATCH('Measure-Level Adjustments Tab'!$A295&amp;"_"&amp;'Measure-Level Adjustments Tab'!$B295,'Unit Savings Calculations'!$A$4:$A$421,0))</f>
        <v>12</v>
      </c>
      <c r="F295" s="287">
        <f>INDEX('Unit Savings Calculations'!$I$4:$I$421,MATCH('Measure-Level Adjustments Tab'!A295&amp;"_"&amp;'Measure-Level Adjustments Tab'!B295,'Unit Savings Calculations'!$A$4:$A$421,0))</f>
        <v>12</v>
      </c>
      <c r="G295" s="287" t="str">
        <f>'Unit Savings Calculations'!E291</f>
        <v>each</v>
      </c>
      <c r="H295" s="289">
        <f>'Unit Savings Calculations'!$F291*'Unit Savings Calculations'!J291</f>
        <v>0</v>
      </c>
      <c r="I295" s="289">
        <f>'Unit Savings Calculations'!$F291*'Unit Savings Calculations'!K291</f>
        <v>0</v>
      </c>
      <c r="J295" s="289">
        <f>'Unit Savings Calculations'!$F291*'Unit Savings Calculations'!L291</f>
        <v>0</v>
      </c>
      <c r="K295" s="289">
        <f>'Unit Savings Calculations'!$F291*'Unit Savings Calculations'!M291</f>
        <v>0</v>
      </c>
      <c r="L295" s="287" t="str">
        <f>'Unit Savings Calculations'!U291</f>
        <v>CI-FSE-IRUB-V02-180101</v>
      </c>
      <c r="M295" s="363" t="s">
        <v>830</v>
      </c>
      <c r="N295" s="290">
        <v>943.48800000000006</v>
      </c>
      <c r="O295" s="290">
        <v>943.48800000000006</v>
      </c>
      <c r="P295" s="290">
        <v>943.48800000000006</v>
      </c>
      <c r="Q295" s="290">
        <v>943.48800000000006</v>
      </c>
      <c r="R295" s="291">
        <f>'Unit Savings Calculations'!$G291</f>
        <v>0.79</v>
      </c>
      <c r="S295" s="291">
        <f>'Unit Savings Calculations'!$G291</f>
        <v>0.79</v>
      </c>
      <c r="T295" s="291">
        <f>'Unit Savings Calculations'!$G291</f>
        <v>0.79</v>
      </c>
      <c r="U295" s="291">
        <f>'Unit Savings Calculations'!$G291</f>
        <v>0.79</v>
      </c>
      <c r="V295" s="292">
        <f t="shared" si="148"/>
        <v>0</v>
      </c>
      <c r="W295" s="292">
        <f t="shared" si="149"/>
        <v>0</v>
      </c>
      <c r="X295" s="292">
        <f t="shared" si="150"/>
        <v>0</v>
      </c>
      <c r="Y295" s="292">
        <f t="shared" si="151"/>
        <v>0</v>
      </c>
      <c r="Z295" s="292">
        <f t="shared" si="152"/>
        <v>0</v>
      </c>
      <c r="AA295" s="287"/>
      <c r="AB295" s="287"/>
      <c r="AC295" s="293">
        <f>'Unit Savings Calculations'!N291</f>
        <v>943.48800000000006</v>
      </c>
      <c r="AD295" s="287"/>
      <c r="AE295" s="292">
        <f t="shared" si="138"/>
        <v>0</v>
      </c>
      <c r="AF295" s="289">
        <f t="shared" si="139"/>
        <v>0</v>
      </c>
      <c r="AG295" s="287"/>
      <c r="AH295" s="287">
        <f t="shared" si="140"/>
        <v>0</v>
      </c>
      <c r="AI295" s="290">
        <f>'Unit Savings Calculations'!O291</f>
        <v>943.48800000000006</v>
      </c>
      <c r="AJ295" s="287" t="s">
        <v>872</v>
      </c>
      <c r="AK295" s="292">
        <f t="shared" si="141"/>
        <v>0</v>
      </c>
      <c r="AL295" s="289">
        <f t="shared" si="142"/>
        <v>0</v>
      </c>
      <c r="AM295" s="287"/>
      <c r="AN295" s="287"/>
      <c r="AO295" s="290">
        <f>'Unit Savings Calculations'!P291</f>
        <v>943.48800000000006</v>
      </c>
      <c r="AP295" s="287" t="s">
        <v>764</v>
      </c>
      <c r="AQ295" s="292">
        <f t="shared" si="143"/>
        <v>0</v>
      </c>
      <c r="AR295" s="289">
        <f t="shared" si="144"/>
        <v>0</v>
      </c>
      <c r="AS295" s="287"/>
      <c r="AT295" s="287"/>
      <c r="AU295" s="290">
        <f>'Unit Savings Calculations'!Q291</f>
        <v>943.48800000000006</v>
      </c>
      <c r="AV295" s="287" t="str">
        <f t="shared" si="131"/>
        <v>n/a</v>
      </c>
      <c r="AW295" s="292">
        <f t="shared" si="145"/>
        <v>0</v>
      </c>
      <c r="AX295" s="289">
        <f t="shared" si="146"/>
        <v>0</v>
      </c>
      <c r="AY295" s="292">
        <f t="shared" si="132"/>
        <v>0</v>
      </c>
      <c r="AZ295" s="292">
        <f t="shared" si="133"/>
        <v>0</v>
      </c>
      <c r="BA295" s="292">
        <f t="shared" si="134"/>
        <v>0</v>
      </c>
      <c r="BB295" s="292">
        <f t="shared" si="135"/>
        <v>0</v>
      </c>
      <c r="BC295" s="294">
        <f t="shared" si="136"/>
        <v>0</v>
      </c>
      <c r="BD295" s="287" t="s">
        <v>764</v>
      </c>
      <c r="BE295" s="295" t="str">
        <f t="shared" si="137"/>
        <v>Exhibit 1.5B_R Peoples Gas EEPS_Adjustable_Savings_Goal_Template.xlsx, Unit Savings Calculations Tab</v>
      </c>
      <c r="BF295" s="297"/>
    </row>
    <row r="296" spans="1:58" ht="13.5" customHeight="1">
      <c r="A296" s="287" t="str">
        <f>'Unit Savings Calculations'!C292</f>
        <v>Bus - SB Rebates</v>
      </c>
      <c r="B296" s="287" t="str">
        <f>'Unit Savings Calculations'!D292</f>
        <v>SB Custom</v>
      </c>
      <c r="C296" s="288">
        <f t="shared" si="147"/>
        <v>0</v>
      </c>
      <c r="D296" s="287" t="str">
        <f>'Unit Savings Calculations'!T292</f>
        <v>Custom</v>
      </c>
      <c r="E296" s="287">
        <f>INDEX('Unit Savings Calculations'!$H$4:$H$421,MATCH('Measure-Level Adjustments Tab'!$A296&amp;"_"&amp;'Measure-Level Adjustments Tab'!$B296,'Unit Savings Calculations'!$A$4:$A$421,0))</f>
        <v>15</v>
      </c>
      <c r="F296" s="287">
        <f>INDEX('Unit Savings Calculations'!$I$4:$I$421,MATCH('Measure-Level Adjustments Tab'!A296&amp;"_"&amp;'Measure-Level Adjustments Tab'!B296,'Unit Savings Calculations'!$A$4:$A$421,0))</f>
        <v>15</v>
      </c>
      <c r="G296" s="287" t="str">
        <f>'Unit Savings Calculations'!E292</f>
        <v>each</v>
      </c>
      <c r="H296" s="289">
        <f>'Unit Savings Calculations'!$F292*'Unit Savings Calculations'!J292</f>
        <v>20</v>
      </c>
      <c r="I296" s="289">
        <f>'Unit Savings Calculations'!$F292*'Unit Savings Calculations'!K292</f>
        <v>20</v>
      </c>
      <c r="J296" s="289">
        <f>'Unit Savings Calculations'!$F292*'Unit Savings Calculations'!L292</f>
        <v>20</v>
      </c>
      <c r="K296" s="289">
        <f>'Unit Savings Calculations'!$F292*'Unit Savings Calculations'!M292</f>
        <v>20</v>
      </c>
      <c r="L296" s="287" t="str">
        <f>'Unit Savings Calculations'!U292</f>
        <v>Custom</v>
      </c>
      <c r="M296" s="287" t="str">
        <f>'Unit Savings Calculations'!S292</f>
        <v>Custom</v>
      </c>
      <c r="N296" s="290">
        <v>3800</v>
      </c>
      <c r="O296" s="290">
        <v>3800</v>
      </c>
      <c r="P296" s="290">
        <v>3800</v>
      </c>
      <c r="Q296" s="290">
        <v>3800</v>
      </c>
      <c r="R296" s="291">
        <f>'Unit Savings Calculations'!$G292</f>
        <v>0.92</v>
      </c>
      <c r="S296" s="291">
        <f>'Unit Savings Calculations'!$G292</f>
        <v>0.92</v>
      </c>
      <c r="T296" s="291">
        <f>'Unit Savings Calculations'!$G292</f>
        <v>0.92</v>
      </c>
      <c r="U296" s="291">
        <f>'Unit Savings Calculations'!$G292</f>
        <v>0.92</v>
      </c>
      <c r="V296" s="292">
        <f t="shared" si="148"/>
        <v>69920</v>
      </c>
      <c r="W296" s="292">
        <f t="shared" si="149"/>
        <v>69920</v>
      </c>
      <c r="X296" s="292">
        <f t="shared" si="150"/>
        <v>69920</v>
      </c>
      <c r="Y296" s="292">
        <f t="shared" si="151"/>
        <v>69920</v>
      </c>
      <c r="Z296" s="292">
        <f t="shared" si="152"/>
        <v>279680</v>
      </c>
      <c r="AA296" s="364"/>
      <c r="AB296" s="364"/>
      <c r="AC296" s="365">
        <f>'Unit Savings Calculations'!N292</f>
        <v>3800</v>
      </c>
      <c r="AD296" s="364"/>
      <c r="AE296" s="366">
        <f t="shared" si="138"/>
        <v>69920</v>
      </c>
      <c r="AF296" s="367">
        <f t="shared" si="139"/>
        <v>0</v>
      </c>
      <c r="AG296" s="364"/>
      <c r="AH296" s="364">
        <f t="shared" si="140"/>
        <v>0</v>
      </c>
      <c r="AI296" s="368">
        <f>'Unit Savings Calculations'!O292</f>
        <v>3800</v>
      </c>
      <c r="AJ296" s="364" t="s">
        <v>872</v>
      </c>
      <c r="AK296" s="366">
        <f t="shared" si="141"/>
        <v>69920</v>
      </c>
      <c r="AL296" s="367">
        <f t="shared" si="142"/>
        <v>0</v>
      </c>
      <c r="AM296" s="364"/>
      <c r="AN296" s="364"/>
      <c r="AO296" s="368">
        <f>'Unit Savings Calculations'!P292</f>
        <v>3800</v>
      </c>
      <c r="AP296" s="364" t="s">
        <v>764</v>
      </c>
      <c r="AQ296" s="366">
        <f t="shared" si="143"/>
        <v>69920</v>
      </c>
      <c r="AR296" s="367">
        <f t="shared" si="144"/>
        <v>0</v>
      </c>
      <c r="AS296" s="364"/>
      <c r="AT296" s="364"/>
      <c r="AU296" s="368">
        <f>'Unit Savings Calculations'!Q292</f>
        <v>3800</v>
      </c>
      <c r="AV296" s="364" t="str">
        <f t="shared" si="131"/>
        <v>n/a</v>
      </c>
      <c r="AW296" s="366">
        <f t="shared" si="145"/>
        <v>69920</v>
      </c>
      <c r="AX296" s="367">
        <f t="shared" si="146"/>
        <v>0</v>
      </c>
      <c r="AY296" s="292">
        <f t="shared" si="132"/>
        <v>69920</v>
      </c>
      <c r="AZ296" s="292">
        <f t="shared" si="133"/>
        <v>69920</v>
      </c>
      <c r="BA296" s="292">
        <f t="shared" si="134"/>
        <v>69920</v>
      </c>
      <c r="BB296" s="292">
        <f t="shared" si="135"/>
        <v>69920</v>
      </c>
      <c r="BC296" s="294">
        <f t="shared" si="136"/>
        <v>279680</v>
      </c>
      <c r="BD296" s="287" t="s">
        <v>764</v>
      </c>
      <c r="BE296" s="295" t="str">
        <f t="shared" si="137"/>
        <v>Custom</v>
      </c>
      <c r="BF296" s="297"/>
    </row>
    <row r="297" spans="1:58" ht="13.5" customHeight="1">
      <c r="A297" s="287" t="str">
        <f>'Unit Savings Calculations'!C293</f>
        <v>Bus - CI Rebates</v>
      </c>
      <c r="B297" s="287" t="str">
        <f>'Unit Savings Calculations'!D293</f>
        <v>CI Custom</v>
      </c>
      <c r="C297" s="288">
        <f t="shared" si="147"/>
        <v>0</v>
      </c>
      <c r="D297" s="287" t="str">
        <f>'Unit Savings Calculations'!T293</f>
        <v>Custom</v>
      </c>
      <c r="E297" s="287">
        <f>INDEX('Unit Savings Calculations'!$H$4:$H$421,MATCH('Measure-Level Adjustments Tab'!$A297&amp;"_"&amp;'Measure-Level Adjustments Tab'!$B297,'Unit Savings Calculations'!$A$4:$A$421,0))</f>
        <v>15</v>
      </c>
      <c r="F297" s="287">
        <f>INDEX('Unit Savings Calculations'!$I$4:$I$421,MATCH('Measure-Level Adjustments Tab'!A297&amp;"_"&amp;'Measure-Level Adjustments Tab'!B297,'Unit Savings Calculations'!$A$4:$A$421,0))</f>
        <v>15</v>
      </c>
      <c r="G297" s="287" t="str">
        <f>'Unit Savings Calculations'!E293</f>
        <v>each</v>
      </c>
      <c r="H297" s="289">
        <f>'Unit Savings Calculations'!$F293*'Unit Savings Calculations'!J293</f>
        <v>36</v>
      </c>
      <c r="I297" s="289">
        <f>'Unit Savings Calculations'!$F293*'Unit Savings Calculations'!K293</f>
        <v>36</v>
      </c>
      <c r="J297" s="289">
        <f>'Unit Savings Calculations'!$F293*'Unit Savings Calculations'!L293</f>
        <v>36</v>
      </c>
      <c r="K297" s="289">
        <f>'Unit Savings Calculations'!$F293*'Unit Savings Calculations'!M293</f>
        <v>36</v>
      </c>
      <c r="L297" s="287" t="str">
        <f>'Unit Savings Calculations'!U293</f>
        <v>Custom</v>
      </c>
      <c r="M297" s="287" t="str">
        <f>'Unit Savings Calculations'!S293</f>
        <v>Custom</v>
      </c>
      <c r="N297" s="290">
        <v>43600</v>
      </c>
      <c r="O297" s="290">
        <v>43600</v>
      </c>
      <c r="P297" s="290">
        <v>43600</v>
      </c>
      <c r="Q297" s="290">
        <v>43600</v>
      </c>
      <c r="R297" s="291">
        <f>'Unit Savings Calculations'!$G293</f>
        <v>0.69</v>
      </c>
      <c r="S297" s="291">
        <f>'Unit Savings Calculations'!$G293</f>
        <v>0.69</v>
      </c>
      <c r="T297" s="291">
        <f>'Unit Savings Calculations'!$G293</f>
        <v>0.69</v>
      </c>
      <c r="U297" s="291">
        <f>'Unit Savings Calculations'!$G293</f>
        <v>0.69</v>
      </c>
      <c r="V297" s="292">
        <f t="shared" si="148"/>
        <v>1083024</v>
      </c>
      <c r="W297" s="292">
        <f t="shared" si="149"/>
        <v>1083024</v>
      </c>
      <c r="X297" s="292">
        <f t="shared" si="150"/>
        <v>1083024</v>
      </c>
      <c r="Y297" s="292">
        <f t="shared" si="151"/>
        <v>1083024</v>
      </c>
      <c r="Z297" s="292">
        <f t="shared" si="152"/>
        <v>4332096</v>
      </c>
      <c r="AA297" s="364"/>
      <c r="AB297" s="364"/>
      <c r="AC297" s="365">
        <f>'Unit Savings Calculations'!N293</f>
        <v>43600</v>
      </c>
      <c r="AD297" s="364"/>
      <c r="AE297" s="366">
        <f t="shared" si="138"/>
        <v>1083024</v>
      </c>
      <c r="AF297" s="367">
        <f t="shared" si="139"/>
        <v>0</v>
      </c>
      <c r="AG297" s="364"/>
      <c r="AH297" s="364">
        <f t="shared" si="140"/>
        <v>0</v>
      </c>
      <c r="AI297" s="368">
        <f>'Unit Savings Calculations'!O293</f>
        <v>43600</v>
      </c>
      <c r="AJ297" s="364" t="s">
        <v>872</v>
      </c>
      <c r="AK297" s="366">
        <f t="shared" si="141"/>
        <v>1083024</v>
      </c>
      <c r="AL297" s="367">
        <f t="shared" si="142"/>
        <v>0</v>
      </c>
      <c r="AM297" s="364"/>
      <c r="AN297" s="364"/>
      <c r="AO297" s="368">
        <f>'Unit Savings Calculations'!P293</f>
        <v>43600</v>
      </c>
      <c r="AP297" s="364" t="s">
        <v>764</v>
      </c>
      <c r="AQ297" s="366">
        <f t="shared" si="143"/>
        <v>1083024</v>
      </c>
      <c r="AR297" s="367">
        <f t="shared" si="144"/>
        <v>0</v>
      </c>
      <c r="AS297" s="364"/>
      <c r="AT297" s="364"/>
      <c r="AU297" s="368">
        <f>'Unit Savings Calculations'!Q293</f>
        <v>43600</v>
      </c>
      <c r="AV297" s="364" t="str">
        <f t="shared" si="131"/>
        <v>n/a</v>
      </c>
      <c r="AW297" s="366">
        <f t="shared" si="145"/>
        <v>1083024</v>
      </c>
      <c r="AX297" s="367">
        <f t="shared" si="146"/>
        <v>0</v>
      </c>
      <c r="AY297" s="292">
        <f t="shared" si="132"/>
        <v>1083024</v>
      </c>
      <c r="AZ297" s="292">
        <f t="shared" si="133"/>
        <v>1083024</v>
      </c>
      <c r="BA297" s="292">
        <f t="shared" si="134"/>
        <v>1083024</v>
      </c>
      <c r="BB297" s="292">
        <f t="shared" si="135"/>
        <v>1083024</v>
      </c>
      <c r="BC297" s="294">
        <f t="shared" si="136"/>
        <v>4332096</v>
      </c>
      <c r="BD297" s="287" t="s">
        <v>764</v>
      </c>
      <c r="BE297" s="295" t="str">
        <f t="shared" si="137"/>
        <v>Custom</v>
      </c>
      <c r="BF297" s="297"/>
    </row>
    <row r="298" spans="1:58" ht="13.5" customHeight="1">
      <c r="A298" s="287" t="str">
        <f>'Unit Savings Calculations'!C294</f>
        <v>Bus - CI Rebates</v>
      </c>
      <c r="B298" s="287" t="str">
        <f>'Unit Savings Calculations'!D294</f>
        <v>New Construction</v>
      </c>
      <c r="C298" s="288">
        <f t="shared" si="147"/>
        <v>0</v>
      </c>
      <c r="D298" s="287" t="str">
        <f>'Unit Savings Calculations'!T294</f>
        <v>Custom</v>
      </c>
      <c r="E298" s="287">
        <f>INDEX('Unit Savings Calculations'!$H$4:$H$421,MATCH('Measure-Level Adjustments Tab'!$A298&amp;"_"&amp;'Measure-Level Adjustments Tab'!$B298,'Unit Savings Calculations'!$A$4:$A$421,0))</f>
        <v>15</v>
      </c>
      <c r="F298" s="287">
        <f>INDEX('Unit Savings Calculations'!$I$4:$I$421,MATCH('Measure-Level Adjustments Tab'!A298&amp;"_"&amp;'Measure-Level Adjustments Tab'!B298,'Unit Savings Calculations'!$A$4:$A$421,0))</f>
        <v>15</v>
      </c>
      <c r="G298" s="287" t="str">
        <f>'Unit Savings Calculations'!E294</f>
        <v>each</v>
      </c>
      <c r="H298" s="289">
        <f>'Unit Savings Calculations'!$F294*'Unit Savings Calculations'!J294</f>
        <v>77</v>
      </c>
      <c r="I298" s="289">
        <f>'Unit Savings Calculations'!$F294*'Unit Savings Calculations'!K294</f>
        <v>77</v>
      </c>
      <c r="J298" s="289">
        <f>'Unit Savings Calculations'!$F294*'Unit Savings Calculations'!L294</f>
        <v>77</v>
      </c>
      <c r="K298" s="289">
        <f>'Unit Savings Calculations'!$F294*'Unit Savings Calculations'!M294</f>
        <v>77</v>
      </c>
      <c r="L298" s="287" t="str">
        <f>'Unit Savings Calculations'!U294</f>
        <v>Custom</v>
      </c>
      <c r="M298" s="287" t="str">
        <f>'Unit Savings Calculations'!S294</f>
        <v>Custom</v>
      </c>
      <c r="N298" s="290">
        <v>7600</v>
      </c>
      <c r="O298" s="290">
        <v>7600</v>
      </c>
      <c r="P298" s="290">
        <v>7600</v>
      </c>
      <c r="Q298" s="290">
        <v>7600</v>
      </c>
      <c r="R298" s="291">
        <f>'Unit Savings Calculations'!$G294</f>
        <v>0.77</v>
      </c>
      <c r="S298" s="291">
        <f>'Unit Savings Calculations'!$G294</f>
        <v>0.77</v>
      </c>
      <c r="T298" s="291">
        <f>'Unit Savings Calculations'!$G294</f>
        <v>0.77</v>
      </c>
      <c r="U298" s="291">
        <f>'Unit Savings Calculations'!$G294</f>
        <v>0.77</v>
      </c>
      <c r="V298" s="292">
        <f t="shared" si="148"/>
        <v>450604</v>
      </c>
      <c r="W298" s="292">
        <f t="shared" si="149"/>
        <v>450604</v>
      </c>
      <c r="X298" s="292">
        <f t="shared" si="150"/>
        <v>450604</v>
      </c>
      <c r="Y298" s="292">
        <f t="shared" si="151"/>
        <v>450604</v>
      </c>
      <c r="Z298" s="292">
        <f t="shared" si="152"/>
        <v>1802416</v>
      </c>
      <c r="AA298" s="364"/>
      <c r="AB298" s="364"/>
      <c r="AC298" s="365">
        <f>'Unit Savings Calculations'!N294</f>
        <v>7600</v>
      </c>
      <c r="AD298" s="364"/>
      <c r="AE298" s="366">
        <f t="shared" si="138"/>
        <v>450604</v>
      </c>
      <c r="AF298" s="367">
        <f t="shared" si="139"/>
        <v>0</v>
      </c>
      <c r="AG298" s="364"/>
      <c r="AH298" s="364">
        <f t="shared" si="140"/>
        <v>0</v>
      </c>
      <c r="AI298" s="368">
        <f>'Unit Savings Calculations'!O294</f>
        <v>7600</v>
      </c>
      <c r="AJ298" s="364" t="s">
        <v>872</v>
      </c>
      <c r="AK298" s="366">
        <f t="shared" si="141"/>
        <v>450604</v>
      </c>
      <c r="AL298" s="367">
        <f t="shared" si="142"/>
        <v>0</v>
      </c>
      <c r="AM298" s="364"/>
      <c r="AN298" s="364"/>
      <c r="AO298" s="368">
        <f>'Unit Savings Calculations'!P294</f>
        <v>7600</v>
      </c>
      <c r="AP298" s="364" t="s">
        <v>764</v>
      </c>
      <c r="AQ298" s="366">
        <f t="shared" si="143"/>
        <v>450604</v>
      </c>
      <c r="AR298" s="367">
        <f t="shared" si="144"/>
        <v>0</v>
      </c>
      <c r="AS298" s="364"/>
      <c r="AT298" s="364"/>
      <c r="AU298" s="368">
        <f>'Unit Savings Calculations'!Q294</f>
        <v>7600</v>
      </c>
      <c r="AV298" s="364" t="str">
        <f t="shared" si="131"/>
        <v>n/a</v>
      </c>
      <c r="AW298" s="366">
        <f t="shared" si="145"/>
        <v>450604</v>
      </c>
      <c r="AX298" s="367">
        <f t="shared" si="146"/>
        <v>0</v>
      </c>
      <c r="AY298" s="292">
        <f t="shared" si="132"/>
        <v>450604</v>
      </c>
      <c r="AZ298" s="292">
        <f t="shared" si="133"/>
        <v>450604</v>
      </c>
      <c r="BA298" s="292">
        <f t="shared" si="134"/>
        <v>450604</v>
      </c>
      <c r="BB298" s="292">
        <f t="shared" si="135"/>
        <v>450604</v>
      </c>
      <c r="BC298" s="294">
        <f t="shared" si="136"/>
        <v>1802416</v>
      </c>
      <c r="BD298" s="287" t="s">
        <v>764</v>
      </c>
      <c r="BE298" s="295" t="str">
        <f t="shared" si="137"/>
        <v>Custom</v>
      </c>
      <c r="BF298" s="297"/>
    </row>
    <row r="299" spans="1:58" ht="13.5" customHeight="1">
      <c r="A299" s="287" t="str">
        <f>'Unit Savings Calculations'!C295</f>
        <v>Bus - Public Assessments</v>
      </c>
      <c r="B299" s="287" t="str">
        <f>'Unit Savings Calculations'!D295</f>
        <v>Aerator - Bathroom</v>
      </c>
      <c r="C299" s="288">
        <f t="shared" si="147"/>
        <v>1</v>
      </c>
      <c r="D299" s="287" t="str">
        <f>'Unit Savings Calculations'!T295</f>
        <v>4.3.2</v>
      </c>
      <c r="E299" s="287">
        <f>INDEX('Unit Savings Calculations'!$H$4:$H$421,MATCH('Measure-Level Adjustments Tab'!$A299&amp;"_"&amp;'Measure-Level Adjustments Tab'!$B299,'Unit Savings Calculations'!$A$4:$A$421,0))</f>
        <v>9</v>
      </c>
      <c r="F299" s="287">
        <f>INDEX('Unit Savings Calculations'!$I$4:$I$421,MATCH('Measure-Level Adjustments Tab'!A299&amp;"_"&amp;'Measure-Level Adjustments Tab'!B299,'Unit Savings Calculations'!$A$4:$A$421,0))</f>
        <v>10</v>
      </c>
      <c r="G299" s="287" t="str">
        <f>'Unit Savings Calculations'!E295</f>
        <v>each</v>
      </c>
      <c r="H299" s="289">
        <f>'Unit Savings Calculations'!$F295*'Unit Savings Calculations'!J295</f>
        <v>752</v>
      </c>
      <c r="I299" s="289">
        <f>'Unit Savings Calculations'!$F295*'Unit Savings Calculations'!K295</f>
        <v>752</v>
      </c>
      <c r="J299" s="289">
        <f>'Unit Savings Calculations'!$F295*'Unit Savings Calculations'!L295</f>
        <v>752</v>
      </c>
      <c r="K299" s="289">
        <f>'Unit Savings Calculations'!$F295*'Unit Savings Calculations'!M295</f>
        <v>752</v>
      </c>
      <c r="L299" s="287" t="str">
        <f>'Unit Savings Calculations'!U295</f>
        <v>CI-HWE-LFFA-V07-180101</v>
      </c>
      <c r="M299" s="363" t="s">
        <v>830</v>
      </c>
      <c r="N299" s="290">
        <v>6.1049460431654667</v>
      </c>
      <c r="O299" s="290">
        <v>6.1049460431654667</v>
      </c>
      <c r="P299" s="290">
        <v>6.1049460431654667</v>
      </c>
      <c r="Q299" s="290">
        <v>6.1049460431654667</v>
      </c>
      <c r="R299" s="291">
        <f>'Unit Savings Calculations'!$G295</f>
        <v>0.79</v>
      </c>
      <c r="S299" s="291">
        <f>'Unit Savings Calculations'!$G295</f>
        <v>0.79</v>
      </c>
      <c r="T299" s="291">
        <f>'Unit Savings Calculations'!$G295</f>
        <v>0.79</v>
      </c>
      <c r="U299" s="291">
        <f>'Unit Savings Calculations'!$G295</f>
        <v>0.79</v>
      </c>
      <c r="V299" s="292">
        <f t="shared" si="148"/>
        <v>3626.826345323741</v>
      </c>
      <c r="W299" s="292">
        <f t="shared" si="149"/>
        <v>3626.826345323741</v>
      </c>
      <c r="X299" s="292">
        <f t="shared" si="150"/>
        <v>3626.826345323741</v>
      </c>
      <c r="Y299" s="292">
        <f t="shared" si="151"/>
        <v>3626.826345323741</v>
      </c>
      <c r="Z299" s="292">
        <f t="shared" si="152"/>
        <v>14507.305381294964</v>
      </c>
      <c r="AA299" s="287"/>
      <c r="AB299" s="287"/>
      <c r="AC299" s="293">
        <f>'Unit Savings Calculations'!N295</f>
        <v>6.1049460431654667</v>
      </c>
      <c r="AD299" s="287"/>
      <c r="AE299" s="292">
        <f t="shared" si="138"/>
        <v>3626.826345323741</v>
      </c>
      <c r="AF299" s="289">
        <f t="shared" si="139"/>
        <v>0</v>
      </c>
      <c r="AG299" s="287"/>
      <c r="AH299" s="287">
        <f t="shared" si="140"/>
        <v>0</v>
      </c>
      <c r="AI299" s="290">
        <f>'Unit Savings Calculations'!O295</f>
        <v>6.1049460431654667</v>
      </c>
      <c r="AJ299" s="287" t="s">
        <v>872</v>
      </c>
      <c r="AK299" s="292">
        <f t="shared" si="141"/>
        <v>3626.826345323741</v>
      </c>
      <c r="AL299" s="289">
        <f t="shared" si="142"/>
        <v>0</v>
      </c>
      <c r="AM299" s="287"/>
      <c r="AN299" s="287"/>
      <c r="AO299" s="290">
        <f>'Unit Savings Calculations'!P295</f>
        <v>6.1049460431654667</v>
      </c>
      <c r="AP299" s="287" t="s">
        <v>764</v>
      </c>
      <c r="AQ299" s="292">
        <f t="shared" si="143"/>
        <v>3626.826345323741</v>
      </c>
      <c r="AR299" s="289">
        <f t="shared" si="144"/>
        <v>0</v>
      </c>
      <c r="AS299" s="287"/>
      <c r="AT299" s="287"/>
      <c r="AU299" s="290">
        <f>'Unit Savings Calculations'!Q295</f>
        <v>6.1049460431654667</v>
      </c>
      <c r="AV299" s="287" t="str">
        <f t="shared" si="131"/>
        <v>n/a</v>
      </c>
      <c r="AW299" s="292">
        <f t="shared" si="145"/>
        <v>3626.826345323741</v>
      </c>
      <c r="AX299" s="289">
        <f t="shared" si="146"/>
        <v>0</v>
      </c>
      <c r="AY299" s="292">
        <f t="shared" si="132"/>
        <v>3626.826345323741</v>
      </c>
      <c r="AZ299" s="292">
        <f t="shared" si="133"/>
        <v>3626.826345323741</v>
      </c>
      <c r="BA299" s="292">
        <f t="shared" si="134"/>
        <v>3626.826345323741</v>
      </c>
      <c r="BB299" s="292">
        <f t="shared" si="135"/>
        <v>3626.826345323741</v>
      </c>
      <c r="BC299" s="294">
        <f t="shared" si="136"/>
        <v>14507.305381294964</v>
      </c>
      <c r="BD299" s="287" t="s">
        <v>764</v>
      </c>
      <c r="BE299" s="295" t="str">
        <f t="shared" si="137"/>
        <v>Exhibit 1.5B_R Peoples Gas EEPS_Adjustable_Savings_Goal_Template.xlsx, Unit Savings Calculations Tab</v>
      </c>
      <c r="BF299" s="297"/>
    </row>
    <row r="300" spans="1:58" ht="13.5" customHeight="1">
      <c r="A300" s="287" t="str">
        <f>'Unit Savings Calculations'!C296</f>
        <v>Bus - Public Assessments</v>
      </c>
      <c r="B300" s="287" t="str">
        <f>'Unit Savings Calculations'!D296</f>
        <v>Aerator - Kitchen</v>
      </c>
      <c r="C300" s="288">
        <f t="shared" si="147"/>
        <v>1</v>
      </c>
      <c r="D300" s="287" t="str">
        <f>'Unit Savings Calculations'!T296</f>
        <v>4.3.2</v>
      </c>
      <c r="E300" s="287">
        <f>INDEX('Unit Savings Calculations'!$H$4:$H$421,MATCH('Measure-Level Adjustments Tab'!$A300&amp;"_"&amp;'Measure-Level Adjustments Tab'!$B300,'Unit Savings Calculations'!$A$4:$A$421,0))</f>
        <v>9</v>
      </c>
      <c r="F300" s="287">
        <f>INDEX('Unit Savings Calculations'!$I$4:$I$421,MATCH('Measure-Level Adjustments Tab'!A300&amp;"_"&amp;'Measure-Level Adjustments Tab'!B300,'Unit Savings Calculations'!$A$4:$A$421,0))</f>
        <v>10</v>
      </c>
      <c r="G300" s="287" t="str">
        <f>'Unit Savings Calculations'!E296</f>
        <v>each</v>
      </c>
      <c r="H300" s="289">
        <f>'Unit Savings Calculations'!$F296*'Unit Savings Calculations'!J296</f>
        <v>577</v>
      </c>
      <c r="I300" s="289">
        <f>'Unit Savings Calculations'!$F296*'Unit Savings Calculations'!K296</f>
        <v>577</v>
      </c>
      <c r="J300" s="289">
        <f>'Unit Savings Calculations'!$F296*'Unit Savings Calculations'!L296</f>
        <v>577</v>
      </c>
      <c r="K300" s="289">
        <f>'Unit Savings Calculations'!$F296*'Unit Savings Calculations'!M296</f>
        <v>577</v>
      </c>
      <c r="L300" s="287" t="str">
        <f>'Unit Savings Calculations'!U296</f>
        <v>CI-HWE-LFFA-V07-180101</v>
      </c>
      <c r="M300" s="363" t="s">
        <v>830</v>
      </c>
      <c r="N300" s="290">
        <v>7.4428057553956819</v>
      </c>
      <c r="O300" s="290">
        <v>7.4428057553956819</v>
      </c>
      <c r="P300" s="290">
        <v>7.4428057553956819</v>
      </c>
      <c r="Q300" s="290">
        <v>7.4428057553956819</v>
      </c>
      <c r="R300" s="291">
        <f>'Unit Savings Calculations'!$G296</f>
        <v>0.79</v>
      </c>
      <c r="S300" s="291">
        <f>'Unit Savings Calculations'!$G296</f>
        <v>0.79</v>
      </c>
      <c r="T300" s="291">
        <f>'Unit Savings Calculations'!$G296</f>
        <v>0.79</v>
      </c>
      <c r="U300" s="291">
        <f>'Unit Savings Calculations'!$G296</f>
        <v>0.79</v>
      </c>
      <c r="V300" s="292">
        <f t="shared" si="148"/>
        <v>3392.6541474820142</v>
      </c>
      <c r="W300" s="292">
        <f t="shared" si="149"/>
        <v>3392.6541474820142</v>
      </c>
      <c r="X300" s="292">
        <f t="shared" si="150"/>
        <v>3392.6541474820142</v>
      </c>
      <c r="Y300" s="292">
        <f t="shared" si="151"/>
        <v>3392.6541474820142</v>
      </c>
      <c r="Z300" s="292">
        <f t="shared" si="152"/>
        <v>13570.616589928057</v>
      </c>
      <c r="AA300" s="287"/>
      <c r="AB300" s="287"/>
      <c r="AC300" s="293">
        <f>'Unit Savings Calculations'!N296</f>
        <v>7.4428057553956819</v>
      </c>
      <c r="AD300" s="287"/>
      <c r="AE300" s="292">
        <f t="shared" si="138"/>
        <v>3392.6541474820142</v>
      </c>
      <c r="AF300" s="289">
        <f t="shared" si="139"/>
        <v>0</v>
      </c>
      <c r="AG300" s="287"/>
      <c r="AH300" s="287">
        <f t="shared" si="140"/>
        <v>0</v>
      </c>
      <c r="AI300" s="290">
        <f>'Unit Savings Calculations'!O296</f>
        <v>7.4428057553956819</v>
      </c>
      <c r="AJ300" s="287" t="s">
        <v>872</v>
      </c>
      <c r="AK300" s="292">
        <f t="shared" si="141"/>
        <v>3392.6541474820142</v>
      </c>
      <c r="AL300" s="289">
        <f t="shared" si="142"/>
        <v>0</v>
      </c>
      <c r="AM300" s="287"/>
      <c r="AN300" s="287"/>
      <c r="AO300" s="290">
        <f>'Unit Savings Calculations'!P296</f>
        <v>7.4428057553956819</v>
      </c>
      <c r="AP300" s="287" t="s">
        <v>764</v>
      </c>
      <c r="AQ300" s="292">
        <f t="shared" si="143"/>
        <v>3392.6541474820142</v>
      </c>
      <c r="AR300" s="289">
        <f t="shared" si="144"/>
        <v>0</v>
      </c>
      <c r="AS300" s="287"/>
      <c r="AT300" s="287"/>
      <c r="AU300" s="290">
        <f>'Unit Savings Calculations'!Q296</f>
        <v>7.4428057553956819</v>
      </c>
      <c r="AV300" s="287" t="str">
        <f t="shared" si="131"/>
        <v>n/a</v>
      </c>
      <c r="AW300" s="292">
        <f t="shared" si="145"/>
        <v>3392.6541474820142</v>
      </c>
      <c r="AX300" s="289">
        <f t="shared" si="146"/>
        <v>0</v>
      </c>
      <c r="AY300" s="292">
        <f t="shared" si="132"/>
        <v>3392.6541474820142</v>
      </c>
      <c r="AZ300" s="292">
        <f t="shared" si="133"/>
        <v>3392.6541474820142</v>
      </c>
      <c r="BA300" s="292">
        <f t="shared" si="134"/>
        <v>3392.6541474820142</v>
      </c>
      <c r="BB300" s="292">
        <f t="shared" si="135"/>
        <v>3392.6541474820142</v>
      </c>
      <c r="BC300" s="294">
        <f t="shared" si="136"/>
        <v>13570.616589928057</v>
      </c>
      <c r="BD300" s="287" t="s">
        <v>764</v>
      </c>
      <c r="BE300" s="295" t="str">
        <f t="shared" si="137"/>
        <v>Exhibit 1.5B_R Peoples Gas EEPS_Adjustable_Savings_Goal_Template.xlsx, Unit Savings Calculations Tab</v>
      </c>
      <c r="BF300" s="297"/>
    </row>
    <row r="301" spans="1:58" ht="13.5" customHeight="1">
      <c r="A301" s="287" t="str">
        <f>'Unit Savings Calculations'!C297</f>
        <v>Bus - Public Assessments</v>
      </c>
      <c r="B301" s="287" t="str">
        <f>'Unit Savings Calculations'!D297</f>
        <v>Showerhead</v>
      </c>
      <c r="C301" s="288">
        <f t="shared" si="147"/>
        <v>1</v>
      </c>
      <c r="D301" s="287" t="str">
        <f>'Unit Savings Calculations'!T297</f>
        <v>4.3.3</v>
      </c>
      <c r="E301" s="287">
        <f>INDEX('Unit Savings Calculations'!$H$4:$H$421,MATCH('Measure-Level Adjustments Tab'!$A301&amp;"_"&amp;'Measure-Level Adjustments Tab'!$B301,'Unit Savings Calculations'!$A$4:$A$421,0))</f>
        <v>10</v>
      </c>
      <c r="F301" s="287">
        <f>INDEX('Unit Savings Calculations'!$I$4:$I$421,MATCH('Measure-Level Adjustments Tab'!A301&amp;"_"&amp;'Measure-Level Adjustments Tab'!B301,'Unit Savings Calculations'!$A$4:$A$421,0))</f>
        <v>10</v>
      </c>
      <c r="G301" s="287" t="str">
        <f>'Unit Savings Calculations'!E297</f>
        <v>each</v>
      </c>
      <c r="H301" s="289">
        <f>'Unit Savings Calculations'!$F297*'Unit Savings Calculations'!J297</f>
        <v>670</v>
      </c>
      <c r="I301" s="289">
        <f>'Unit Savings Calculations'!$F297*'Unit Savings Calculations'!K297</f>
        <v>670</v>
      </c>
      <c r="J301" s="289">
        <f>'Unit Savings Calculations'!$F297*'Unit Savings Calculations'!L297</f>
        <v>670</v>
      </c>
      <c r="K301" s="289">
        <f>'Unit Savings Calculations'!$F297*'Unit Savings Calculations'!M297</f>
        <v>670</v>
      </c>
      <c r="L301" s="287" t="str">
        <f>'Unit Savings Calculations'!U297</f>
        <v>RS-HWE-LFSH-V04-180101</v>
      </c>
      <c r="M301" s="363" t="s">
        <v>830</v>
      </c>
      <c r="N301" s="290">
        <v>21.634983278999997</v>
      </c>
      <c r="O301" s="290">
        <v>21.634983278999997</v>
      </c>
      <c r="P301" s="290">
        <v>21.634983278999997</v>
      </c>
      <c r="Q301" s="290">
        <v>21.634983278999997</v>
      </c>
      <c r="R301" s="291">
        <f>'Unit Savings Calculations'!$G297</f>
        <v>0.79</v>
      </c>
      <c r="S301" s="291">
        <f>'Unit Savings Calculations'!$G297</f>
        <v>0.79</v>
      </c>
      <c r="T301" s="291">
        <f>'Unit Savings Calculations'!$G297</f>
        <v>0.79</v>
      </c>
      <c r="U301" s="291">
        <f>'Unit Savings Calculations'!$G297</f>
        <v>0.79</v>
      </c>
      <c r="V301" s="292">
        <f t="shared" si="148"/>
        <v>11451.396649574697</v>
      </c>
      <c r="W301" s="292">
        <f t="shared" si="149"/>
        <v>11451.396649574697</v>
      </c>
      <c r="X301" s="292">
        <f t="shared" si="150"/>
        <v>11451.396649574697</v>
      </c>
      <c r="Y301" s="292">
        <f t="shared" si="151"/>
        <v>11451.396649574697</v>
      </c>
      <c r="Z301" s="292">
        <f t="shared" si="152"/>
        <v>45805.586598298789</v>
      </c>
      <c r="AA301" s="287"/>
      <c r="AB301" s="287"/>
      <c r="AC301" s="293">
        <f>'Unit Savings Calculations'!N297</f>
        <v>19.917921113999995</v>
      </c>
      <c r="AD301" s="287"/>
      <c r="AE301" s="292">
        <f t="shared" si="138"/>
        <v>10542.555645640197</v>
      </c>
      <c r="AF301" s="289">
        <f t="shared" si="139"/>
        <v>-908.84100393449989</v>
      </c>
      <c r="AG301" s="287"/>
      <c r="AH301" s="287">
        <f t="shared" si="140"/>
        <v>0</v>
      </c>
      <c r="AI301" s="290">
        <f>'Unit Savings Calculations'!O297</f>
        <v>19.917921113999995</v>
      </c>
      <c r="AJ301" s="287" t="s">
        <v>872</v>
      </c>
      <c r="AK301" s="292">
        <f t="shared" si="141"/>
        <v>10542.555645640197</v>
      </c>
      <c r="AL301" s="289">
        <f t="shared" si="142"/>
        <v>-908.84100393449989</v>
      </c>
      <c r="AM301" s="287"/>
      <c r="AN301" s="287"/>
      <c r="AO301" s="290">
        <f>'Unit Savings Calculations'!P297</f>
        <v>19.917921113999995</v>
      </c>
      <c r="AP301" s="287" t="s">
        <v>1432</v>
      </c>
      <c r="AQ301" s="292">
        <f t="shared" si="143"/>
        <v>10542.555645640197</v>
      </c>
      <c r="AR301" s="289">
        <f t="shared" si="144"/>
        <v>-908.84100393449989</v>
      </c>
      <c r="AS301" s="287"/>
      <c r="AT301" s="287"/>
      <c r="AU301" s="290">
        <f>'Unit Savings Calculations'!Q297</f>
        <v>19.917921113999995</v>
      </c>
      <c r="AV301" s="287" t="str">
        <f t="shared" si="131"/>
        <v>Updated EPG_gas</v>
      </c>
      <c r="AW301" s="292">
        <f t="shared" si="145"/>
        <v>10542.555645640197</v>
      </c>
      <c r="AX301" s="289">
        <f t="shared" si="146"/>
        <v>-908.84100393449989</v>
      </c>
      <c r="AY301" s="292">
        <f t="shared" si="132"/>
        <v>10542.555645640197</v>
      </c>
      <c r="AZ301" s="292">
        <f t="shared" si="133"/>
        <v>10542.555645640197</v>
      </c>
      <c r="BA301" s="292">
        <f t="shared" si="134"/>
        <v>10542.555645640197</v>
      </c>
      <c r="BB301" s="292">
        <f t="shared" si="135"/>
        <v>10542.555645640197</v>
      </c>
      <c r="BC301" s="294">
        <f t="shared" si="136"/>
        <v>42170.222582560789</v>
      </c>
      <c r="BD301" s="287" t="s">
        <v>764</v>
      </c>
      <c r="BE301" s="295" t="str">
        <f t="shared" si="137"/>
        <v>Exhibit 1.5B_R Peoples Gas EEPS_Adjustable_Savings_Goal_Template.xlsx, Unit Savings Calculations Tab</v>
      </c>
      <c r="BF301" s="297"/>
    </row>
    <row r="302" spans="1:58" ht="13.5" customHeight="1">
      <c r="A302" s="287" t="str">
        <f>'Unit Savings Calculations'!C298</f>
        <v>Bus - Public Assessments</v>
      </c>
      <c r="B302" s="287" t="str">
        <f>'Unit Savings Calculations'!D298</f>
        <v>Pipe Insulation - DHW</v>
      </c>
      <c r="C302" s="288">
        <f t="shared" si="147"/>
        <v>1</v>
      </c>
      <c r="D302" s="287" t="str">
        <f>'Unit Savings Calculations'!T298</f>
        <v>4.4.14</v>
      </c>
      <c r="E302" s="287">
        <f>INDEX('Unit Savings Calculations'!$H$4:$H$421,MATCH('Measure-Level Adjustments Tab'!$A302&amp;"_"&amp;'Measure-Level Adjustments Tab'!$B302,'Unit Savings Calculations'!$A$4:$A$421,0))</f>
        <v>15</v>
      </c>
      <c r="F302" s="287">
        <f>INDEX('Unit Savings Calculations'!$I$4:$I$421,MATCH('Measure-Level Adjustments Tab'!A302&amp;"_"&amp;'Measure-Level Adjustments Tab'!B302,'Unit Savings Calculations'!$A$4:$A$421,0))</f>
        <v>15</v>
      </c>
      <c r="G302" s="287" t="str">
        <f>'Unit Savings Calculations'!E298</f>
        <v>each</v>
      </c>
      <c r="H302" s="289">
        <f>'Unit Savings Calculations'!$F298*'Unit Savings Calculations'!J298</f>
        <v>3584</v>
      </c>
      <c r="I302" s="289">
        <f>'Unit Savings Calculations'!$F298*'Unit Savings Calculations'!K298</f>
        <v>3584</v>
      </c>
      <c r="J302" s="289">
        <f>'Unit Savings Calculations'!$F298*'Unit Savings Calculations'!L298</f>
        <v>3584</v>
      </c>
      <c r="K302" s="289">
        <f>'Unit Savings Calculations'!$F298*'Unit Savings Calculations'!M298</f>
        <v>3584</v>
      </c>
      <c r="L302" s="287" t="str">
        <f>'Unit Savings Calculations'!U298</f>
        <v>CI-HVC-PINS-V04-160601</v>
      </c>
      <c r="M302" s="363" t="s">
        <v>830</v>
      </c>
      <c r="N302" s="290">
        <v>5.2492031493764015</v>
      </c>
      <c r="O302" s="290">
        <v>5.2492031493764015</v>
      </c>
      <c r="P302" s="290">
        <v>5.2492031493764015</v>
      </c>
      <c r="Q302" s="290">
        <v>5.2492031493764015</v>
      </c>
      <c r="R302" s="291">
        <f>'Unit Savings Calculations'!$G298</f>
        <v>0.79</v>
      </c>
      <c r="S302" s="291">
        <f>'Unit Savings Calculations'!$G298</f>
        <v>0.79</v>
      </c>
      <c r="T302" s="291">
        <f>'Unit Savings Calculations'!$G298</f>
        <v>0.79</v>
      </c>
      <c r="U302" s="291">
        <f>'Unit Savings Calculations'!$G298</f>
        <v>0.79</v>
      </c>
      <c r="V302" s="292">
        <f t="shared" si="148"/>
        <v>14862.38382901837</v>
      </c>
      <c r="W302" s="292">
        <f t="shared" si="149"/>
        <v>14862.38382901837</v>
      </c>
      <c r="X302" s="292">
        <f t="shared" si="150"/>
        <v>14862.38382901837</v>
      </c>
      <c r="Y302" s="292">
        <f t="shared" si="151"/>
        <v>14862.38382901837</v>
      </c>
      <c r="Z302" s="292">
        <f t="shared" si="152"/>
        <v>59449.535316073481</v>
      </c>
      <c r="AA302" s="287"/>
      <c r="AB302" s="287"/>
      <c r="AC302" s="293">
        <f>'Unit Savings Calculations'!N298</f>
        <v>5.2492031493764015</v>
      </c>
      <c r="AD302" s="287"/>
      <c r="AE302" s="292">
        <f t="shared" si="138"/>
        <v>14862.38382901837</v>
      </c>
      <c r="AF302" s="289">
        <f t="shared" si="139"/>
        <v>0</v>
      </c>
      <c r="AG302" s="287"/>
      <c r="AH302" s="287">
        <f t="shared" si="140"/>
        <v>0</v>
      </c>
      <c r="AI302" s="290">
        <f>'Unit Savings Calculations'!O298</f>
        <v>5.2492031493764015</v>
      </c>
      <c r="AJ302" s="287" t="s">
        <v>872</v>
      </c>
      <c r="AK302" s="292">
        <f t="shared" si="141"/>
        <v>14862.38382901837</v>
      </c>
      <c r="AL302" s="289">
        <f t="shared" si="142"/>
        <v>0</v>
      </c>
      <c r="AM302" s="287"/>
      <c r="AN302" s="287"/>
      <c r="AO302" s="290">
        <f>'Unit Savings Calculations'!P298</f>
        <v>5.2492031493764015</v>
      </c>
      <c r="AP302" s="287" t="s">
        <v>764</v>
      </c>
      <c r="AQ302" s="292">
        <f t="shared" si="143"/>
        <v>14862.38382901837</v>
      </c>
      <c r="AR302" s="289">
        <f t="shared" si="144"/>
        <v>0</v>
      </c>
      <c r="AS302" s="287"/>
      <c r="AT302" s="287"/>
      <c r="AU302" s="290">
        <f>'Unit Savings Calculations'!Q298</f>
        <v>5.2492031493764015</v>
      </c>
      <c r="AV302" s="287" t="str">
        <f t="shared" si="131"/>
        <v>n/a</v>
      </c>
      <c r="AW302" s="292">
        <f t="shared" si="145"/>
        <v>14862.38382901837</v>
      </c>
      <c r="AX302" s="289">
        <f t="shared" si="146"/>
        <v>0</v>
      </c>
      <c r="AY302" s="292">
        <f t="shared" si="132"/>
        <v>14862.38382901837</v>
      </c>
      <c r="AZ302" s="292">
        <f t="shared" si="133"/>
        <v>14862.38382901837</v>
      </c>
      <c r="BA302" s="292">
        <f t="shared" si="134"/>
        <v>14862.38382901837</v>
      </c>
      <c r="BB302" s="292">
        <f t="shared" si="135"/>
        <v>14862.38382901837</v>
      </c>
      <c r="BC302" s="294">
        <f t="shared" si="136"/>
        <v>59449.535316073481</v>
      </c>
      <c r="BD302" s="287" t="s">
        <v>764</v>
      </c>
      <c r="BE302" s="295" t="str">
        <f t="shared" si="137"/>
        <v>Exhibit 1.5B_R Peoples Gas EEPS_Adjustable_Savings_Goal_Template.xlsx, Unit Savings Calculations Tab</v>
      </c>
      <c r="BF302" s="297"/>
    </row>
    <row r="303" spans="1:58" ht="13.5" customHeight="1">
      <c r="A303" s="287" t="str">
        <f>'Unit Savings Calculations'!C299</f>
        <v>Bus - Public Assessments</v>
      </c>
      <c r="B303" s="287" t="str">
        <f>'Unit Savings Calculations'!D299</f>
        <v>Pre Rinse Sprayer</v>
      </c>
      <c r="C303" s="288">
        <f t="shared" si="147"/>
        <v>1</v>
      </c>
      <c r="D303" s="287" t="str">
        <f>'Unit Savings Calculations'!T299</f>
        <v>4.2.11</v>
      </c>
      <c r="E303" s="287">
        <f>INDEX('Unit Savings Calculations'!$H$4:$H$421,MATCH('Measure-Level Adjustments Tab'!$A303&amp;"_"&amp;'Measure-Level Adjustments Tab'!$B303,'Unit Savings Calculations'!$A$4:$A$421,0))</f>
        <v>5</v>
      </c>
      <c r="F303" s="287">
        <f>INDEX('Unit Savings Calculations'!$I$4:$I$421,MATCH('Measure-Level Adjustments Tab'!A303&amp;"_"&amp;'Measure-Level Adjustments Tab'!B303,'Unit Savings Calculations'!$A$4:$A$421,0))</f>
        <v>5</v>
      </c>
      <c r="G303" s="287" t="str">
        <f>'Unit Savings Calculations'!E299</f>
        <v>each</v>
      </c>
      <c r="H303" s="289">
        <f>'Unit Savings Calculations'!$F299*'Unit Savings Calculations'!J299</f>
        <v>124</v>
      </c>
      <c r="I303" s="289">
        <f>'Unit Savings Calculations'!$F299*'Unit Savings Calculations'!K299</f>
        <v>124</v>
      </c>
      <c r="J303" s="289">
        <f>'Unit Savings Calculations'!$F299*'Unit Savings Calculations'!L299</f>
        <v>124</v>
      </c>
      <c r="K303" s="289">
        <f>'Unit Savings Calculations'!$F299*'Unit Savings Calculations'!M299</f>
        <v>124</v>
      </c>
      <c r="L303" s="287" t="str">
        <f>'Unit Savings Calculations'!U299</f>
        <v>CI-FSE-SPRY-V04-180101</v>
      </c>
      <c r="M303" s="363" t="s">
        <v>830</v>
      </c>
      <c r="N303" s="290">
        <v>171.92120399999999</v>
      </c>
      <c r="O303" s="290">
        <v>171.92120399999999</v>
      </c>
      <c r="P303" s="290">
        <v>171.92120399999999</v>
      </c>
      <c r="Q303" s="290">
        <v>171.92120399999999</v>
      </c>
      <c r="R303" s="291">
        <f>'Unit Savings Calculations'!$G299</f>
        <v>0.79</v>
      </c>
      <c r="S303" s="291">
        <f>'Unit Savings Calculations'!$G299</f>
        <v>0.79</v>
      </c>
      <c r="T303" s="291">
        <f>'Unit Savings Calculations'!$G299</f>
        <v>0.79</v>
      </c>
      <c r="U303" s="291">
        <f>'Unit Savings Calculations'!$G299</f>
        <v>0.79</v>
      </c>
      <c r="V303" s="292">
        <f t="shared" si="148"/>
        <v>16841.401143839998</v>
      </c>
      <c r="W303" s="292">
        <f t="shared" si="149"/>
        <v>16841.401143839998</v>
      </c>
      <c r="X303" s="292">
        <f t="shared" si="150"/>
        <v>16841.401143839998</v>
      </c>
      <c r="Y303" s="292">
        <f t="shared" si="151"/>
        <v>16841.401143839998</v>
      </c>
      <c r="Z303" s="292">
        <f t="shared" si="152"/>
        <v>67365.60457535999</v>
      </c>
      <c r="AA303" s="287"/>
      <c r="AB303" s="287"/>
      <c r="AC303" s="293">
        <f>'Unit Savings Calculations'!N299</f>
        <v>237.414996</v>
      </c>
      <c r="AD303" s="287"/>
      <c r="AE303" s="292">
        <f t="shared" si="138"/>
        <v>23257.17300816</v>
      </c>
      <c r="AF303" s="289">
        <f t="shared" si="139"/>
        <v>6415.7718643200024</v>
      </c>
      <c r="AG303" s="287"/>
      <c r="AH303" s="287">
        <f t="shared" si="140"/>
        <v>0</v>
      </c>
      <c r="AI303" s="290">
        <f>'Unit Savings Calculations'!O299</f>
        <v>237.414996</v>
      </c>
      <c r="AJ303" s="287" t="s">
        <v>872</v>
      </c>
      <c r="AK303" s="292">
        <f t="shared" si="141"/>
        <v>23257.17300816</v>
      </c>
      <c r="AL303" s="289">
        <f t="shared" si="142"/>
        <v>6415.7718643200024</v>
      </c>
      <c r="AM303" s="287"/>
      <c r="AN303" s="287"/>
      <c r="AO303" s="290">
        <f>'Unit Savings Calculations'!P299</f>
        <v>237.414996</v>
      </c>
      <c r="AP303" s="287" t="s">
        <v>1430</v>
      </c>
      <c r="AQ303" s="292">
        <f t="shared" si="143"/>
        <v>23257.17300816</v>
      </c>
      <c r="AR303" s="289">
        <f t="shared" si="144"/>
        <v>6415.7718643200024</v>
      </c>
      <c r="AS303" s="287"/>
      <c r="AT303" s="287"/>
      <c r="AU303" s="290">
        <f>'Unit Savings Calculations'!Q299</f>
        <v>237.414996</v>
      </c>
      <c r="AV303" s="287" t="str">
        <f t="shared" si="131"/>
        <v>Updated base and EE flow rates</v>
      </c>
      <c r="AW303" s="292">
        <f t="shared" si="145"/>
        <v>23257.17300816</v>
      </c>
      <c r="AX303" s="289">
        <f t="shared" si="146"/>
        <v>6415.7718643200024</v>
      </c>
      <c r="AY303" s="292">
        <f t="shared" si="132"/>
        <v>23257.17300816</v>
      </c>
      <c r="AZ303" s="292">
        <f t="shared" si="133"/>
        <v>23257.17300816</v>
      </c>
      <c r="BA303" s="292">
        <f t="shared" si="134"/>
        <v>23257.17300816</v>
      </c>
      <c r="BB303" s="292">
        <f t="shared" si="135"/>
        <v>23257.17300816</v>
      </c>
      <c r="BC303" s="294">
        <f t="shared" si="136"/>
        <v>93028.69203264</v>
      </c>
      <c r="BD303" s="287" t="s">
        <v>764</v>
      </c>
      <c r="BE303" s="295" t="str">
        <f t="shared" si="137"/>
        <v>Exhibit 1.5B_R Peoples Gas EEPS_Adjustable_Savings_Goal_Template.xlsx, Unit Savings Calculations Tab</v>
      </c>
      <c r="BF303" s="297"/>
    </row>
    <row r="304" spans="1:58" ht="13.5" customHeight="1">
      <c r="A304" s="287" t="str">
        <f>'Unit Savings Calculations'!C300</f>
        <v>Bus - Public Assessments</v>
      </c>
      <c r="B304" s="287" t="str">
        <f>'Unit Savings Calculations'!D300</f>
        <v>Gas Optimization</v>
      </c>
      <c r="C304" s="288">
        <f t="shared" si="147"/>
        <v>0</v>
      </c>
      <c r="D304" s="287" t="str">
        <f>'Unit Savings Calculations'!T300</f>
        <v>Custom</v>
      </c>
      <c r="E304" s="287">
        <f>INDEX('Unit Savings Calculations'!$H$4:$H$421,MATCH('Measure-Level Adjustments Tab'!$A304&amp;"_"&amp;'Measure-Level Adjustments Tab'!$B304,'Unit Savings Calculations'!$A$4:$A$421,0))</f>
        <v>15</v>
      </c>
      <c r="F304" s="287">
        <f>INDEX('Unit Savings Calculations'!$I$4:$I$421,MATCH('Measure-Level Adjustments Tab'!A304&amp;"_"&amp;'Measure-Level Adjustments Tab'!B304,'Unit Savings Calculations'!$A$4:$A$421,0))</f>
        <v>15</v>
      </c>
      <c r="G304" s="287" t="str">
        <f>'Unit Savings Calculations'!E300</f>
        <v>each</v>
      </c>
      <c r="H304" s="289">
        <f>'Unit Savings Calculations'!$F300*'Unit Savings Calculations'!J300</f>
        <v>3</v>
      </c>
      <c r="I304" s="289">
        <f>'Unit Savings Calculations'!$F300*'Unit Savings Calculations'!K300</f>
        <v>3</v>
      </c>
      <c r="J304" s="289">
        <f>'Unit Savings Calculations'!$F300*'Unit Savings Calculations'!L300</f>
        <v>3</v>
      </c>
      <c r="K304" s="289">
        <f>'Unit Savings Calculations'!$F300*'Unit Savings Calculations'!M300</f>
        <v>3</v>
      </c>
      <c r="L304" s="287" t="str">
        <f>'Unit Savings Calculations'!U300</f>
        <v>Custom</v>
      </c>
      <c r="M304" s="287" t="str">
        <f>'Unit Savings Calculations'!S300</f>
        <v>Custom</v>
      </c>
      <c r="N304" s="290">
        <v>83100</v>
      </c>
      <c r="O304" s="290">
        <v>83100</v>
      </c>
      <c r="P304" s="290">
        <v>83100</v>
      </c>
      <c r="Q304" s="290">
        <v>83100</v>
      </c>
      <c r="R304" s="291">
        <f>'Unit Savings Calculations'!$G300</f>
        <v>1.02</v>
      </c>
      <c r="S304" s="291">
        <f>'Unit Savings Calculations'!$G300</f>
        <v>1.02</v>
      </c>
      <c r="T304" s="291">
        <f>'Unit Savings Calculations'!$G300</f>
        <v>1.02</v>
      </c>
      <c r="U304" s="291">
        <f>'Unit Savings Calculations'!$G300</f>
        <v>1.02</v>
      </c>
      <c r="V304" s="292">
        <f t="shared" si="148"/>
        <v>254286</v>
      </c>
      <c r="W304" s="292">
        <f t="shared" si="149"/>
        <v>254286</v>
      </c>
      <c r="X304" s="292">
        <f t="shared" si="150"/>
        <v>254286</v>
      </c>
      <c r="Y304" s="292">
        <f t="shared" si="151"/>
        <v>254286</v>
      </c>
      <c r="Z304" s="292">
        <f t="shared" si="152"/>
        <v>1017144</v>
      </c>
      <c r="AA304" s="364"/>
      <c r="AB304" s="364"/>
      <c r="AC304" s="365">
        <f>'Unit Savings Calculations'!N300</f>
        <v>83100</v>
      </c>
      <c r="AD304" s="364"/>
      <c r="AE304" s="366">
        <f t="shared" si="138"/>
        <v>254286</v>
      </c>
      <c r="AF304" s="367">
        <f t="shared" si="139"/>
        <v>0</v>
      </c>
      <c r="AG304" s="364"/>
      <c r="AH304" s="364">
        <f t="shared" si="140"/>
        <v>0</v>
      </c>
      <c r="AI304" s="368">
        <f>'Unit Savings Calculations'!O300</f>
        <v>83100</v>
      </c>
      <c r="AJ304" s="364" t="s">
        <v>872</v>
      </c>
      <c r="AK304" s="366">
        <f t="shared" si="141"/>
        <v>254286</v>
      </c>
      <c r="AL304" s="367">
        <f t="shared" si="142"/>
        <v>0</v>
      </c>
      <c r="AM304" s="364"/>
      <c r="AN304" s="364"/>
      <c r="AO304" s="368">
        <f>'Unit Savings Calculations'!P300</f>
        <v>83100</v>
      </c>
      <c r="AP304" s="364" t="s">
        <v>764</v>
      </c>
      <c r="AQ304" s="366">
        <f t="shared" si="143"/>
        <v>254286</v>
      </c>
      <c r="AR304" s="367">
        <f t="shared" si="144"/>
        <v>0</v>
      </c>
      <c r="AS304" s="364"/>
      <c r="AT304" s="364"/>
      <c r="AU304" s="368">
        <f>'Unit Savings Calculations'!Q300</f>
        <v>83100</v>
      </c>
      <c r="AV304" s="364" t="str">
        <f t="shared" si="131"/>
        <v>n/a</v>
      </c>
      <c r="AW304" s="366">
        <f t="shared" si="145"/>
        <v>254286</v>
      </c>
      <c r="AX304" s="367">
        <f t="shared" si="146"/>
        <v>0</v>
      </c>
      <c r="AY304" s="292">
        <f t="shared" si="132"/>
        <v>254286</v>
      </c>
      <c r="AZ304" s="292">
        <f t="shared" si="133"/>
        <v>254286</v>
      </c>
      <c r="BA304" s="292">
        <f t="shared" si="134"/>
        <v>254286</v>
      </c>
      <c r="BB304" s="292">
        <f t="shared" si="135"/>
        <v>254286</v>
      </c>
      <c r="BC304" s="294">
        <f t="shared" si="136"/>
        <v>1017144</v>
      </c>
      <c r="BD304" s="287" t="s">
        <v>764</v>
      </c>
      <c r="BE304" s="295" t="str">
        <f t="shared" si="137"/>
        <v>Custom</v>
      </c>
      <c r="BF304" s="297"/>
    </row>
    <row r="305" spans="1:58" ht="13.5" customHeight="1">
      <c r="A305" s="287" t="str">
        <f>'Unit Savings Calculations'!C301</f>
        <v>Bus - Public Assessments</v>
      </c>
      <c r="B305" s="287" t="str">
        <f>'Unit Savings Calculations'!D301</f>
        <v>Retrocommissioning</v>
      </c>
      <c r="C305" s="288">
        <f t="shared" si="147"/>
        <v>0</v>
      </c>
      <c r="D305" s="287" t="str">
        <f>'Unit Savings Calculations'!T301</f>
        <v>Custom</v>
      </c>
      <c r="E305" s="287">
        <f>INDEX('Unit Savings Calculations'!$H$4:$H$421,MATCH('Measure-Level Adjustments Tab'!$A305&amp;"_"&amp;'Measure-Level Adjustments Tab'!$B305,'Unit Savings Calculations'!$A$4:$A$421,0))</f>
        <v>15</v>
      </c>
      <c r="F305" s="287">
        <f>INDEX('Unit Savings Calculations'!$I$4:$I$421,MATCH('Measure-Level Adjustments Tab'!A305&amp;"_"&amp;'Measure-Level Adjustments Tab'!B305,'Unit Savings Calculations'!$A$4:$A$421,0))</f>
        <v>15</v>
      </c>
      <c r="G305" s="287" t="str">
        <f>'Unit Savings Calculations'!E301</f>
        <v>each</v>
      </c>
      <c r="H305" s="289">
        <f>'Unit Savings Calculations'!$F301*'Unit Savings Calculations'!J301</f>
        <v>4</v>
      </c>
      <c r="I305" s="289">
        <f>'Unit Savings Calculations'!$F301*'Unit Savings Calculations'!K301</f>
        <v>4</v>
      </c>
      <c r="J305" s="289">
        <f>'Unit Savings Calculations'!$F301*'Unit Savings Calculations'!L301</f>
        <v>4</v>
      </c>
      <c r="K305" s="289">
        <f>'Unit Savings Calculations'!$F301*'Unit Savings Calculations'!M301</f>
        <v>4</v>
      </c>
      <c r="L305" s="287" t="str">
        <f>'Unit Savings Calculations'!U301</f>
        <v>Custom</v>
      </c>
      <c r="M305" s="287" t="str">
        <f>'Unit Savings Calculations'!S301</f>
        <v>Custom</v>
      </c>
      <c r="N305" s="290">
        <v>59000</v>
      </c>
      <c r="O305" s="290">
        <v>59000</v>
      </c>
      <c r="P305" s="290">
        <v>59000</v>
      </c>
      <c r="Q305" s="290">
        <v>59000</v>
      </c>
      <c r="R305" s="291">
        <f>'Unit Savings Calculations'!$G301</f>
        <v>1.02</v>
      </c>
      <c r="S305" s="291">
        <f>'Unit Savings Calculations'!$G301</f>
        <v>1.02</v>
      </c>
      <c r="T305" s="291">
        <f>'Unit Savings Calculations'!$G301</f>
        <v>1.02</v>
      </c>
      <c r="U305" s="291">
        <f>'Unit Savings Calculations'!$G301</f>
        <v>1.02</v>
      </c>
      <c r="V305" s="292">
        <f t="shared" si="148"/>
        <v>240720</v>
      </c>
      <c r="W305" s="292">
        <f t="shared" si="149"/>
        <v>240720</v>
      </c>
      <c r="X305" s="292">
        <f t="shared" si="150"/>
        <v>240720</v>
      </c>
      <c r="Y305" s="292">
        <f t="shared" si="151"/>
        <v>240720</v>
      </c>
      <c r="Z305" s="292">
        <f t="shared" si="152"/>
        <v>962880</v>
      </c>
      <c r="AA305" s="364"/>
      <c r="AB305" s="364"/>
      <c r="AC305" s="365">
        <f>'Unit Savings Calculations'!N301</f>
        <v>59000</v>
      </c>
      <c r="AD305" s="364"/>
      <c r="AE305" s="366">
        <f t="shared" si="138"/>
        <v>240720</v>
      </c>
      <c r="AF305" s="367">
        <f t="shared" si="139"/>
        <v>0</v>
      </c>
      <c r="AG305" s="364"/>
      <c r="AH305" s="364">
        <f t="shared" si="140"/>
        <v>0</v>
      </c>
      <c r="AI305" s="368">
        <f>'Unit Savings Calculations'!O301</f>
        <v>59000</v>
      </c>
      <c r="AJ305" s="364" t="s">
        <v>872</v>
      </c>
      <c r="AK305" s="366">
        <f t="shared" si="141"/>
        <v>240720</v>
      </c>
      <c r="AL305" s="367">
        <f t="shared" si="142"/>
        <v>0</v>
      </c>
      <c r="AM305" s="364"/>
      <c r="AN305" s="364"/>
      <c r="AO305" s="368">
        <f>'Unit Savings Calculations'!P301</f>
        <v>59000</v>
      </c>
      <c r="AP305" s="364" t="s">
        <v>764</v>
      </c>
      <c r="AQ305" s="366">
        <f t="shared" si="143"/>
        <v>240720</v>
      </c>
      <c r="AR305" s="367">
        <f t="shared" si="144"/>
        <v>0</v>
      </c>
      <c r="AS305" s="364"/>
      <c r="AT305" s="364"/>
      <c r="AU305" s="368">
        <f>'Unit Savings Calculations'!Q301</f>
        <v>59000</v>
      </c>
      <c r="AV305" s="364" t="str">
        <f t="shared" si="131"/>
        <v>n/a</v>
      </c>
      <c r="AW305" s="366">
        <f t="shared" si="145"/>
        <v>240720</v>
      </c>
      <c r="AX305" s="367">
        <f t="shared" si="146"/>
        <v>0</v>
      </c>
      <c r="AY305" s="292">
        <f t="shared" si="132"/>
        <v>240720</v>
      </c>
      <c r="AZ305" s="292">
        <f t="shared" si="133"/>
        <v>240720</v>
      </c>
      <c r="BA305" s="292">
        <f t="shared" si="134"/>
        <v>240720</v>
      </c>
      <c r="BB305" s="292">
        <f t="shared" si="135"/>
        <v>240720</v>
      </c>
      <c r="BC305" s="294">
        <f t="shared" si="136"/>
        <v>962880</v>
      </c>
      <c r="BD305" s="287" t="s">
        <v>764</v>
      </c>
      <c r="BE305" s="295" t="str">
        <f t="shared" si="137"/>
        <v>Custom</v>
      </c>
      <c r="BF305" s="297"/>
    </row>
    <row r="306" spans="1:58" ht="13.5" customHeight="1">
      <c r="A306" s="287" t="str">
        <f>'Unit Savings Calculations'!C302</f>
        <v>Bus - Public Rebates</v>
      </c>
      <c r="B306" s="287" t="str">
        <f>'Unit Savings Calculations'!D302</f>
        <v>Boiler ≥88% AFUE, &lt;300MBh</v>
      </c>
      <c r="C306" s="288">
        <f t="shared" si="147"/>
        <v>1</v>
      </c>
      <c r="D306" s="287" t="str">
        <f>'Unit Savings Calculations'!T302</f>
        <v>4.4.10</v>
      </c>
      <c r="E306" s="287">
        <f>INDEX('Unit Savings Calculations'!$H$4:$H$421,MATCH('Measure-Level Adjustments Tab'!$A306&amp;"_"&amp;'Measure-Level Adjustments Tab'!$B306,'Unit Savings Calculations'!$A$4:$A$421,0))</f>
        <v>20</v>
      </c>
      <c r="F306" s="287">
        <f>INDEX('Unit Savings Calculations'!$I$4:$I$421,MATCH('Measure-Level Adjustments Tab'!A306&amp;"_"&amp;'Measure-Level Adjustments Tab'!B306,'Unit Savings Calculations'!$A$4:$A$421,0))</f>
        <v>20</v>
      </c>
      <c r="G306" s="287" t="str">
        <f>'Unit Savings Calculations'!E302</f>
        <v>MBH</v>
      </c>
      <c r="H306" s="289">
        <f>'Unit Savings Calculations'!$F302*'Unit Savings Calculations'!J302</f>
        <v>0</v>
      </c>
      <c r="I306" s="289">
        <f>'Unit Savings Calculations'!$F302*'Unit Savings Calculations'!K302</f>
        <v>0</v>
      </c>
      <c r="J306" s="289">
        <f>'Unit Savings Calculations'!$F302*'Unit Savings Calculations'!L302</f>
        <v>0</v>
      </c>
      <c r="K306" s="289">
        <f>'Unit Savings Calculations'!$F302*'Unit Savings Calculations'!M302</f>
        <v>0</v>
      </c>
      <c r="L306" s="287" t="str">
        <f>'Unit Savings Calculations'!U302</f>
        <v>CI-HVC-BOIL-V05-150601</v>
      </c>
      <c r="M306" s="363" t="s">
        <v>830</v>
      </c>
      <c r="N306" s="290">
        <v>1.126097560975611</v>
      </c>
      <c r="O306" s="290">
        <v>1.126097560975611</v>
      </c>
      <c r="P306" s="290">
        <v>1.126097560975611</v>
      </c>
      <c r="Q306" s="290">
        <v>1.126097560975611</v>
      </c>
      <c r="R306" s="291">
        <f>'Unit Savings Calculations'!$G302</f>
        <v>0.79</v>
      </c>
      <c r="S306" s="291">
        <f>'Unit Savings Calculations'!$G302</f>
        <v>0.79</v>
      </c>
      <c r="T306" s="291">
        <f>'Unit Savings Calculations'!$G302</f>
        <v>0.79</v>
      </c>
      <c r="U306" s="291">
        <f>'Unit Savings Calculations'!$G302</f>
        <v>0.79</v>
      </c>
      <c r="V306" s="292">
        <f t="shared" si="148"/>
        <v>0</v>
      </c>
      <c r="W306" s="292">
        <f t="shared" si="149"/>
        <v>0</v>
      </c>
      <c r="X306" s="292">
        <f t="shared" si="150"/>
        <v>0</v>
      </c>
      <c r="Y306" s="292">
        <f t="shared" si="151"/>
        <v>0</v>
      </c>
      <c r="Z306" s="292">
        <f t="shared" si="152"/>
        <v>0</v>
      </c>
      <c r="AA306" s="287"/>
      <c r="AB306" s="287"/>
      <c r="AC306" s="293">
        <f>'Unit Savings Calculations'!N302</f>
        <v>1.2278048780487816</v>
      </c>
      <c r="AD306" s="287"/>
      <c r="AE306" s="292">
        <f t="shared" si="138"/>
        <v>0</v>
      </c>
      <c r="AF306" s="289">
        <f t="shared" si="139"/>
        <v>0</v>
      </c>
      <c r="AG306" s="287"/>
      <c r="AH306" s="287">
        <f t="shared" si="140"/>
        <v>0</v>
      </c>
      <c r="AI306" s="290">
        <f>'Unit Savings Calculations'!O302</f>
        <v>1.2278048780487816</v>
      </c>
      <c r="AJ306" s="287" t="s">
        <v>872</v>
      </c>
      <c r="AK306" s="292">
        <f t="shared" si="141"/>
        <v>0</v>
      </c>
      <c r="AL306" s="289">
        <f t="shared" si="142"/>
        <v>0</v>
      </c>
      <c r="AM306" s="287"/>
      <c r="AN306" s="287"/>
      <c r="AO306" s="290">
        <f>'Unit Savings Calculations'!P302</f>
        <v>1.2278048780487816</v>
      </c>
      <c r="AP306" s="287" t="s">
        <v>1450</v>
      </c>
      <c r="AQ306" s="292">
        <f t="shared" si="143"/>
        <v>0</v>
      </c>
      <c r="AR306" s="289">
        <f t="shared" si="144"/>
        <v>0</v>
      </c>
      <c r="AS306" s="287"/>
      <c r="AT306" s="287"/>
      <c r="AU306" s="290">
        <f>'Unit Savings Calculations'!Q302</f>
        <v>1.2278048780487816</v>
      </c>
      <c r="AV306" s="287" t="str">
        <f t="shared" si="131"/>
        <v>Updated heating EFLH</v>
      </c>
      <c r="AW306" s="292">
        <f t="shared" si="145"/>
        <v>0</v>
      </c>
      <c r="AX306" s="289">
        <f t="shared" si="146"/>
        <v>0</v>
      </c>
      <c r="AY306" s="292">
        <f t="shared" si="132"/>
        <v>0</v>
      </c>
      <c r="AZ306" s="292">
        <f t="shared" si="133"/>
        <v>0</v>
      </c>
      <c r="BA306" s="292">
        <f t="shared" si="134"/>
        <v>0</v>
      </c>
      <c r="BB306" s="292">
        <f t="shared" si="135"/>
        <v>0</v>
      </c>
      <c r="BC306" s="294">
        <f t="shared" si="136"/>
        <v>0</v>
      </c>
      <c r="BD306" s="287" t="s">
        <v>764</v>
      </c>
      <c r="BE306" s="295" t="str">
        <f t="shared" si="137"/>
        <v>Exhibit 1.5B_R Peoples Gas EEPS_Adjustable_Savings_Goal_Template.xlsx, Unit Savings Calculations Tab</v>
      </c>
      <c r="BF306" s="297"/>
    </row>
    <row r="307" spans="1:58" ht="13.5" customHeight="1">
      <c r="A307" s="287" t="str">
        <f>'Unit Savings Calculations'!C303</f>
        <v>Bus - Public Rebates</v>
      </c>
      <c r="B307" s="287" t="str">
        <f>'Unit Savings Calculations'!D303</f>
        <v>Boiler ≥88% AFUE, ≥300MBh TE</v>
      </c>
      <c r="C307" s="288">
        <f t="shared" si="147"/>
        <v>1</v>
      </c>
      <c r="D307" s="287" t="str">
        <f>'Unit Savings Calculations'!T303</f>
        <v>4.4.10</v>
      </c>
      <c r="E307" s="287">
        <f>INDEX('Unit Savings Calculations'!$H$4:$H$421,MATCH('Measure-Level Adjustments Tab'!$A307&amp;"_"&amp;'Measure-Level Adjustments Tab'!$B307,'Unit Savings Calculations'!$A$4:$A$421,0))</f>
        <v>20</v>
      </c>
      <c r="F307" s="287">
        <f>INDEX('Unit Savings Calculations'!$I$4:$I$421,MATCH('Measure-Level Adjustments Tab'!A307&amp;"_"&amp;'Measure-Level Adjustments Tab'!B307,'Unit Savings Calculations'!$A$4:$A$421,0))</f>
        <v>20</v>
      </c>
      <c r="G307" s="287" t="str">
        <f>'Unit Savings Calculations'!E303</f>
        <v>MBH</v>
      </c>
      <c r="H307" s="289">
        <f>'Unit Savings Calculations'!$F303*'Unit Savings Calculations'!J303</f>
        <v>3200</v>
      </c>
      <c r="I307" s="289">
        <f>'Unit Savings Calculations'!$F303*'Unit Savings Calculations'!K303</f>
        <v>3200</v>
      </c>
      <c r="J307" s="289">
        <f>'Unit Savings Calculations'!$F303*'Unit Savings Calculations'!L303</f>
        <v>3200</v>
      </c>
      <c r="K307" s="289">
        <f>'Unit Savings Calculations'!$F303*'Unit Savings Calculations'!M303</f>
        <v>3200</v>
      </c>
      <c r="L307" s="287" t="str">
        <f>'Unit Savings Calculations'!U303</f>
        <v>CI-HVC-BOIL-V05-150601</v>
      </c>
      <c r="M307" s="363" t="s">
        <v>830</v>
      </c>
      <c r="N307" s="290">
        <v>1.5389999999999993</v>
      </c>
      <c r="O307" s="290">
        <v>1.5389999999999993</v>
      </c>
      <c r="P307" s="290">
        <v>1.5389999999999993</v>
      </c>
      <c r="Q307" s="290">
        <v>1.5389999999999993</v>
      </c>
      <c r="R307" s="291">
        <f>'Unit Savings Calculations'!$G303</f>
        <v>0.79</v>
      </c>
      <c r="S307" s="291">
        <f>'Unit Savings Calculations'!$G303</f>
        <v>0.79</v>
      </c>
      <c r="T307" s="291">
        <f>'Unit Savings Calculations'!$G303</f>
        <v>0.79</v>
      </c>
      <c r="U307" s="291">
        <f>'Unit Savings Calculations'!$G303</f>
        <v>0.79</v>
      </c>
      <c r="V307" s="292">
        <f t="shared" si="148"/>
        <v>3890.5919999999983</v>
      </c>
      <c r="W307" s="292">
        <f t="shared" si="149"/>
        <v>3890.5919999999983</v>
      </c>
      <c r="X307" s="292">
        <f t="shared" si="150"/>
        <v>3890.5919999999983</v>
      </c>
      <c r="Y307" s="292">
        <f t="shared" si="151"/>
        <v>3890.5919999999983</v>
      </c>
      <c r="Z307" s="292">
        <f t="shared" si="152"/>
        <v>15562.367999999993</v>
      </c>
      <c r="AA307" s="287"/>
      <c r="AB307" s="287"/>
      <c r="AC307" s="293">
        <f>'Unit Savings Calculations'!N303</f>
        <v>1.6779999999999993</v>
      </c>
      <c r="AD307" s="287"/>
      <c r="AE307" s="292">
        <f t="shared" si="138"/>
        <v>4241.9839999999986</v>
      </c>
      <c r="AF307" s="289">
        <f t="shared" si="139"/>
        <v>351.39200000000028</v>
      </c>
      <c r="AG307" s="287"/>
      <c r="AH307" s="287">
        <f t="shared" si="140"/>
        <v>0</v>
      </c>
      <c r="AI307" s="290">
        <f>'Unit Savings Calculations'!O303</f>
        <v>1.6779999999999993</v>
      </c>
      <c r="AJ307" s="287" t="s">
        <v>872</v>
      </c>
      <c r="AK307" s="292">
        <f t="shared" si="141"/>
        <v>4241.9839999999986</v>
      </c>
      <c r="AL307" s="289">
        <f t="shared" si="142"/>
        <v>351.39200000000028</v>
      </c>
      <c r="AM307" s="287"/>
      <c r="AN307" s="287"/>
      <c r="AO307" s="290">
        <f>'Unit Savings Calculations'!P303</f>
        <v>1.6779999999999993</v>
      </c>
      <c r="AP307" s="287" t="s">
        <v>1450</v>
      </c>
      <c r="AQ307" s="292">
        <f t="shared" si="143"/>
        <v>4241.9839999999986</v>
      </c>
      <c r="AR307" s="289">
        <f t="shared" si="144"/>
        <v>351.39200000000028</v>
      </c>
      <c r="AS307" s="287"/>
      <c r="AT307" s="287"/>
      <c r="AU307" s="290">
        <f>'Unit Savings Calculations'!Q303</f>
        <v>1.6779999999999993</v>
      </c>
      <c r="AV307" s="287" t="str">
        <f t="shared" si="131"/>
        <v>Updated heating EFLH</v>
      </c>
      <c r="AW307" s="292">
        <f t="shared" si="145"/>
        <v>4241.9839999999986</v>
      </c>
      <c r="AX307" s="289">
        <f t="shared" si="146"/>
        <v>351.39200000000028</v>
      </c>
      <c r="AY307" s="292">
        <f t="shared" si="132"/>
        <v>4241.9839999999986</v>
      </c>
      <c r="AZ307" s="292">
        <f t="shared" si="133"/>
        <v>4241.9839999999986</v>
      </c>
      <c r="BA307" s="292">
        <f t="shared" si="134"/>
        <v>4241.9839999999986</v>
      </c>
      <c r="BB307" s="292">
        <f t="shared" si="135"/>
        <v>4241.9839999999986</v>
      </c>
      <c r="BC307" s="294">
        <f t="shared" si="136"/>
        <v>16967.935999999994</v>
      </c>
      <c r="BD307" s="287" t="s">
        <v>764</v>
      </c>
      <c r="BE307" s="295" t="str">
        <f t="shared" si="137"/>
        <v>Exhibit 1.5B_R Peoples Gas EEPS_Adjustable_Savings_Goal_Template.xlsx, Unit Savings Calculations Tab</v>
      </c>
      <c r="BF307" s="297"/>
    </row>
    <row r="308" spans="1:58" ht="13.5" customHeight="1">
      <c r="A308" s="287" t="str">
        <f>'Unit Savings Calculations'!C304</f>
        <v>Bus - Public Rebates</v>
      </c>
      <c r="B308" s="287" t="str">
        <f>'Unit Savings Calculations'!D304</f>
        <v>Boiler Reset Controls</v>
      </c>
      <c r="C308" s="288">
        <f t="shared" si="147"/>
        <v>1</v>
      </c>
      <c r="D308" s="287" t="str">
        <f>'Unit Savings Calculations'!T304</f>
        <v>4.4.4</v>
      </c>
      <c r="E308" s="287">
        <f>INDEX('Unit Savings Calculations'!$H$4:$H$421,MATCH('Measure-Level Adjustments Tab'!$A308&amp;"_"&amp;'Measure-Level Adjustments Tab'!$B308,'Unit Savings Calculations'!$A$4:$A$421,0))</f>
        <v>20</v>
      </c>
      <c r="F308" s="287">
        <f>INDEX('Unit Savings Calculations'!$I$4:$I$421,MATCH('Measure-Level Adjustments Tab'!A308&amp;"_"&amp;'Measure-Level Adjustments Tab'!B308,'Unit Savings Calculations'!$A$4:$A$421,0))</f>
        <v>20</v>
      </c>
      <c r="G308" s="287" t="str">
        <f>'Unit Savings Calculations'!E304</f>
        <v>each</v>
      </c>
      <c r="H308" s="289">
        <f>'Unit Savings Calculations'!$F304*'Unit Savings Calculations'!J304</f>
        <v>3000</v>
      </c>
      <c r="I308" s="289">
        <f>'Unit Savings Calculations'!$F304*'Unit Savings Calculations'!K304</f>
        <v>3000</v>
      </c>
      <c r="J308" s="289">
        <f>'Unit Savings Calculations'!$F304*'Unit Savings Calculations'!L304</f>
        <v>3000</v>
      </c>
      <c r="K308" s="289">
        <f>'Unit Savings Calculations'!$F304*'Unit Savings Calculations'!M304</f>
        <v>3000</v>
      </c>
      <c r="L308" s="287" t="str">
        <f>'Unit Savings Calculations'!U304</f>
        <v>CI-HVC-BLRC-V03-150601</v>
      </c>
      <c r="M308" s="363" t="s">
        <v>830</v>
      </c>
      <c r="N308" s="290">
        <v>1.2312000000000001</v>
      </c>
      <c r="O308" s="290">
        <v>1.2312000000000001</v>
      </c>
      <c r="P308" s="290">
        <v>1.2312000000000001</v>
      </c>
      <c r="Q308" s="290">
        <v>1.2312000000000001</v>
      </c>
      <c r="R308" s="291">
        <f>'Unit Savings Calculations'!$G304</f>
        <v>0.79</v>
      </c>
      <c r="S308" s="291">
        <f>'Unit Savings Calculations'!$G304</f>
        <v>0.79</v>
      </c>
      <c r="T308" s="291">
        <f>'Unit Savings Calculations'!$G304</f>
        <v>0.79</v>
      </c>
      <c r="U308" s="291">
        <f>'Unit Savings Calculations'!$G304</f>
        <v>0.79</v>
      </c>
      <c r="V308" s="292">
        <f t="shared" si="148"/>
        <v>2917.9440000000004</v>
      </c>
      <c r="W308" s="292">
        <f t="shared" si="149"/>
        <v>2917.9440000000004</v>
      </c>
      <c r="X308" s="292">
        <f t="shared" si="150"/>
        <v>2917.9440000000004</v>
      </c>
      <c r="Y308" s="292">
        <f t="shared" si="151"/>
        <v>2917.9440000000004</v>
      </c>
      <c r="Z308" s="292">
        <f t="shared" si="152"/>
        <v>11671.776000000002</v>
      </c>
      <c r="AA308" s="287"/>
      <c r="AB308" s="287"/>
      <c r="AC308" s="293">
        <f>'Unit Savings Calculations'!N304</f>
        <v>1.3424</v>
      </c>
      <c r="AD308" s="287"/>
      <c r="AE308" s="292">
        <f t="shared" si="138"/>
        <v>3181.4880000000003</v>
      </c>
      <c r="AF308" s="289">
        <f t="shared" si="139"/>
        <v>263.54399999999987</v>
      </c>
      <c r="AG308" s="287"/>
      <c r="AH308" s="287">
        <f t="shared" si="140"/>
        <v>0</v>
      </c>
      <c r="AI308" s="290">
        <f>'Unit Savings Calculations'!O304</f>
        <v>1.3424</v>
      </c>
      <c r="AJ308" s="287" t="s">
        <v>872</v>
      </c>
      <c r="AK308" s="292">
        <f t="shared" si="141"/>
        <v>3181.4880000000003</v>
      </c>
      <c r="AL308" s="289">
        <f t="shared" si="142"/>
        <v>263.54399999999987</v>
      </c>
      <c r="AM308" s="287"/>
      <c r="AN308" s="287"/>
      <c r="AO308" s="290">
        <f>'Unit Savings Calculations'!P304</f>
        <v>1.3424</v>
      </c>
      <c r="AP308" s="287" t="s">
        <v>1450</v>
      </c>
      <c r="AQ308" s="292">
        <f t="shared" si="143"/>
        <v>3181.4880000000003</v>
      </c>
      <c r="AR308" s="289">
        <f t="shared" si="144"/>
        <v>263.54399999999987</v>
      </c>
      <c r="AS308" s="287"/>
      <c r="AT308" s="287"/>
      <c r="AU308" s="290">
        <f>'Unit Savings Calculations'!Q304</f>
        <v>1.3424</v>
      </c>
      <c r="AV308" s="287" t="str">
        <f t="shared" si="131"/>
        <v>Updated heating EFLH</v>
      </c>
      <c r="AW308" s="292">
        <f t="shared" si="145"/>
        <v>3181.4880000000003</v>
      </c>
      <c r="AX308" s="289">
        <f t="shared" si="146"/>
        <v>263.54399999999987</v>
      </c>
      <c r="AY308" s="292">
        <f t="shared" si="132"/>
        <v>3181.4880000000003</v>
      </c>
      <c r="AZ308" s="292">
        <f t="shared" si="133"/>
        <v>3181.4880000000003</v>
      </c>
      <c r="BA308" s="292">
        <f t="shared" si="134"/>
        <v>3181.4880000000003</v>
      </c>
      <c r="BB308" s="292">
        <f t="shared" si="135"/>
        <v>3181.4880000000003</v>
      </c>
      <c r="BC308" s="294">
        <f t="shared" si="136"/>
        <v>12725.952000000001</v>
      </c>
      <c r="BD308" s="287" t="s">
        <v>764</v>
      </c>
      <c r="BE308" s="295" t="str">
        <f t="shared" si="137"/>
        <v>Exhibit 1.5B_R Peoples Gas EEPS_Adjustable_Savings_Goal_Template.xlsx, Unit Savings Calculations Tab</v>
      </c>
      <c r="BF308" s="297"/>
    </row>
    <row r="309" spans="1:58" ht="13.5" customHeight="1">
      <c r="A309" s="287" t="str">
        <f>'Unit Savings Calculations'!C305</f>
        <v>Bus - Public Rebates</v>
      </c>
      <c r="B309" s="287" t="str">
        <f>'Unit Savings Calculations'!D305</f>
        <v>Boiler Tune Up - Process</v>
      </c>
      <c r="C309" s="288">
        <f t="shared" si="147"/>
        <v>1</v>
      </c>
      <c r="D309" s="287" t="str">
        <f>'Unit Savings Calculations'!T305</f>
        <v>4.4.3</v>
      </c>
      <c r="E309" s="287">
        <f>INDEX('Unit Savings Calculations'!$H$4:$H$421,MATCH('Measure-Level Adjustments Tab'!$A309&amp;"_"&amp;'Measure-Level Adjustments Tab'!$B309,'Unit Savings Calculations'!$A$4:$A$421,0))</f>
        <v>3</v>
      </c>
      <c r="F309" s="287">
        <f>INDEX('Unit Savings Calculations'!$I$4:$I$421,MATCH('Measure-Level Adjustments Tab'!A309&amp;"_"&amp;'Measure-Level Adjustments Tab'!B309,'Unit Savings Calculations'!$A$4:$A$421,0))</f>
        <v>3</v>
      </c>
      <c r="G309" s="287" t="str">
        <f>'Unit Savings Calculations'!E305</f>
        <v>MBH</v>
      </c>
      <c r="H309" s="289">
        <f>'Unit Savings Calculations'!$F305*'Unit Savings Calculations'!J305</f>
        <v>75000</v>
      </c>
      <c r="I309" s="289">
        <f>'Unit Savings Calculations'!$F305*'Unit Savings Calculations'!K305</f>
        <v>75000</v>
      </c>
      <c r="J309" s="289">
        <f>'Unit Savings Calculations'!$F305*'Unit Savings Calculations'!L305</f>
        <v>75000</v>
      </c>
      <c r="K309" s="289">
        <f>'Unit Savings Calculations'!$F305*'Unit Savings Calculations'!M305</f>
        <v>75000</v>
      </c>
      <c r="L309" s="287" t="str">
        <f>'Unit Savings Calculations'!U305</f>
        <v>CI-HVC-PBTU-V05-160601</v>
      </c>
      <c r="M309" s="363" t="s">
        <v>830</v>
      </c>
      <c r="N309" s="290">
        <v>0.83823507428978783</v>
      </c>
      <c r="O309" s="290">
        <v>0.83823507428978783</v>
      </c>
      <c r="P309" s="290">
        <v>0.83823507428978783</v>
      </c>
      <c r="Q309" s="290">
        <v>0.83823507428978783</v>
      </c>
      <c r="R309" s="291">
        <f>'Unit Savings Calculations'!$G305</f>
        <v>0.79</v>
      </c>
      <c r="S309" s="291">
        <f>'Unit Savings Calculations'!$G305</f>
        <v>0.79</v>
      </c>
      <c r="T309" s="291">
        <f>'Unit Savings Calculations'!$G305</f>
        <v>0.79</v>
      </c>
      <c r="U309" s="291">
        <f>'Unit Savings Calculations'!$G305</f>
        <v>0.79</v>
      </c>
      <c r="V309" s="292">
        <f t="shared" si="148"/>
        <v>49665.428151669934</v>
      </c>
      <c r="W309" s="292">
        <f t="shared" si="149"/>
        <v>49665.428151669934</v>
      </c>
      <c r="X309" s="292">
        <f t="shared" si="150"/>
        <v>49665.428151669934</v>
      </c>
      <c r="Y309" s="292">
        <f t="shared" si="151"/>
        <v>49665.428151669934</v>
      </c>
      <c r="Z309" s="292">
        <f t="shared" si="152"/>
        <v>198661.71260667974</v>
      </c>
      <c r="AA309" s="287"/>
      <c r="AB309" s="287"/>
      <c r="AC309" s="293">
        <f>'Unit Savings Calculations'!N305</f>
        <v>0.83823507428978783</v>
      </c>
      <c r="AD309" s="287"/>
      <c r="AE309" s="292">
        <f t="shared" si="138"/>
        <v>49665.428151669934</v>
      </c>
      <c r="AF309" s="289">
        <f t="shared" si="139"/>
        <v>0</v>
      </c>
      <c r="AG309" s="287"/>
      <c r="AH309" s="287">
        <f t="shared" si="140"/>
        <v>0</v>
      </c>
      <c r="AI309" s="290">
        <f>'Unit Savings Calculations'!O305</f>
        <v>0.83823507428978783</v>
      </c>
      <c r="AJ309" s="287" t="s">
        <v>872</v>
      </c>
      <c r="AK309" s="292">
        <f t="shared" si="141"/>
        <v>49665.428151669934</v>
      </c>
      <c r="AL309" s="289">
        <f t="shared" si="142"/>
        <v>0</v>
      </c>
      <c r="AM309" s="287"/>
      <c r="AN309" s="287"/>
      <c r="AO309" s="290">
        <f>'Unit Savings Calculations'!P305</f>
        <v>0.83823507428978783</v>
      </c>
      <c r="AP309" s="287" t="s">
        <v>764</v>
      </c>
      <c r="AQ309" s="292">
        <f t="shared" si="143"/>
        <v>49665.428151669934</v>
      </c>
      <c r="AR309" s="289">
        <f t="shared" si="144"/>
        <v>0</v>
      </c>
      <c r="AS309" s="287"/>
      <c r="AT309" s="287"/>
      <c r="AU309" s="290">
        <f>'Unit Savings Calculations'!Q305</f>
        <v>0.83823507428978783</v>
      </c>
      <c r="AV309" s="287" t="str">
        <f t="shared" si="131"/>
        <v>n/a</v>
      </c>
      <c r="AW309" s="292">
        <f t="shared" si="145"/>
        <v>49665.428151669934</v>
      </c>
      <c r="AX309" s="289">
        <f t="shared" si="146"/>
        <v>0</v>
      </c>
      <c r="AY309" s="292">
        <f t="shared" si="132"/>
        <v>49665.428151669934</v>
      </c>
      <c r="AZ309" s="292">
        <f t="shared" si="133"/>
        <v>49665.428151669934</v>
      </c>
      <c r="BA309" s="292">
        <f t="shared" si="134"/>
        <v>49665.428151669934</v>
      </c>
      <c r="BB309" s="292">
        <f t="shared" si="135"/>
        <v>49665.428151669934</v>
      </c>
      <c r="BC309" s="294">
        <f t="shared" si="136"/>
        <v>198661.71260667974</v>
      </c>
      <c r="BD309" s="287" t="s">
        <v>764</v>
      </c>
      <c r="BE309" s="295" t="str">
        <f t="shared" si="137"/>
        <v>Exhibit 1.5B_R Peoples Gas EEPS_Adjustable_Savings_Goal_Template.xlsx, Unit Savings Calculations Tab</v>
      </c>
      <c r="BF309" s="297"/>
    </row>
    <row r="310" spans="1:58" ht="13.5" customHeight="1">
      <c r="A310" s="287" t="str">
        <f>'Unit Savings Calculations'!C306</f>
        <v>Bus - Public Rebates</v>
      </c>
      <c r="B310" s="287" t="str">
        <f>'Unit Savings Calculations'!D306</f>
        <v>Boiler Tune Up - Space Heating</v>
      </c>
      <c r="C310" s="288">
        <f t="shared" si="147"/>
        <v>1</v>
      </c>
      <c r="D310" s="287" t="str">
        <f>'Unit Savings Calculations'!T306</f>
        <v>4.4.2</v>
      </c>
      <c r="E310" s="287">
        <f>INDEX('Unit Savings Calculations'!$H$4:$H$421,MATCH('Measure-Level Adjustments Tab'!$A310&amp;"_"&amp;'Measure-Level Adjustments Tab'!$B310,'Unit Savings Calculations'!$A$4:$A$421,0))</f>
        <v>3</v>
      </c>
      <c r="F310" s="287">
        <f>INDEX('Unit Savings Calculations'!$I$4:$I$421,MATCH('Measure-Level Adjustments Tab'!A310&amp;"_"&amp;'Measure-Level Adjustments Tab'!B310,'Unit Savings Calculations'!$A$4:$A$421,0))</f>
        <v>3</v>
      </c>
      <c r="G310" s="287" t="str">
        <f>'Unit Savings Calculations'!E306</f>
        <v>MBH</v>
      </c>
      <c r="H310" s="289">
        <f>'Unit Savings Calculations'!$F306*'Unit Savings Calculations'!J306</f>
        <v>0</v>
      </c>
      <c r="I310" s="289">
        <f>'Unit Savings Calculations'!$F306*'Unit Savings Calculations'!K306</f>
        <v>0</v>
      </c>
      <c r="J310" s="289">
        <f>'Unit Savings Calculations'!$F306*'Unit Savings Calculations'!L306</f>
        <v>0</v>
      </c>
      <c r="K310" s="289">
        <f>'Unit Savings Calculations'!$F306*'Unit Savings Calculations'!M306</f>
        <v>0</v>
      </c>
      <c r="L310" s="287" t="str">
        <f>'Unit Savings Calculations'!U306</f>
        <v>CI-HVC-BLRT-V06-160601</v>
      </c>
      <c r="M310" s="363" t="s">
        <v>830</v>
      </c>
      <c r="N310" s="290">
        <v>0.35943072618902666</v>
      </c>
      <c r="O310" s="290">
        <v>0.35943072618902666</v>
      </c>
      <c r="P310" s="290">
        <v>0.35943072618902666</v>
      </c>
      <c r="Q310" s="290">
        <v>0.35943072618902666</v>
      </c>
      <c r="R310" s="291">
        <f>'Unit Savings Calculations'!$G306</f>
        <v>0.79</v>
      </c>
      <c r="S310" s="291">
        <f>'Unit Savings Calculations'!$G306</f>
        <v>0.79</v>
      </c>
      <c r="T310" s="291">
        <f>'Unit Savings Calculations'!$G306</f>
        <v>0.79</v>
      </c>
      <c r="U310" s="291">
        <f>'Unit Savings Calculations'!$G306</f>
        <v>0.79</v>
      </c>
      <c r="V310" s="292">
        <f t="shared" si="148"/>
        <v>0</v>
      </c>
      <c r="W310" s="292">
        <f t="shared" si="149"/>
        <v>0</v>
      </c>
      <c r="X310" s="292">
        <f t="shared" si="150"/>
        <v>0</v>
      </c>
      <c r="Y310" s="292">
        <f t="shared" si="151"/>
        <v>0</v>
      </c>
      <c r="Z310" s="292">
        <f t="shared" si="152"/>
        <v>0</v>
      </c>
      <c r="AA310" s="287"/>
      <c r="AB310" s="287"/>
      <c r="AC310" s="293">
        <f>'Unit Savings Calculations'!N306</f>
        <v>0.3918939301788088</v>
      </c>
      <c r="AD310" s="287"/>
      <c r="AE310" s="292">
        <f t="shared" si="138"/>
        <v>0</v>
      </c>
      <c r="AF310" s="289">
        <f t="shared" si="139"/>
        <v>0</v>
      </c>
      <c r="AG310" s="287"/>
      <c r="AH310" s="287">
        <f t="shared" si="140"/>
        <v>0</v>
      </c>
      <c r="AI310" s="290">
        <f>'Unit Savings Calculations'!O306</f>
        <v>0.3918939301788088</v>
      </c>
      <c r="AJ310" s="287" t="s">
        <v>872</v>
      </c>
      <c r="AK310" s="292">
        <f t="shared" si="141"/>
        <v>0</v>
      </c>
      <c r="AL310" s="289">
        <f t="shared" si="142"/>
        <v>0</v>
      </c>
      <c r="AM310" s="287"/>
      <c r="AN310" s="287"/>
      <c r="AO310" s="290">
        <f>'Unit Savings Calculations'!P306</f>
        <v>0.3918939301788088</v>
      </c>
      <c r="AP310" s="287" t="s">
        <v>1450</v>
      </c>
      <c r="AQ310" s="292">
        <f t="shared" si="143"/>
        <v>0</v>
      </c>
      <c r="AR310" s="289">
        <f t="shared" si="144"/>
        <v>0</v>
      </c>
      <c r="AS310" s="287"/>
      <c r="AT310" s="287"/>
      <c r="AU310" s="290">
        <f>'Unit Savings Calculations'!Q306</f>
        <v>0.3918939301788088</v>
      </c>
      <c r="AV310" s="287" t="str">
        <f t="shared" si="131"/>
        <v>Updated heating EFLH</v>
      </c>
      <c r="AW310" s="292">
        <f t="shared" si="145"/>
        <v>0</v>
      </c>
      <c r="AX310" s="289">
        <f t="shared" si="146"/>
        <v>0</v>
      </c>
      <c r="AY310" s="292">
        <f t="shared" si="132"/>
        <v>0</v>
      </c>
      <c r="AZ310" s="292">
        <f t="shared" si="133"/>
        <v>0</v>
      </c>
      <c r="BA310" s="292">
        <f t="shared" si="134"/>
        <v>0</v>
      </c>
      <c r="BB310" s="292">
        <f t="shared" si="135"/>
        <v>0</v>
      </c>
      <c r="BC310" s="294">
        <f t="shared" si="136"/>
        <v>0</v>
      </c>
      <c r="BD310" s="287" t="s">
        <v>764</v>
      </c>
      <c r="BE310" s="295" t="str">
        <f t="shared" si="137"/>
        <v>Exhibit 1.5B_R Peoples Gas EEPS_Adjustable_Savings_Goal_Template.xlsx, Unit Savings Calculations Tab</v>
      </c>
      <c r="BF310" s="297"/>
    </row>
    <row r="311" spans="1:58" ht="13.5" customHeight="1">
      <c r="A311" s="287" t="str">
        <f>'Unit Savings Calculations'!C307</f>
        <v>Bus - Public Rebates</v>
      </c>
      <c r="B311" s="287" t="str">
        <f>'Unit Savings Calculations'!D307</f>
        <v>Condensing Unit Heater</v>
      </c>
      <c r="C311" s="288">
        <f t="shared" si="147"/>
        <v>1</v>
      </c>
      <c r="D311" s="287" t="str">
        <f>'Unit Savings Calculations'!T307</f>
        <v>4.4.5</v>
      </c>
      <c r="E311" s="287">
        <f>INDEX('Unit Savings Calculations'!$H$4:$H$421,MATCH('Measure-Level Adjustments Tab'!$A311&amp;"_"&amp;'Measure-Level Adjustments Tab'!$B311,'Unit Savings Calculations'!$A$4:$A$421,0))</f>
        <v>12</v>
      </c>
      <c r="F311" s="287">
        <f>INDEX('Unit Savings Calculations'!$I$4:$I$421,MATCH('Measure-Level Adjustments Tab'!A311&amp;"_"&amp;'Measure-Level Adjustments Tab'!B311,'Unit Savings Calculations'!$A$4:$A$421,0))</f>
        <v>12</v>
      </c>
      <c r="G311" s="287" t="str">
        <f>'Unit Savings Calculations'!E307</f>
        <v>MBH</v>
      </c>
      <c r="H311" s="289">
        <f>'Unit Savings Calculations'!$F307*'Unit Savings Calculations'!J307</f>
        <v>0</v>
      </c>
      <c r="I311" s="289">
        <f>'Unit Savings Calculations'!$F307*'Unit Savings Calculations'!K307</f>
        <v>0</v>
      </c>
      <c r="J311" s="289">
        <f>'Unit Savings Calculations'!$F307*'Unit Savings Calculations'!L307</f>
        <v>0</v>
      </c>
      <c r="K311" s="289">
        <f>'Unit Savings Calculations'!$F307*'Unit Savings Calculations'!M307</f>
        <v>0</v>
      </c>
      <c r="L311" s="287" t="str">
        <f>'Unit Savings Calculations'!U307</f>
        <v>CI-HVC-CUHT-V01-120601</v>
      </c>
      <c r="M311" s="363" t="s">
        <v>830</v>
      </c>
      <c r="N311" s="290">
        <v>1.7733333333333334</v>
      </c>
      <c r="O311" s="290">
        <v>1.7733333333333334</v>
      </c>
      <c r="P311" s="290">
        <v>1.7733333333333334</v>
      </c>
      <c r="Q311" s="290">
        <v>1.7733333333333334</v>
      </c>
      <c r="R311" s="291">
        <f>'Unit Savings Calculations'!$G307</f>
        <v>0.79</v>
      </c>
      <c r="S311" s="291">
        <f>'Unit Savings Calculations'!$G307</f>
        <v>0.79</v>
      </c>
      <c r="T311" s="291">
        <f>'Unit Savings Calculations'!$G307</f>
        <v>0.79</v>
      </c>
      <c r="U311" s="291">
        <f>'Unit Savings Calculations'!$G307</f>
        <v>0.79</v>
      </c>
      <c r="V311" s="292">
        <f t="shared" si="148"/>
        <v>0</v>
      </c>
      <c r="W311" s="292">
        <f t="shared" si="149"/>
        <v>0</v>
      </c>
      <c r="X311" s="292">
        <f t="shared" si="150"/>
        <v>0</v>
      </c>
      <c r="Y311" s="292">
        <f t="shared" si="151"/>
        <v>0</v>
      </c>
      <c r="Z311" s="292">
        <f t="shared" si="152"/>
        <v>0</v>
      </c>
      <c r="AA311" s="287"/>
      <c r="AB311" s="287"/>
      <c r="AC311" s="293">
        <f>'Unit Savings Calculations'!N307</f>
        <v>1.7733333333333334</v>
      </c>
      <c r="AD311" s="287"/>
      <c r="AE311" s="292">
        <f t="shared" si="138"/>
        <v>0</v>
      </c>
      <c r="AF311" s="289">
        <f t="shared" si="139"/>
        <v>0</v>
      </c>
      <c r="AG311" s="287"/>
      <c r="AH311" s="287">
        <f t="shared" si="140"/>
        <v>0</v>
      </c>
      <c r="AI311" s="290">
        <f>'Unit Savings Calculations'!O307</f>
        <v>1.7733333333333334</v>
      </c>
      <c r="AJ311" s="287" t="s">
        <v>872</v>
      </c>
      <c r="AK311" s="292">
        <f t="shared" si="141"/>
        <v>0</v>
      </c>
      <c r="AL311" s="289">
        <f t="shared" si="142"/>
        <v>0</v>
      </c>
      <c r="AM311" s="287"/>
      <c r="AN311" s="287"/>
      <c r="AO311" s="290">
        <f>'Unit Savings Calculations'!P307</f>
        <v>1.7733333333333334</v>
      </c>
      <c r="AP311" s="287" t="s">
        <v>764</v>
      </c>
      <c r="AQ311" s="292">
        <f t="shared" si="143"/>
        <v>0</v>
      </c>
      <c r="AR311" s="289">
        <f t="shared" si="144"/>
        <v>0</v>
      </c>
      <c r="AS311" s="287"/>
      <c r="AT311" s="287"/>
      <c r="AU311" s="290">
        <f>'Unit Savings Calculations'!Q307</f>
        <v>1.7733333333333334</v>
      </c>
      <c r="AV311" s="287" t="str">
        <f t="shared" si="131"/>
        <v>n/a</v>
      </c>
      <c r="AW311" s="292">
        <f t="shared" si="145"/>
        <v>0</v>
      </c>
      <c r="AX311" s="289">
        <f t="shared" si="146"/>
        <v>0</v>
      </c>
      <c r="AY311" s="292">
        <f t="shared" si="132"/>
        <v>0</v>
      </c>
      <c r="AZ311" s="292">
        <f t="shared" si="133"/>
        <v>0</v>
      </c>
      <c r="BA311" s="292">
        <f t="shared" si="134"/>
        <v>0</v>
      </c>
      <c r="BB311" s="292">
        <f t="shared" si="135"/>
        <v>0</v>
      </c>
      <c r="BC311" s="294">
        <f t="shared" si="136"/>
        <v>0</v>
      </c>
      <c r="BD311" s="287" t="s">
        <v>764</v>
      </c>
      <c r="BE311" s="295" t="str">
        <f t="shared" si="137"/>
        <v>Exhibit 1.5B_R Peoples Gas EEPS_Adjustable_Savings_Goal_Template.xlsx, Unit Savings Calculations Tab</v>
      </c>
      <c r="BF311" s="297"/>
    </row>
    <row r="312" spans="1:58" ht="13.5" customHeight="1">
      <c r="A312" s="287" t="str">
        <f>'Unit Savings Calculations'!C308</f>
        <v>Bus - Public Rebates</v>
      </c>
      <c r="B312" s="287" t="str">
        <f>'Unit Savings Calculations'!D308</f>
        <v>DCV - Kitchen</v>
      </c>
      <c r="C312" s="288">
        <f t="shared" si="147"/>
        <v>1</v>
      </c>
      <c r="D312" s="287" t="str">
        <f>'Unit Savings Calculations'!T308</f>
        <v>4.2.16</v>
      </c>
      <c r="E312" s="287">
        <f>INDEX('Unit Savings Calculations'!$H$4:$H$421,MATCH('Measure-Level Adjustments Tab'!$A312&amp;"_"&amp;'Measure-Level Adjustments Tab'!$B312,'Unit Savings Calculations'!$A$4:$A$421,0))</f>
        <v>15</v>
      </c>
      <c r="F312" s="287">
        <f>INDEX('Unit Savings Calculations'!$I$4:$I$421,MATCH('Measure-Level Adjustments Tab'!A312&amp;"_"&amp;'Measure-Level Adjustments Tab'!B312,'Unit Savings Calculations'!$A$4:$A$421,0))</f>
        <v>15</v>
      </c>
      <c r="G312" s="287" t="str">
        <f>'Unit Savings Calculations'!E308</f>
        <v>each</v>
      </c>
      <c r="H312" s="289">
        <f>'Unit Savings Calculations'!$F308*'Unit Savings Calculations'!J308</f>
        <v>8</v>
      </c>
      <c r="I312" s="289">
        <f>'Unit Savings Calculations'!$F308*'Unit Savings Calculations'!K308</f>
        <v>8</v>
      </c>
      <c r="J312" s="289">
        <f>'Unit Savings Calculations'!$F308*'Unit Savings Calculations'!L308</f>
        <v>8</v>
      </c>
      <c r="K312" s="289">
        <f>'Unit Savings Calculations'!$F308*'Unit Savings Calculations'!M308</f>
        <v>8</v>
      </c>
      <c r="L312" s="287" t="str">
        <f>'Unit Savings Calculations'!U308</f>
        <v>CI-FSE-VENT-V03-160601</v>
      </c>
      <c r="M312" s="363" t="s">
        <v>830</v>
      </c>
      <c r="N312" s="290">
        <v>5998.5</v>
      </c>
      <c r="O312" s="290">
        <v>5998.5</v>
      </c>
      <c r="P312" s="290">
        <v>5998.5</v>
      </c>
      <c r="Q312" s="290">
        <v>5998.5</v>
      </c>
      <c r="R312" s="291">
        <f>'Unit Savings Calculations'!$G308</f>
        <v>0.79</v>
      </c>
      <c r="S312" s="291">
        <f>'Unit Savings Calculations'!$G308</f>
        <v>0.79</v>
      </c>
      <c r="T312" s="291">
        <f>'Unit Savings Calculations'!$G308</f>
        <v>0.79</v>
      </c>
      <c r="U312" s="291">
        <f>'Unit Savings Calculations'!$G308</f>
        <v>0.79</v>
      </c>
      <c r="V312" s="292">
        <f t="shared" si="148"/>
        <v>37910.520000000004</v>
      </c>
      <c r="W312" s="292">
        <f t="shared" si="149"/>
        <v>37910.520000000004</v>
      </c>
      <c r="X312" s="292">
        <f t="shared" si="150"/>
        <v>37910.520000000004</v>
      </c>
      <c r="Y312" s="292">
        <f t="shared" si="151"/>
        <v>37910.520000000004</v>
      </c>
      <c r="Z312" s="292">
        <f t="shared" si="152"/>
        <v>151642.08000000002</v>
      </c>
      <c r="AA312" s="287"/>
      <c r="AB312" s="287"/>
      <c r="AC312" s="293">
        <f>'Unit Savings Calculations'!N308</f>
        <v>5998.5</v>
      </c>
      <c r="AD312" s="287"/>
      <c r="AE312" s="292">
        <f t="shared" si="138"/>
        <v>37910.520000000004</v>
      </c>
      <c r="AF312" s="289">
        <f t="shared" si="139"/>
        <v>0</v>
      </c>
      <c r="AG312" s="287"/>
      <c r="AH312" s="287">
        <f t="shared" si="140"/>
        <v>0</v>
      </c>
      <c r="AI312" s="290">
        <f>'Unit Savings Calculations'!O308</f>
        <v>5998.5</v>
      </c>
      <c r="AJ312" s="287" t="s">
        <v>872</v>
      </c>
      <c r="AK312" s="292">
        <f t="shared" si="141"/>
        <v>37910.520000000004</v>
      </c>
      <c r="AL312" s="289">
        <f t="shared" si="142"/>
        <v>0</v>
      </c>
      <c r="AM312" s="287"/>
      <c r="AN312" s="287"/>
      <c r="AO312" s="290">
        <f>'Unit Savings Calculations'!P308</f>
        <v>5998.5</v>
      </c>
      <c r="AP312" s="287" t="s">
        <v>764</v>
      </c>
      <c r="AQ312" s="292">
        <f t="shared" si="143"/>
        <v>37910.520000000004</v>
      </c>
      <c r="AR312" s="289">
        <f t="shared" si="144"/>
        <v>0</v>
      </c>
      <c r="AS312" s="287"/>
      <c r="AT312" s="287"/>
      <c r="AU312" s="290">
        <f>'Unit Savings Calculations'!Q308</f>
        <v>5998.5</v>
      </c>
      <c r="AV312" s="287" t="str">
        <f t="shared" si="131"/>
        <v>n/a</v>
      </c>
      <c r="AW312" s="292">
        <f t="shared" si="145"/>
        <v>37910.520000000004</v>
      </c>
      <c r="AX312" s="289">
        <f t="shared" si="146"/>
        <v>0</v>
      </c>
      <c r="AY312" s="292">
        <f t="shared" si="132"/>
        <v>37910.520000000004</v>
      </c>
      <c r="AZ312" s="292">
        <f t="shared" si="133"/>
        <v>37910.520000000004</v>
      </c>
      <c r="BA312" s="292">
        <f t="shared" si="134"/>
        <v>37910.520000000004</v>
      </c>
      <c r="BB312" s="292">
        <f t="shared" si="135"/>
        <v>37910.520000000004</v>
      </c>
      <c r="BC312" s="294">
        <f t="shared" si="136"/>
        <v>151642.08000000002</v>
      </c>
      <c r="BD312" s="287" t="s">
        <v>764</v>
      </c>
      <c r="BE312" s="295" t="str">
        <f t="shared" si="137"/>
        <v>Exhibit 1.5B_R Peoples Gas EEPS_Adjustable_Savings_Goal_Template.xlsx, Unit Savings Calculations Tab</v>
      </c>
      <c r="BF312" s="297"/>
    </row>
    <row r="313" spans="1:58" ht="13.5" customHeight="1">
      <c r="A313" s="287" t="str">
        <f>'Unit Savings Calculations'!C309</f>
        <v>Bus - Public Rebates</v>
      </c>
      <c r="B313" s="287" t="str">
        <f>'Unit Savings Calculations'!D309</f>
        <v>Direct Fired Heaters</v>
      </c>
      <c r="C313" s="288">
        <f t="shared" si="147"/>
        <v>0</v>
      </c>
      <c r="D313" s="287" t="str">
        <f>'Unit Savings Calculations'!T309</f>
        <v>Custom</v>
      </c>
      <c r="E313" s="287">
        <f>INDEX('Unit Savings Calculations'!$H$4:$H$421,MATCH('Measure-Level Adjustments Tab'!$A313&amp;"_"&amp;'Measure-Level Adjustments Tab'!$B313,'Unit Savings Calculations'!$A$4:$A$421,0))</f>
        <v>20</v>
      </c>
      <c r="F313" s="287">
        <f>INDEX('Unit Savings Calculations'!$I$4:$I$421,MATCH('Measure-Level Adjustments Tab'!A313&amp;"_"&amp;'Measure-Level Adjustments Tab'!B313,'Unit Savings Calculations'!$A$4:$A$421,0))</f>
        <v>20</v>
      </c>
      <c r="G313" s="287" t="str">
        <f>'Unit Savings Calculations'!E309</f>
        <v>MBH</v>
      </c>
      <c r="H313" s="289">
        <f>'Unit Savings Calculations'!$F309*'Unit Savings Calculations'!J309</f>
        <v>0</v>
      </c>
      <c r="I313" s="289">
        <f>'Unit Savings Calculations'!$F309*'Unit Savings Calculations'!K309</f>
        <v>0</v>
      </c>
      <c r="J313" s="289">
        <f>'Unit Savings Calculations'!$F309*'Unit Savings Calculations'!L309</f>
        <v>0</v>
      </c>
      <c r="K313" s="289">
        <f>'Unit Savings Calculations'!$F309*'Unit Savings Calculations'!M309</f>
        <v>0</v>
      </c>
      <c r="L313" s="287" t="str">
        <f>'Unit Savings Calculations'!U309</f>
        <v>Custom</v>
      </c>
      <c r="M313" s="287" t="str">
        <f>'Unit Savings Calculations'!S309</f>
        <v>Custom</v>
      </c>
      <c r="N313" s="290">
        <v>2.3084999999999987</v>
      </c>
      <c r="O313" s="290">
        <v>2.3084999999999987</v>
      </c>
      <c r="P313" s="290">
        <v>2.3084999999999987</v>
      </c>
      <c r="Q313" s="290">
        <v>2.3084999999999987</v>
      </c>
      <c r="R313" s="291">
        <f>'Unit Savings Calculations'!$G309</f>
        <v>0.79</v>
      </c>
      <c r="S313" s="291">
        <f>'Unit Savings Calculations'!$G309</f>
        <v>0.79</v>
      </c>
      <c r="T313" s="291">
        <f>'Unit Savings Calculations'!$G309</f>
        <v>0.79</v>
      </c>
      <c r="U313" s="291">
        <f>'Unit Savings Calculations'!$G309</f>
        <v>0.79</v>
      </c>
      <c r="V313" s="292">
        <f t="shared" si="148"/>
        <v>0</v>
      </c>
      <c r="W313" s="292">
        <f t="shared" si="149"/>
        <v>0</v>
      </c>
      <c r="X313" s="292">
        <f t="shared" si="150"/>
        <v>0</v>
      </c>
      <c r="Y313" s="292">
        <f t="shared" si="151"/>
        <v>0</v>
      </c>
      <c r="Z313" s="292">
        <f t="shared" si="152"/>
        <v>0</v>
      </c>
      <c r="AA313" s="364"/>
      <c r="AB313" s="364"/>
      <c r="AC313" s="365">
        <f>'Unit Savings Calculations'!N309</f>
        <v>2.5169999999999986</v>
      </c>
      <c r="AD313" s="364"/>
      <c r="AE313" s="366">
        <f t="shared" si="138"/>
        <v>0</v>
      </c>
      <c r="AF313" s="367">
        <f t="shared" si="139"/>
        <v>0</v>
      </c>
      <c r="AG313" s="364"/>
      <c r="AH313" s="364">
        <f t="shared" si="140"/>
        <v>0</v>
      </c>
      <c r="AI313" s="368">
        <f>'Unit Savings Calculations'!O309</f>
        <v>2.5169999999999986</v>
      </c>
      <c r="AJ313" s="364" t="s">
        <v>872</v>
      </c>
      <c r="AK313" s="366">
        <f t="shared" si="141"/>
        <v>0</v>
      </c>
      <c r="AL313" s="367">
        <f t="shared" si="142"/>
        <v>0</v>
      </c>
      <c r="AM313" s="364"/>
      <c r="AN313" s="364"/>
      <c r="AO313" s="368">
        <f>'Unit Savings Calculations'!P309</f>
        <v>2.5169999999999986</v>
      </c>
      <c r="AP313" s="364" t="s">
        <v>1450</v>
      </c>
      <c r="AQ313" s="366">
        <f t="shared" si="143"/>
        <v>0</v>
      </c>
      <c r="AR313" s="367">
        <f t="shared" si="144"/>
        <v>0</v>
      </c>
      <c r="AS313" s="364"/>
      <c r="AT313" s="364"/>
      <c r="AU313" s="368">
        <f>'Unit Savings Calculations'!Q309</f>
        <v>2.5169999999999986</v>
      </c>
      <c r="AV313" s="364" t="str">
        <f t="shared" si="131"/>
        <v>Updated heating EFLH</v>
      </c>
      <c r="AW313" s="366">
        <f t="shared" si="145"/>
        <v>0</v>
      </c>
      <c r="AX313" s="367">
        <f t="shared" si="146"/>
        <v>0</v>
      </c>
      <c r="AY313" s="292">
        <f t="shared" si="132"/>
        <v>0</v>
      </c>
      <c r="AZ313" s="292">
        <f t="shared" si="133"/>
        <v>0</v>
      </c>
      <c r="BA313" s="292">
        <f t="shared" si="134"/>
        <v>0</v>
      </c>
      <c r="BB313" s="292">
        <f t="shared" si="135"/>
        <v>0</v>
      </c>
      <c r="BC313" s="294">
        <f t="shared" si="136"/>
        <v>0</v>
      </c>
      <c r="BD313" s="287" t="s">
        <v>764</v>
      </c>
      <c r="BE313" s="295" t="str">
        <f t="shared" si="137"/>
        <v>Custom</v>
      </c>
      <c r="BF313" s="297"/>
    </row>
    <row r="314" spans="1:58" ht="13.5" customHeight="1">
      <c r="A314" s="287" t="str">
        <f>'Unit Savings Calculations'!C310</f>
        <v>Bus - Public Rebates</v>
      </c>
      <c r="B314" s="287" t="str">
        <f>'Unit Savings Calculations'!D310</f>
        <v>High Speed Washer - Hotel/Motel/Hospital</v>
      </c>
      <c r="C314" s="288">
        <f t="shared" si="147"/>
        <v>1</v>
      </c>
      <c r="D314" s="287" t="str">
        <f>'Unit Savings Calculations'!T310</f>
        <v>4.8.5</v>
      </c>
      <c r="E314" s="287">
        <f>INDEX('Unit Savings Calculations'!$H$4:$H$421,MATCH('Measure-Level Adjustments Tab'!$A314&amp;"_"&amp;'Measure-Level Adjustments Tab'!$B314,'Unit Savings Calculations'!$A$4:$A$421,0))</f>
        <v>7</v>
      </c>
      <c r="F314" s="287">
        <f>INDEX('Unit Savings Calculations'!$I$4:$I$421,MATCH('Measure-Level Adjustments Tab'!A314&amp;"_"&amp;'Measure-Level Adjustments Tab'!B314,'Unit Savings Calculations'!$A$4:$A$421,0))</f>
        <v>7</v>
      </c>
      <c r="G314" s="287" t="str">
        <f>'Unit Savings Calculations'!E310</f>
        <v>lb-capacity</v>
      </c>
      <c r="H314" s="289">
        <f>'Unit Savings Calculations'!$F310*'Unit Savings Calculations'!J310</f>
        <v>1500</v>
      </c>
      <c r="I314" s="289">
        <f>'Unit Savings Calculations'!$F310*'Unit Savings Calculations'!K310</f>
        <v>1500</v>
      </c>
      <c r="J314" s="289">
        <f>'Unit Savings Calculations'!$F310*'Unit Savings Calculations'!L310</f>
        <v>1500</v>
      </c>
      <c r="K314" s="289">
        <f>'Unit Savings Calculations'!$F310*'Unit Savings Calculations'!M310</f>
        <v>1500</v>
      </c>
      <c r="L314" s="287" t="str">
        <f>'Unit Savings Calculations'!U310</f>
        <v>CI-MSC-HSCW-V01-180101</v>
      </c>
      <c r="M314" s="363" t="s">
        <v>830</v>
      </c>
      <c r="N314" s="290">
        <v>11.243232000000003</v>
      </c>
      <c r="O314" s="290">
        <v>11.243232000000003</v>
      </c>
      <c r="P314" s="290">
        <v>11.243232000000003</v>
      </c>
      <c r="Q314" s="290">
        <v>11.243232000000003</v>
      </c>
      <c r="R314" s="291">
        <f>'Unit Savings Calculations'!$G310</f>
        <v>0.79</v>
      </c>
      <c r="S314" s="291">
        <f>'Unit Savings Calculations'!$G310</f>
        <v>0.79</v>
      </c>
      <c r="T314" s="291">
        <f>'Unit Savings Calculations'!$G310</f>
        <v>0.79</v>
      </c>
      <c r="U314" s="291">
        <f>'Unit Savings Calculations'!$G310</f>
        <v>0.79</v>
      </c>
      <c r="V314" s="292">
        <f t="shared" si="148"/>
        <v>13323.229920000005</v>
      </c>
      <c r="W314" s="292">
        <f t="shared" si="149"/>
        <v>13323.229920000005</v>
      </c>
      <c r="X314" s="292">
        <f t="shared" si="150"/>
        <v>13323.229920000005</v>
      </c>
      <c r="Y314" s="292">
        <f t="shared" si="151"/>
        <v>13323.229920000005</v>
      </c>
      <c r="Z314" s="292">
        <f t="shared" si="152"/>
        <v>53292.919680000021</v>
      </c>
      <c r="AA314" s="287"/>
      <c r="AB314" s="287"/>
      <c r="AC314" s="293">
        <f>'Unit Savings Calculations'!N310</f>
        <v>11.243232000000003</v>
      </c>
      <c r="AD314" s="287"/>
      <c r="AE314" s="292">
        <f t="shared" si="138"/>
        <v>13323.229920000005</v>
      </c>
      <c r="AF314" s="289">
        <f t="shared" si="139"/>
        <v>0</v>
      </c>
      <c r="AG314" s="287"/>
      <c r="AH314" s="287">
        <f t="shared" si="140"/>
        <v>0</v>
      </c>
      <c r="AI314" s="290">
        <f>'Unit Savings Calculations'!O310</f>
        <v>11.243232000000003</v>
      </c>
      <c r="AJ314" s="287" t="s">
        <v>872</v>
      </c>
      <c r="AK314" s="292">
        <f t="shared" si="141"/>
        <v>13323.229920000005</v>
      </c>
      <c r="AL314" s="289">
        <f t="shared" si="142"/>
        <v>0</v>
      </c>
      <c r="AM314" s="287"/>
      <c r="AN314" s="287"/>
      <c r="AO314" s="290">
        <f>'Unit Savings Calculations'!P310</f>
        <v>11.243232000000003</v>
      </c>
      <c r="AP314" s="287" t="s">
        <v>764</v>
      </c>
      <c r="AQ314" s="292">
        <f t="shared" si="143"/>
        <v>13323.229920000005</v>
      </c>
      <c r="AR314" s="289">
        <f t="shared" si="144"/>
        <v>0</v>
      </c>
      <c r="AS314" s="287"/>
      <c r="AT314" s="287"/>
      <c r="AU314" s="290">
        <f>'Unit Savings Calculations'!Q310</f>
        <v>11.243232000000003</v>
      </c>
      <c r="AV314" s="287" t="str">
        <f t="shared" si="131"/>
        <v>n/a</v>
      </c>
      <c r="AW314" s="292">
        <f t="shared" si="145"/>
        <v>13323.229920000005</v>
      </c>
      <c r="AX314" s="289">
        <f t="shared" si="146"/>
        <v>0</v>
      </c>
      <c r="AY314" s="292">
        <f t="shared" si="132"/>
        <v>13323.229920000005</v>
      </c>
      <c r="AZ314" s="292">
        <f t="shared" si="133"/>
        <v>13323.229920000005</v>
      </c>
      <c r="BA314" s="292">
        <f t="shared" si="134"/>
        <v>13323.229920000005</v>
      </c>
      <c r="BB314" s="292">
        <f t="shared" si="135"/>
        <v>13323.229920000005</v>
      </c>
      <c r="BC314" s="294">
        <f t="shared" si="136"/>
        <v>53292.919680000021</v>
      </c>
      <c r="BD314" s="287" t="s">
        <v>764</v>
      </c>
      <c r="BE314" s="295" t="str">
        <f t="shared" si="137"/>
        <v>Exhibit 1.5B_R Peoples Gas EEPS_Adjustable_Savings_Goal_Template.xlsx, Unit Savings Calculations Tab</v>
      </c>
      <c r="BF314" s="297"/>
    </row>
    <row r="315" spans="1:58" ht="13.5" customHeight="1">
      <c r="A315" s="287" t="str">
        <f>'Unit Savings Calculations'!C311</f>
        <v>Bus - Public Rebates</v>
      </c>
      <c r="B315" s="287" t="str">
        <f>'Unit Savings Calculations'!D311</f>
        <v>Infrared Heater</v>
      </c>
      <c r="C315" s="288">
        <f t="shared" si="147"/>
        <v>1</v>
      </c>
      <c r="D315" s="287" t="str">
        <f>'Unit Savings Calculations'!T311</f>
        <v>4.4.12</v>
      </c>
      <c r="E315" s="287">
        <f>INDEX('Unit Savings Calculations'!$H$4:$H$421,MATCH('Measure-Level Adjustments Tab'!$A315&amp;"_"&amp;'Measure-Level Adjustments Tab'!$B315,'Unit Savings Calculations'!$A$4:$A$421,0))</f>
        <v>12</v>
      </c>
      <c r="F315" s="287">
        <f>INDEX('Unit Savings Calculations'!$I$4:$I$421,MATCH('Measure-Level Adjustments Tab'!A315&amp;"_"&amp;'Measure-Level Adjustments Tab'!B315,'Unit Savings Calculations'!$A$4:$A$421,0))</f>
        <v>12</v>
      </c>
      <c r="G315" s="287" t="str">
        <f>'Unit Savings Calculations'!E311</f>
        <v>MBH</v>
      </c>
      <c r="H315" s="289">
        <f>'Unit Savings Calculations'!$F311*'Unit Savings Calculations'!J311</f>
        <v>0</v>
      </c>
      <c r="I315" s="289">
        <f>'Unit Savings Calculations'!$F311*'Unit Savings Calculations'!K311</f>
        <v>0</v>
      </c>
      <c r="J315" s="289">
        <f>'Unit Savings Calculations'!$F311*'Unit Savings Calculations'!L311</f>
        <v>0</v>
      </c>
      <c r="K315" s="289">
        <f>'Unit Savings Calculations'!$F311*'Unit Savings Calculations'!M311</f>
        <v>0</v>
      </c>
      <c r="L315" s="287" t="str">
        <f>'Unit Savings Calculations'!U311</f>
        <v>CI-HVC-IRHT-V01-120601</v>
      </c>
      <c r="M315" s="363" t="s">
        <v>830</v>
      </c>
      <c r="N315" s="290">
        <v>3.0066666666666668</v>
      </c>
      <c r="O315" s="290">
        <v>3.0066666666666668</v>
      </c>
      <c r="P315" s="290">
        <v>3.0066666666666668</v>
      </c>
      <c r="Q315" s="290">
        <v>3.0066666666666668</v>
      </c>
      <c r="R315" s="291">
        <f>'Unit Savings Calculations'!$G311</f>
        <v>0.79</v>
      </c>
      <c r="S315" s="291">
        <f>'Unit Savings Calculations'!$G311</f>
        <v>0.79</v>
      </c>
      <c r="T315" s="291">
        <f>'Unit Savings Calculations'!$G311</f>
        <v>0.79</v>
      </c>
      <c r="U315" s="291">
        <f>'Unit Savings Calculations'!$G311</f>
        <v>0.79</v>
      </c>
      <c r="V315" s="292">
        <f t="shared" si="148"/>
        <v>0</v>
      </c>
      <c r="W315" s="292">
        <f t="shared" si="149"/>
        <v>0</v>
      </c>
      <c r="X315" s="292">
        <f t="shared" si="150"/>
        <v>0</v>
      </c>
      <c r="Y315" s="292">
        <f t="shared" si="151"/>
        <v>0</v>
      </c>
      <c r="Z315" s="292">
        <f t="shared" si="152"/>
        <v>0</v>
      </c>
      <c r="AA315" s="287"/>
      <c r="AB315" s="287"/>
      <c r="AC315" s="293">
        <f>'Unit Savings Calculations'!N311</f>
        <v>3.0066666666666668</v>
      </c>
      <c r="AD315" s="287"/>
      <c r="AE315" s="292">
        <f t="shared" si="138"/>
        <v>0</v>
      </c>
      <c r="AF315" s="289">
        <f t="shared" si="139"/>
        <v>0</v>
      </c>
      <c r="AG315" s="287"/>
      <c r="AH315" s="287">
        <f t="shared" si="140"/>
        <v>0</v>
      </c>
      <c r="AI315" s="290">
        <f>'Unit Savings Calculations'!O311</f>
        <v>3.0066666666666668</v>
      </c>
      <c r="AJ315" s="287" t="s">
        <v>872</v>
      </c>
      <c r="AK315" s="292">
        <f t="shared" si="141"/>
        <v>0</v>
      </c>
      <c r="AL315" s="289">
        <f t="shared" si="142"/>
        <v>0</v>
      </c>
      <c r="AM315" s="287"/>
      <c r="AN315" s="287"/>
      <c r="AO315" s="290">
        <f>'Unit Savings Calculations'!P311</f>
        <v>3.0066666666666668</v>
      </c>
      <c r="AP315" s="287" t="s">
        <v>764</v>
      </c>
      <c r="AQ315" s="292">
        <f t="shared" si="143"/>
        <v>0</v>
      </c>
      <c r="AR315" s="289">
        <f t="shared" si="144"/>
        <v>0</v>
      </c>
      <c r="AS315" s="287"/>
      <c r="AT315" s="287"/>
      <c r="AU315" s="290">
        <f>'Unit Savings Calculations'!Q311</f>
        <v>3.0066666666666668</v>
      </c>
      <c r="AV315" s="287" t="str">
        <f t="shared" si="131"/>
        <v>n/a</v>
      </c>
      <c r="AW315" s="292">
        <f t="shared" si="145"/>
        <v>0</v>
      </c>
      <c r="AX315" s="289">
        <f t="shared" si="146"/>
        <v>0</v>
      </c>
      <c r="AY315" s="292">
        <f t="shared" si="132"/>
        <v>0</v>
      </c>
      <c r="AZ315" s="292">
        <f t="shared" si="133"/>
        <v>0</v>
      </c>
      <c r="BA315" s="292">
        <f t="shared" si="134"/>
        <v>0</v>
      </c>
      <c r="BB315" s="292">
        <f t="shared" si="135"/>
        <v>0</v>
      </c>
      <c r="BC315" s="294">
        <f t="shared" si="136"/>
        <v>0</v>
      </c>
      <c r="BD315" s="287" t="s">
        <v>764</v>
      </c>
      <c r="BE315" s="295" t="str">
        <f t="shared" si="137"/>
        <v>Exhibit 1.5B_R Peoples Gas EEPS_Adjustable_Savings_Goal_Template.xlsx, Unit Savings Calculations Tab</v>
      </c>
      <c r="BF315" s="297"/>
    </row>
    <row r="316" spans="1:58" ht="13.5" customHeight="1">
      <c r="A316" s="287" t="str">
        <f>'Unit Savings Calculations'!C312</f>
        <v>Bus - Public Rebates</v>
      </c>
      <c r="B316" s="287" t="str">
        <f>'Unit Savings Calculations'!D312</f>
        <v>Modulating Commercial Gas Clothes Dryer</v>
      </c>
      <c r="C316" s="288">
        <f t="shared" si="147"/>
        <v>1</v>
      </c>
      <c r="D316" s="287" t="str">
        <f>'Unit Savings Calculations'!T312</f>
        <v>4.8.4</v>
      </c>
      <c r="E316" s="287">
        <f>INDEX('Unit Savings Calculations'!$H$4:$H$421,MATCH('Measure-Level Adjustments Tab'!$A316&amp;"_"&amp;'Measure-Level Adjustments Tab'!$B316,'Unit Savings Calculations'!$A$4:$A$421,0))</f>
        <v>14</v>
      </c>
      <c r="F316" s="287">
        <f>INDEX('Unit Savings Calculations'!$I$4:$I$421,MATCH('Measure-Level Adjustments Tab'!A316&amp;"_"&amp;'Measure-Level Adjustments Tab'!B316,'Unit Savings Calculations'!$A$4:$A$421,0))</f>
        <v>14</v>
      </c>
      <c r="G316" s="287" t="str">
        <f>'Unit Savings Calculations'!E312</f>
        <v>each</v>
      </c>
      <c r="H316" s="289">
        <f>'Unit Savings Calculations'!$F312*'Unit Savings Calculations'!J312</f>
        <v>0</v>
      </c>
      <c r="I316" s="289">
        <f>'Unit Savings Calculations'!$F312*'Unit Savings Calculations'!K312</f>
        <v>0</v>
      </c>
      <c r="J316" s="289">
        <f>'Unit Savings Calculations'!$F312*'Unit Savings Calculations'!L312</f>
        <v>0</v>
      </c>
      <c r="K316" s="289">
        <f>'Unit Savings Calculations'!$F312*'Unit Savings Calculations'!M312</f>
        <v>0</v>
      </c>
      <c r="L316" s="287" t="str">
        <f>'Unit Savings Calculations'!U312</f>
        <v>CI-MSC-MODD-V01-160601</v>
      </c>
      <c r="M316" s="363" t="s">
        <v>830</v>
      </c>
      <c r="N316" s="290">
        <v>266.94</v>
      </c>
      <c r="O316" s="290">
        <v>266.94</v>
      </c>
      <c r="P316" s="290">
        <v>266.94</v>
      </c>
      <c r="Q316" s="290">
        <v>266.94</v>
      </c>
      <c r="R316" s="291">
        <f>'Unit Savings Calculations'!$G312</f>
        <v>0.79</v>
      </c>
      <c r="S316" s="291">
        <f>'Unit Savings Calculations'!$G312</f>
        <v>0.79</v>
      </c>
      <c r="T316" s="291">
        <f>'Unit Savings Calculations'!$G312</f>
        <v>0.79</v>
      </c>
      <c r="U316" s="291">
        <f>'Unit Savings Calculations'!$G312</f>
        <v>0.79</v>
      </c>
      <c r="V316" s="292">
        <f t="shared" si="148"/>
        <v>0</v>
      </c>
      <c r="W316" s="292">
        <f t="shared" si="149"/>
        <v>0</v>
      </c>
      <c r="X316" s="292">
        <f t="shared" si="150"/>
        <v>0</v>
      </c>
      <c r="Y316" s="292">
        <f t="shared" si="151"/>
        <v>0</v>
      </c>
      <c r="Z316" s="292">
        <f t="shared" si="152"/>
        <v>0</v>
      </c>
      <c r="AA316" s="287"/>
      <c r="AB316" s="287"/>
      <c r="AC316" s="293">
        <f>'Unit Savings Calculations'!N312</f>
        <v>266.94</v>
      </c>
      <c r="AD316" s="287"/>
      <c r="AE316" s="292">
        <f t="shared" si="138"/>
        <v>0</v>
      </c>
      <c r="AF316" s="289">
        <f t="shared" si="139"/>
        <v>0</v>
      </c>
      <c r="AG316" s="287"/>
      <c r="AH316" s="287">
        <f t="shared" si="140"/>
        <v>0</v>
      </c>
      <c r="AI316" s="290">
        <f>'Unit Savings Calculations'!O312</f>
        <v>266.94</v>
      </c>
      <c r="AJ316" s="287" t="s">
        <v>872</v>
      </c>
      <c r="AK316" s="292">
        <f t="shared" si="141"/>
        <v>0</v>
      </c>
      <c r="AL316" s="289">
        <f t="shared" si="142"/>
        <v>0</v>
      </c>
      <c r="AM316" s="287"/>
      <c r="AN316" s="287"/>
      <c r="AO316" s="290">
        <f>'Unit Savings Calculations'!P312</f>
        <v>266.94</v>
      </c>
      <c r="AP316" s="287" t="s">
        <v>764</v>
      </c>
      <c r="AQ316" s="292">
        <f t="shared" si="143"/>
        <v>0</v>
      </c>
      <c r="AR316" s="289">
        <f t="shared" si="144"/>
        <v>0</v>
      </c>
      <c r="AS316" s="287"/>
      <c r="AT316" s="287"/>
      <c r="AU316" s="290">
        <f>'Unit Savings Calculations'!Q312</f>
        <v>266.94</v>
      </c>
      <c r="AV316" s="287" t="str">
        <f t="shared" si="131"/>
        <v>n/a</v>
      </c>
      <c r="AW316" s="292">
        <f t="shared" si="145"/>
        <v>0</v>
      </c>
      <c r="AX316" s="289">
        <f t="shared" si="146"/>
        <v>0</v>
      </c>
      <c r="AY316" s="292">
        <f t="shared" si="132"/>
        <v>0</v>
      </c>
      <c r="AZ316" s="292">
        <f t="shared" si="133"/>
        <v>0</v>
      </c>
      <c r="BA316" s="292">
        <f t="shared" si="134"/>
        <v>0</v>
      </c>
      <c r="BB316" s="292">
        <f t="shared" si="135"/>
        <v>0</v>
      </c>
      <c r="BC316" s="294">
        <f t="shared" si="136"/>
        <v>0</v>
      </c>
      <c r="BD316" s="287" t="s">
        <v>764</v>
      </c>
      <c r="BE316" s="295" t="str">
        <f t="shared" si="137"/>
        <v>Exhibit 1.5B_R Peoples Gas EEPS_Adjustable_Savings_Goal_Template.xlsx, Unit Savings Calculations Tab</v>
      </c>
      <c r="BF316" s="297"/>
    </row>
    <row r="317" spans="1:58" ht="13.5" customHeight="1">
      <c r="A317" s="287" t="str">
        <f>'Unit Savings Calculations'!C313</f>
        <v>Bus - Public Rebates</v>
      </c>
      <c r="B317" s="287" t="str">
        <f>'Unit Savings Calculations'!D313</f>
        <v>Ozone Laundry</v>
      </c>
      <c r="C317" s="288">
        <f t="shared" si="147"/>
        <v>1</v>
      </c>
      <c r="D317" s="287" t="str">
        <f>'Unit Savings Calculations'!T313</f>
        <v>4.3.6</v>
      </c>
      <c r="E317" s="287">
        <f>INDEX('Unit Savings Calculations'!$H$4:$H$421,MATCH('Measure-Level Adjustments Tab'!$A317&amp;"_"&amp;'Measure-Level Adjustments Tab'!$B317,'Unit Savings Calculations'!$A$4:$A$421,0))</f>
        <v>10</v>
      </c>
      <c r="F317" s="287">
        <f>INDEX('Unit Savings Calculations'!$I$4:$I$421,MATCH('Measure-Level Adjustments Tab'!A317&amp;"_"&amp;'Measure-Level Adjustments Tab'!B317,'Unit Savings Calculations'!$A$4:$A$421,0))</f>
        <v>10</v>
      </c>
      <c r="G317" s="287" t="str">
        <f>'Unit Savings Calculations'!E313</f>
        <v>lb-capacity</v>
      </c>
      <c r="H317" s="289">
        <f>'Unit Savings Calculations'!$F313*'Unit Savings Calculations'!J313</f>
        <v>0</v>
      </c>
      <c r="I317" s="289">
        <f>'Unit Savings Calculations'!$F313*'Unit Savings Calculations'!K313</f>
        <v>0</v>
      </c>
      <c r="J317" s="289">
        <f>'Unit Savings Calculations'!$F313*'Unit Savings Calculations'!L313</f>
        <v>0</v>
      </c>
      <c r="K317" s="289">
        <f>'Unit Savings Calculations'!$F313*'Unit Savings Calculations'!M313</f>
        <v>0</v>
      </c>
      <c r="L317" s="287" t="str">
        <f>'Unit Savings Calculations'!U313</f>
        <v>CI-HW-OZLD-VO1-140601</v>
      </c>
      <c r="M317" s="363" t="s">
        <v>830</v>
      </c>
      <c r="N317" s="290">
        <v>30.722664192350027</v>
      </c>
      <c r="O317" s="290">
        <v>30.722664192350027</v>
      </c>
      <c r="P317" s="290">
        <v>30.722664192350027</v>
      </c>
      <c r="Q317" s="290">
        <v>30.722664192350027</v>
      </c>
      <c r="R317" s="291">
        <f>'Unit Savings Calculations'!$G313</f>
        <v>0.79</v>
      </c>
      <c r="S317" s="291">
        <f>'Unit Savings Calculations'!$G313</f>
        <v>0.79</v>
      </c>
      <c r="T317" s="291">
        <f>'Unit Savings Calculations'!$G313</f>
        <v>0.79</v>
      </c>
      <c r="U317" s="291">
        <f>'Unit Savings Calculations'!$G313</f>
        <v>0.79</v>
      </c>
      <c r="V317" s="292">
        <f t="shared" si="148"/>
        <v>0</v>
      </c>
      <c r="W317" s="292">
        <f t="shared" si="149"/>
        <v>0</v>
      </c>
      <c r="X317" s="292">
        <f t="shared" si="150"/>
        <v>0</v>
      </c>
      <c r="Y317" s="292">
        <f t="shared" si="151"/>
        <v>0</v>
      </c>
      <c r="Z317" s="292">
        <f t="shared" si="152"/>
        <v>0</v>
      </c>
      <c r="AA317" s="287"/>
      <c r="AB317" s="287"/>
      <c r="AC317" s="293">
        <f>'Unit Savings Calculations'!N313</f>
        <v>30.722664192350027</v>
      </c>
      <c r="AD317" s="287"/>
      <c r="AE317" s="292">
        <f t="shared" si="138"/>
        <v>0</v>
      </c>
      <c r="AF317" s="289">
        <f t="shared" si="139"/>
        <v>0</v>
      </c>
      <c r="AG317" s="287"/>
      <c r="AH317" s="287">
        <f t="shared" si="140"/>
        <v>0</v>
      </c>
      <c r="AI317" s="290">
        <f>'Unit Savings Calculations'!O313</f>
        <v>30.722664192350027</v>
      </c>
      <c r="AJ317" s="287" t="s">
        <v>872</v>
      </c>
      <c r="AK317" s="292">
        <f t="shared" si="141"/>
        <v>0</v>
      </c>
      <c r="AL317" s="289">
        <f t="shared" si="142"/>
        <v>0</v>
      </c>
      <c r="AM317" s="287"/>
      <c r="AN317" s="287"/>
      <c r="AO317" s="290">
        <f>'Unit Savings Calculations'!P313</f>
        <v>30.722664192350027</v>
      </c>
      <c r="AP317" s="287" t="s">
        <v>764</v>
      </c>
      <c r="AQ317" s="292">
        <f t="shared" si="143"/>
        <v>0</v>
      </c>
      <c r="AR317" s="289">
        <f t="shared" si="144"/>
        <v>0</v>
      </c>
      <c r="AS317" s="287"/>
      <c r="AT317" s="287"/>
      <c r="AU317" s="290">
        <f>'Unit Savings Calculations'!Q313</f>
        <v>30.722664192350027</v>
      </c>
      <c r="AV317" s="287" t="str">
        <f t="shared" si="131"/>
        <v>n/a</v>
      </c>
      <c r="AW317" s="292">
        <f t="shared" si="145"/>
        <v>0</v>
      </c>
      <c r="AX317" s="289">
        <f t="shared" si="146"/>
        <v>0</v>
      </c>
      <c r="AY317" s="292">
        <f t="shared" si="132"/>
        <v>0</v>
      </c>
      <c r="AZ317" s="292">
        <f t="shared" si="133"/>
        <v>0</v>
      </c>
      <c r="BA317" s="292">
        <f t="shared" si="134"/>
        <v>0</v>
      </c>
      <c r="BB317" s="292">
        <f t="shared" si="135"/>
        <v>0</v>
      </c>
      <c r="BC317" s="294">
        <f t="shared" si="136"/>
        <v>0</v>
      </c>
      <c r="BD317" s="287" t="s">
        <v>764</v>
      </c>
      <c r="BE317" s="295" t="str">
        <f t="shared" si="137"/>
        <v>Exhibit 1.5B_R Peoples Gas EEPS_Adjustable_Savings_Goal_Template.xlsx, Unit Savings Calculations Tab</v>
      </c>
      <c r="BF317" s="297"/>
    </row>
    <row r="318" spans="1:58" ht="13.5" customHeight="1">
      <c r="A318" s="287" t="str">
        <f>'Unit Savings Calculations'!C314</f>
        <v>Bus - Public Rebates</v>
      </c>
      <c r="B318" s="287" t="str">
        <f>'Unit Savings Calculations'!D314</f>
        <v>Pipe Insulation - HW Small 1" to 2"</v>
      </c>
      <c r="C318" s="288">
        <f t="shared" si="147"/>
        <v>1</v>
      </c>
      <c r="D318" s="287" t="str">
        <f>'Unit Savings Calculations'!T314</f>
        <v>4.4.14</v>
      </c>
      <c r="E318" s="287">
        <f>INDEX('Unit Savings Calculations'!$H$4:$H$421,MATCH('Measure-Level Adjustments Tab'!$A318&amp;"_"&amp;'Measure-Level Adjustments Tab'!$B318,'Unit Savings Calculations'!$A$4:$A$421,0))</f>
        <v>15</v>
      </c>
      <c r="F318" s="287">
        <f>INDEX('Unit Savings Calculations'!$I$4:$I$421,MATCH('Measure-Level Adjustments Tab'!A318&amp;"_"&amp;'Measure-Level Adjustments Tab'!B318,'Unit Savings Calculations'!$A$4:$A$421,0))</f>
        <v>15</v>
      </c>
      <c r="G318" s="287" t="str">
        <f>'Unit Savings Calculations'!E314</f>
        <v>ft</v>
      </c>
      <c r="H318" s="289">
        <f>'Unit Savings Calculations'!$F314*'Unit Savings Calculations'!J314</f>
        <v>675</v>
      </c>
      <c r="I318" s="289">
        <f>'Unit Savings Calculations'!$F314*'Unit Savings Calculations'!K314</f>
        <v>675</v>
      </c>
      <c r="J318" s="289">
        <f>'Unit Savings Calculations'!$F314*'Unit Savings Calculations'!L314</f>
        <v>675</v>
      </c>
      <c r="K318" s="289">
        <f>'Unit Savings Calculations'!$F314*'Unit Savings Calculations'!M314</f>
        <v>675</v>
      </c>
      <c r="L318" s="287" t="str">
        <f>'Unit Savings Calculations'!U314</f>
        <v>CI-HVC-PINS-V04-160601</v>
      </c>
      <c r="M318" s="363" t="s">
        <v>830</v>
      </c>
      <c r="N318" s="290">
        <v>2.6588140926267867</v>
      </c>
      <c r="O318" s="290">
        <v>2.6588140926267867</v>
      </c>
      <c r="P318" s="290">
        <v>2.6588140926267867</v>
      </c>
      <c r="Q318" s="290">
        <v>2.6588140926267867</v>
      </c>
      <c r="R318" s="291">
        <f>'Unit Savings Calculations'!$G314</f>
        <v>0.79</v>
      </c>
      <c r="S318" s="291">
        <f>'Unit Savings Calculations'!$G314</f>
        <v>0.79</v>
      </c>
      <c r="T318" s="291">
        <f>'Unit Savings Calculations'!$G314</f>
        <v>0.79</v>
      </c>
      <c r="U318" s="291">
        <f>'Unit Savings Calculations'!$G314</f>
        <v>0.79</v>
      </c>
      <c r="V318" s="292">
        <f t="shared" si="148"/>
        <v>1417.812614893234</v>
      </c>
      <c r="W318" s="292">
        <f t="shared" si="149"/>
        <v>1417.812614893234</v>
      </c>
      <c r="X318" s="292">
        <f t="shared" si="150"/>
        <v>1417.812614893234</v>
      </c>
      <c r="Y318" s="292">
        <f t="shared" si="151"/>
        <v>1417.812614893234</v>
      </c>
      <c r="Z318" s="292">
        <f t="shared" si="152"/>
        <v>5671.2504595729361</v>
      </c>
      <c r="AA318" s="287"/>
      <c r="AB318" s="287"/>
      <c r="AC318" s="293">
        <f>'Unit Savings Calculations'!N314</f>
        <v>2.6588140926267867</v>
      </c>
      <c r="AD318" s="287"/>
      <c r="AE318" s="292">
        <f t="shared" si="138"/>
        <v>1417.812614893234</v>
      </c>
      <c r="AF318" s="289">
        <f t="shared" si="139"/>
        <v>0</v>
      </c>
      <c r="AG318" s="287"/>
      <c r="AH318" s="287">
        <f t="shared" si="140"/>
        <v>0</v>
      </c>
      <c r="AI318" s="290">
        <f>'Unit Savings Calculations'!O314</f>
        <v>2.6588140926267867</v>
      </c>
      <c r="AJ318" s="287" t="s">
        <v>872</v>
      </c>
      <c r="AK318" s="292">
        <f t="shared" si="141"/>
        <v>1417.812614893234</v>
      </c>
      <c r="AL318" s="289">
        <f t="shared" si="142"/>
        <v>0</v>
      </c>
      <c r="AM318" s="287"/>
      <c r="AN318" s="287"/>
      <c r="AO318" s="290">
        <f>'Unit Savings Calculations'!P314</f>
        <v>2.6588140926267867</v>
      </c>
      <c r="AP318" s="287" t="s">
        <v>764</v>
      </c>
      <c r="AQ318" s="292">
        <f t="shared" si="143"/>
        <v>1417.812614893234</v>
      </c>
      <c r="AR318" s="289">
        <f t="shared" si="144"/>
        <v>0</v>
      </c>
      <c r="AS318" s="287"/>
      <c r="AT318" s="287"/>
      <c r="AU318" s="290">
        <f>'Unit Savings Calculations'!Q314</f>
        <v>2.6588140926267867</v>
      </c>
      <c r="AV318" s="287" t="str">
        <f t="shared" si="131"/>
        <v>n/a</v>
      </c>
      <c r="AW318" s="292">
        <f t="shared" si="145"/>
        <v>1417.812614893234</v>
      </c>
      <c r="AX318" s="289">
        <f t="shared" si="146"/>
        <v>0</v>
      </c>
      <c r="AY318" s="292">
        <f t="shared" si="132"/>
        <v>1417.812614893234</v>
      </c>
      <c r="AZ318" s="292">
        <f t="shared" si="133"/>
        <v>1417.812614893234</v>
      </c>
      <c r="BA318" s="292">
        <f t="shared" si="134"/>
        <v>1417.812614893234</v>
      </c>
      <c r="BB318" s="292">
        <f t="shared" si="135"/>
        <v>1417.812614893234</v>
      </c>
      <c r="BC318" s="294">
        <f t="shared" si="136"/>
        <v>5671.2504595729361</v>
      </c>
      <c r="BD318" s="287" t="s">
        <v>764</v>
      </c>
      <c r="BE318" s="295" t="str">
        <f t="shared" si="137"/>
        <v>Exhibit 1.5B_R Peoples Gas EEPS_Adjustable_Savings_Goal_Template.xlsx, Unit Savings Calculations Tab</v>
      </c>
      <c r="BF318" s="297"/>
    </row>
    <row r="319" spans="1:58" ht="13.5" customHeight="1">
      <c r="A319" s="287" t="str">
        <f>'Unit Savings Calculations'!C315</f>
        <v>Bus - Public Rebates</v>
      </c>
      <c r="B319" s="287" t="str">
        <f>'Unit Savings Calculations'!D315</f>
        <v>Pipe Insulation - HW Medium 2.1" to 4"</v>
      </c>
      <c r="C319" s="288">
        <f t="shared" si="147"/>
        <v>1</v>
      </c>
      <c r="D319" s="287" t="str">
        <f>'Unit Savings Calculations'!T315</f>
        <v>4.4.14</v>
      </c>
      <c r="E319" s="287">
        <f>INDEX('Unit Savings Calculations'!$H$4:$H$421,MATCH('Measure-Level Adjustments Tab'!$A319&amp;"_"&amp;'Measure-Level Adjustments Tab'!$B319,'Unit Savings Calculations'!$A$4:$A$421,0))</f>
        <v>15</v>
      </c>
      <c r="F319" s="287">
        <f>INDEX('Unit Savings Calculations'!$I$4:$I$421,MATCH('Measure-Level Adjustments Tab'!A319&amp;"_"&amp;'Measure-Level Adjustments Tab'!B319,'Unit Savings Calculations'!$A$4:$A$421,0))</f>
        <v>15</v>
      </c>
      <c r="G319" s="287" t="str">
        <f>'Unit Savings Calculations'!E315</f>
        <v>ft</v>
      </c>
      <c r="H319" s="289">
        <f>'Unit Savings Calculations'!$F315*'Unit Savings Calculations'!J315</f>
        <v>1350</v>
      </c>
      <c r="I319" s="289">
        <f>'Unit Savings Calculations'!$F315*'Unit Savings Calculations'!K315</f>
        <v>1350</v>
      </c>
      <c r="J319" s="289">
        <f>'Unit Savings Calculations'!$F315*'Unit Savings Calculations'!L315</f>
        <v>1350</v>
      </c>
      <c r="K319" s="289">
        <f>'Unit Savings Calculations'!$F315*'Unit Savings Calculations'!M315</f>
        <v>1350</v>
      </c>
      <c r="L319" s="287" t="str">
        <f>'Unit Savings Calculations'!U315</f>
        <v>CI-HVC-PINS-V04-160601</v>
      </c>
      <c r="M319" s="363" t="s">
        <v>830</v>
      </c>
      <c r="N319" s="290">
        <v>5.2492031493764015</v>
      </c>
      <c r="O319" s="290">
        <v>5.2492031493764015</v>
      </c>
      <c r="P319" s="290">
        <v>5.2492031493764015</v>
      </c>
      <c r="Q319" s="290">
        <v>5.2492031493764015</v>
      </c>
      <c r="R319" s="291">
        <f>'Unit Savings Calculations'!$G315</f>
        <v>0.79</v>
      </c>
      <c r="S319" s="291">
        <f>'Unit Savings Calculations'!$G315</f>
        <v>0.79</v>
      </c>
      <c r="T319" s="291">
        <f>'Unit Savings Calculations'!$G315</f>
        <v>0.79</v>
      </c>
      <c r="U319" s="291">
        <f>'Unit Savings Calculations'!$G315</f>
        <v>0.79</v>
      </c>
      <c r="V319" s="292">
        <f t="shared" si="148"/>
        <v>5598.2751588099318</v>
      </c>
      <c r="W319" s="292">
        <f t="shared" si="149"/>
        <v>5598.2751588099318</v>
      </c>
      <c r="X319" s="292">
        <f t="shared" si="150"/>
        <v>5598.2751588099318</v>
      </c>
      <c r="Y319" s="292">
        <f t="shared" si="151"/>
        <v>5598.2751588099318</v>
      </c>
      <c r="Z319" s="292">
        <f t="shared" si="152"/>
        <v>22393.100635239727</v>
      </c>
      <c r="AA319" s="287"/>
      <c r="AB319" s="287"/>
      <c r="AC319" s="293">
        <f>'Unit Savings Calculations'!N315</f>
        <v>5.2492031493764015</v>
      </c>
      <c r="AD319" s="287"/>
      <c r="AE319" s="292">
        <f t="shared" si="138"/>
        <v>5598.2751588099318</v>
      </c>
      <c r="AF319" s="289">
        <f t="shared" si="139"/>
        <v>0</v>
      </c>
      <c r="AG319" s="287"/>
      <c r="AH319" s="287">
        <f t="shared" si="140"/>
        <v>0</v>
      </c>
      <c r="AI319" s="290">
        <f>'Unit Savings Calculations'!O315</f>
        <v>5.2492031493764015</v>
      </c>
      <c r="AJ319" s="287" t="s">
        <v>872</v>
      </c>
      <c r="AK319" s="292">
        <f t="shared" si="141"/>
        <v>5598.2751588099318</v>
      </c>
      <c r="AL319" s="289">
        <f t="shared" si="142"/>
        <v>0</v>
      </c>
      <c r="AM319" s="287"/>
      <c r="AN319" s="287"/>
      <c r="AO319" s="290">
        <f>'Unit Savings Calculations'!P315</f>
        <v>5.2492031493764015</v>
      </c>
      <c r="AP319" s="287" t="s">
        <v>764</v>
      </c>
      <c r="AQ319" s="292">
        <f t="shared" si="143"/>
        <v>5598.2751588099318</v>
      </c>
      <c r="AR319" s="289">
        <f t="shared" si="144"/>
        <v>0</v>
      </c>
      <c r="AS319" s="287"/>
      <c r="AT319" s="287"/>
      <c r="AU319" s="290">
        <f>'Unit Savings Calculations'!Q315</f>
        <v>5.2492031493764015</v>
      </c>
      <c r="AV319" s="287" t="str">
        <f t="shared" si="131"/>
        <v>n/a</v>
      </c>
      <c r="AW319" s="292">
        <f t="shared" si="145"/>
        <v>5598.2751588099318</v>
      </c>
      <c r="AX319" s="289">
        <f t="shared" si="146"/>
        <v>0</v>
      </c>
      <c r="AY319" s="292">
        <f t="shared" si="132"/>
        <v>5598.2751588099318</v>
      </c>
      <c r="AZ319" s="292">
        <f t="shared" si="133"/>
        <v>5598.2751588099318</v>
      </c>
      <c r="BA319" s="292">
        <f t="shared" si="134"/>
        <v>5598.2751588099318</v>
      </c>
      <c r="BB319" s="292">
        <f t="shared" si="135"/>
        <v>5598.2751588099318</v>
      </c>
      <c r="BC319" s="294">
        <f t="shared" si="136"/>
        <v>22393.100635239727</v>
      </c>
      <c r="BD319" s="287" t="s">
        <v>764</v>
      </c>
      <c r="BE319" s="295" t="str">
        <f t="shared" si="137"/>
        <v>Exhibit 1.5B_R Peoples Gas EEPS_Adjustable_Savings_Goal_Template.xlsx, Unit Savings Calculations Tab</v>
      </c>
      <c r="BF319" s="297"/>
    </row>
    <row r="320" spans="1:58" ht="13.5" customHeight="1">
      <c r="A320" s="287" t="str">
        <f>'Unit Savings Calculations'!C316</f>
        <v>Bus - Public Rebates</v>
      </c>
      <c r="B320" s="287" t="str">
        <f>'Unit Savings Calculations'!D316</f>
        <v>Pipe Insulation - HW Large &gt;4"</v>
      </c>
      <c r="C320" s="288">
        <f t="shared" si="147"/>
        <v>1</v>
      </c>
      <c r="D320" s="287" t="str">
        <f>'Unit Savings Calculations'!T316</f>
        <v>4.4.14</v>
      </c>
      <c r="E320" s="287">
        <f>INDEX('Unit Savings Calculations'!$H$4:$H$421,MATCH('Measure-Level Adjustments Tab'!$A320&amp;"_"&amp;'Measure-Level Adjustments Tab'!$B320,'Unit Savings Calculations'!$A$4:$A$421,0))</f>
        <v>15</v>
      </c>
      <c r="F320" s="287">
        <f>INDEX('Unit Savings Calculations'!$I$4:$I$421,MATCH('Measure-Level Adjustments Tab'!A320&amp;"_"&amp;'Measure-Level Adjustments Tab'!B320,'Unit Savings Calculations'!$A$4:$A$421,0))</f>
        <v>15</v>
      </c>
      <c r="G320" s="287" t="str">
        <f>'Unit Savings Calculations'!E316</f>
        <v>ft</v>
      </c>
      <c r="H320" s="289">
        <f>'Unit Savings Calculations'!$F316*'Unit Savings Calculations'!J316</f>
        <v>1575</v>
      </c>
      <c r="I320" s="289">
        <f>'Unit Savings Calculations'!$F316*'Unit Savings Calculations'!K316</f>
        <v>1575</v>
      </c>
      <c r="J320" s="289">
        <f>'Unit Savings Calculations'!$F316*'Unit Savings Calculations'!L316</f>
        <v>1575</v>
      </c>
      <c r="K320" s="289">
        <f>'Unit Savings Calculations'!$F316*'Unit Savings Calculations'!M316</f>
        <v>1575</v>
      </c>
      <c r="L320" s="287" t="str">
        <f>'Unit Savings Calculations'!U316</f>
        <v>CI-HVC-PINS-V04-160601</v>
      </c>
      <c r="M320" s="363" t="s">
        <v>830</v>
      </c>
      <c r="N320" s="290">
        <v>9.0407613085908682</v>
      </c>
      <c r="O320" s="290">
        <v>9.0407613085908682</v>
      </c>
      <c r="P320" s="290">
        <v>9.0407613085908682</v>
      </c>
      <c r="Q320" s="290">
        <v>9.0407613085908682</v>
      </c>
      <c r="R320" s="291">
        <f>'Unit Savings Calculations'!$G316</f>
        <v>0.79</v>
      </c>
      <c r="S320" s="291">
        <f>'Unit Savings Calculations'!$G316</f>
        <v>0.79</v>
      </c>
      <c r="T320" s="291">
        <f>'Unit Savings Calculations'!$G316</f>
        <v>0.79</v>
      </c>
      <c r="U320" s="291">
        <f>'Unit Savings Calculations'!$G316</f>
        <v>0.79</v>
      </c>
      <c r="V320" s="292">
        <f t="shared" si="148"/>
        <v>11248.967258214188</v>
      </c>
      <c r="W320" s="292">
        <f t="shared" si="149"/>
        <v>11248.967258214188</v>
      </c>
      <c r="X320" s="292">
        <f t="shared" si="150"/>
        <v>11248.967258214188</v>
      </c>
      <c r="Y320" s="292">
        <f t="shared" si="151"/>
        <v>11248.967258214188</v>
      </c>
      <c r="Z320" s="292">
        <f t="shared" si="152"/>
        <v>44995.869032856754</v>
      </c>
      <c r="AA320" s="287"/>
      <c r="AB320" s="287"/>
      <c r="AC320" s="293">
        <f>'Unit Savings Calculations'!N316</f>
        <v>9.0407613085908682</v>
      </c>
      <c r="AD320" s="287"/>
      <c r="AE320" s="292">
        <f t="shared" si="138"/>
        <v>11248.967258214188</v>
      </c>
      <c r="AF320" s="289">
        <f t="shared" si="139"/>
        <v>0</v>
      </c>
      <c r="AG320" s="287"/>
      <c r="AH320" s="287">
        <f t="shared" si="140"/>
        <v>0</v>
      </c>
      <c r="AI320" s="290">
        <f>'Unit Savings Calculations'!O316</f>
        <v>9.0407613085908682</v>
      </c>
      <c r="AJ320" s="287" t="s">
        <v>872</v>
      </c>
      <c r="AK320" s="292">
        <f t="shared" si="141"/>
        <v>11248.967258214188</v>
      </c>
      <c r="AL320" s="289">
        <f t="shared" si="142"/>
        <v>0</v>
      </c>
      <c r="AM320" s="287"/>
      <c r="AN320" s="287"/>
      <c r="AO320" s="290">
        <f>'Unit Savings Calculations'!P316</f>
        <v>9.0407613085908682</v>
      </c>
      <c r="AP320" s="287" t="s">
        <v>764</v>
      </c>
      <c r="AQ320" s="292">
        <f t="shared" si="143"/>
        <v>11248.967258214188</v>
      </c>
      <c r="AR320" s="289">
        <f t="shared" si="144"/>
        <v>0</v>
      </c>
      <c r="AS320" s="287"/>
      <c r="AT320" s="287"/>
      <c r="AU320" s="290">
        <f>'Unit Savings Calculations'!Q316</f>
        <v>9.0407613085908682</v>
      </c>
      <c r="AV320" s="287" t="str">
        <f t="shared" si="131"/>
        <v>n/a</v>
      </c>
      <c r="AW320" s="292">
        <f t="shared" si="145"/>
        <v>11248.967258214188</v>
      </c>
      <c r="AX320" s="289">
        <f t="shared" si="146"/>
        <v>0</v>
      </c>
      <c r="AY320" s="292">
        <f t="shared" si="132"/>
        <v>11248.967258214188</v>
      </c>
      <c r="AZ320" s="292">
        <f t="shared" si="133"/>
        <v>11248.967258214188</v>
      </c>
      <c r="BA320" s="292">
        <f t="shared" si="134"/>
        <v>11248.967258214188</v>
      </c>
      <c r="BB320" s="292">
        <f t="shared" si="135"/>
        <v>11248.967258214188</v>
      </c>
      <c r="BC320" s="294">
        <f t="shared" si="136"/>
        <v>44995.869032856754</v>
      </c>
      <c r="BD320" s="287" t="s">
        <v>764</v>
      </c>
      <c r="BE320" s="295" t="str">
        <f t="shared" si="137"/>
        <v>Exhibit 1.5B_R Peoples Gas EEPS_Adjustable_Savings_Goal_Template.xlsx, Unit Savings Calculations Tab</v>
      </c>
      <c r="BF320" s="297"/>
    </row>
    <row r="321" spans="1:58" ht="13.5" customHeight="1">
      <c r="A321" s="287" t="str">
        <f>'Unit Savings Calculations'!C317</f>
        <v>Bus - Public Rebates</v>
      </c>
      <c r="B321" s="287" t="str">
        <f>'Unit Savings Calculations'!D317</f>
        <v>Pipe Insulation - Steam - Small 1" to 2"</v>
      </c>
      <c r="C321" s="288">
        <f t="shared" si="147"/>
        <v>1</v>
      </c>
      <c r="D321" s="287" t="str">
        <f>'Unit Savings Calculations'!T317</f>
        <v>4.4.14</v>
      </c>
      <c r="E321" s="287">
        <f>INDEX('Unit Savings Calculations'!$H$4:$H$421,MATCH('Measure-Level Adjustments Tab'!$A321&amp;"_"&amp;'Measure-Level Adjustments Tab'!$B321,'Unit Savings Calculations'!$A$4:$A$421,0))</f>
        <v>15</v>
      </c>
      <c r="F321" s="287">
        <f>INDEX('Unit Savings Calculations'!$I$4:$I$421,MATCH('Measure-Level Adjustments Tab'!A321&amp;"_"&amp;'Measure-Level Adjustments Tab'!B321,'Unit Savings Calculations'!$A$4:$A$421,0))</f>
        <v>15</v>
      </c>
      <c r="G321" s="287" t="str">
        <f>'Unit Savings Calculations'!E317</f>
        <v>ft</v>
      </c>
      <c r="H321" s="289">
        <f>'Unit Savings Calculations'!$F317*'Unit Savings Calculations'!J317</f>
        <v>0</v>
      </c>
      <c r="I321" s="289">
        <f>'Unit Savings Calculations'!$F317*'Unit Savings Calculations'!K317</f>
        <v>0</v>
      </c>
      <c r="J321" s="289">
        <f>'Unit Savings Calculations'!$F317*'Unit Savings Calculations'!L317</f>
        <v>0</v>
      </c>
      <c r="K321" s="289">
        <f>'Unit Savings Calculations'!$F317*'Unit Savings Calculations'!M317</f>
        <v>0</v>
      </c>
      <c r="L321" s="287" t="str">
        <f>'Unit Savings Calculations'!U317</f>
        <v>CI-HVC-PINS-V04-160601</v>
      </c>
      <c r="M321" s="363" t="s">
        <v>830</v>
      </c>
      <c r="N321" s="290">
        <v>3.1854757047967208</v>
      </c>
      <c r="O321" s="290">
        <v>3.1854757047967208</v>
      </c>
      <c r="P321" s="290">
        <v>3.1854757047967208</v>
      </c>
      <c r="Q321" s="290">
        <v>3.1854757047967208</v>
      </c>
      <c r="R321" s="291">
        <f>'Unit Savings Calculations'!$G317</f>
        <v>0.79</v>
      </c>
      <c r="S321" s="291">
        <f>'Unit Savings Calculations'!$G317</f>
        <v>0.79</v>
      </c>
      <c r="T321" s="291">
        <f>'Unit Savings Calculations'!$G317</f>
        <v>0.79</v>
      </c>
      <c r="U321" s="291">
        <f>'Unit Savings Calculations'!$G317</f>
        <v>0.79</v>
      </c>
      <c r="V321" s="292">
        <f t="shared" si="148"/>
        <v>0</v>
      </c>
      <c r="W321" s="292">
        <f t="shared" si="149"/>
        <v>0</v>
      </c>
      <c r="X321" s="292">
        <f t="shared" si="150"/>
        <v>0</v>
      </c>
      <c r="Y321" s="292">
        <f t="shared" si="151"/>
        <v>0</v>
      </c>
      <c r="Z321" s="292">
        <f t="shared" si="152"/>
        <v>0</v>
      </c>
      <c r="AA321" s="287"/>
      <c r="AB321" s="287"/>
      <c r="AC321" s="293">
        <f>'Unit Savings Calculations'!N317</f>
        <v>3.1854757047967208</v>
      </c>
      <c r="AD321" s="287"/>
      <c r="AE321" s="292">
        <f t="shared" si="138"/>
        <v>0</v>
      </c>
      <c r="AF321" s="289">
        <f t="shared" si="139"/>
        <v>0</v>
      </c>
      <c r="AG321" s="287"/>
      <c r="AH321" s="287">
        <f t="shared" si="140"/>
        <v>0</v>
      </c>
      <c r="AI321" s="290">
        <f>'Unit Savings Calculations'!O317</f>
        <v>3.1854757047967208</v>
      </c>
      <c r="AJ321" s="287" t="s">
        <v>872</v>
      </c>
      <c r="AK321" s="292">
        <f t="shared" si="141"/>
        <v>0</v>
      </c>
      <c r="AL321" s="289">
        <f t="shared" si="142"/>
        <v>0</v>
      </c>
      <c r="AM321" s="287"/>
      <c r="AN321" s="287"/>
      <c r="AO321" s="290">
        <f>'Unit Savings Calculations'!P317</f>
        <v>3.1854757047967208</v>
      </c>
      <c r="AP321" s="287" t="s">
        <v>764</v>
      </c>
      <c r="AQ321" s="292">
        <f t="shared" si="143"/>
        <v>0</v>
      </c>
      <c r="AR321" s="289">
        <f t="shared" si="144"/>
        <v>0</v>
      </c>
      <c r="AS321" s="287"/>
      <c r="AT321" s="287"/>
      <c r="AU321" s="290">
        <f>'Unit Savings Calculations'!Q317</f>
        <v>3.1854757047967208</v>
      </c>
      <c r="AV321" s="287" t="str">
        <f t="shared" si="131"/>
        <v>n/a</v>
      </c>
      <c r="AW321" s="292">
        <f t="shared" si="145"/>
        <v>0</v>
      </c>
      <c r="AX321" s="289">
        <f t="shared" si="146"/>
        <v>0</v>
      </c>
      <c r="AY321" s="292">
        <f t="shared" si="132"/>
        <v>0</v>
      </c>
      <c r="AZ321" s="292">
        <f t="shared" si="133"/>
        <v>0</v>
      </c>
      <c r="BA321" s="292">
        <f t="shared" si="134"/>
        <v>0</v>
      </c>
      <c r="BB321" s="292">
        <f t="shared" si="135"/>
        <v>0</v>
      </c>
      <c r="BC321" s="294">
        <f t="shared" si="136"/>
        <v>0</v>
      </c>
      <c r="BD321" s="287" t="s">
        <v>764</v>
      </c>
      <c r="BE321" s="295" t="str">
        <f t="shared" si="137"/>
        <v>Exhibit 1.5B_R Peoples Gas EEPS_Adjustable_Savings_Goal_Template.xlsx, Unit Savings Calculations Tab</v>
      </c>
      <c r="BF321" s="297"/>
    </row>
    <row r="322" spans="1:58" ht="13.5" customHeight="1">
      <c r="A322" s="287" t="str">
        <f>'Unit Savings Calculations'!C318</f>
        <v>Bus - Public Rebates</v>
      </c>
      <c r="B322" s="287" t="str">
        <f>'Unit Savings Calculations'!D318</f>
        <v>Pipe Insulation - Steam - Med 2.1" to 5"</v>
      </c>
      <c r="C322" s="288">
        <f t="shared" si="147"/>
        <v>1</v>
      </c>
      <c r="D322" s="287" t="str">
        <f>'Unit Savings Calculations'!T318</f>
        <v>4.4.14</v>
      </c>
      <c r="E322" s="287">
        <f>INDEX('Unit Savings Calculations'!$H$4:$H$421,MATCH('Measure-Level Adjustments Tab'!$A322&amp;"_"&amp;'Measure-Level Adjustments Tab'!$B322,'Unit Savings Calculations'!$A$4:$A$421,0))</f>
        <v>15</v>
      </c>
      <c r="F322" s="287">
        <f>INDEX('Unit Savings Calculations'!$I$4:$I$421,MATCH('Measure-Level Adjustments Tab'!A322&amp;"_"&amp;'Measure-Level Adjustments Tab'!B322,'Unit Savings Calculations'!$A$4:$A$421,0))</f>
        <v>15</v>
      </c>
      <c r="G322" s="287" t="str">
        <f>'Unit Savings Calculations'!E318</f>
        <v>ft</v>
      </c>
      <c r="H322" s="289">
        <f>'Unit Savings Calculations'!$F318*'Unit Savings Calculations'!J318</f>
        <v>0</v>
      </c>
      <c r="I322" s="289">
        <f>'Unit Savings Calculations'!$F318*'Unit Savings Calculations'!K318</f>
        <v>0</v>
      </c>
      <c r="J322" s="289">
        <f>'Unit Savings Calculations'!$F318*'Unit Savings Calculations'!L318</f>
        <v>0</v>
      </c>
      <c r="K322" s="289">
        <f>'Unit Savings Calculations'!$F318*'Unit Savings Calculations'!M318</f>
        <v>0</v>
      </c>
      <c r="L322" s="287" t="str">
        <f>'Unit Savings Calculations'!U318</f>
        <v>CI-HVC-PINS-V04-160601</v>
      </c>
      <c r="M322" s="363" t="s">
        <v>830</v>
      </c>
      <c r="N322" s="290">
        <v>13.148126788517139</v>
      </c>
      <c r="O322" s="290">
        <v>13.148126788517139</v>
      </c>
      <c r="P322" s="290">
        <v>13.148126788517139</v>
      </c>
      <c r="Q322" s="290">
        <v>13.148126788517139</v>
      </c>
      <c r="R322" s="291">
        <f>'Unit Savings Calculations'!$G318</f>
        <v>0.79</v>
      </c>
      <c r="S322" s="291">
        <f>'Unit Savings Calculations'!$G318</f>
        <v>0.79</v>
      </c>
      <c r="T322" s="291">
        <f>'Unit Savings Calculations'!$G318</f>
        <v>0.79</v>
      </c>
      <c r="U322" s="291">
        <f>'Unit Savings Calculations'!$G318</f>
        <v>0.79</v>
      </c>
      <c r="V322" s="292">
        <f t="shared" si="148"/>
        <v>0</v>
      </c>
      <c r="W322" s="292">
        <f t="shared" si="149"/>
        <v>0</v>
      </c>
      <c r="X322" s="292">
        <f t="shared" si="150"/>
        <v>0</v>
      </c>
      <c r="Y322" s="292">
        <f t="shared" si="151"/>
        <v>0</v>
      </c>
      <c r="Z322" s="292">
        <f t="shared" si="152"/>
        <v>0</v>
      </c>
      <c r="AA322" s="287"/>
      <c r="AB322" s="287"/>
      <c r="AC322" s="293">
        <f>'Unit Savings Calculations'!N318</f>
        <v>13.148126788517139</v>
      </c>
      <c r="AD322" s="287"/>
      <c r="AE322" s="292">
        <f t="shared" si="138"/>
        <v>0</v>
      </c>
      <c r="AF322" s="289">
        <f t="shared" si="139"/>
        <v>0</v>
      </c>
      <c r="AG322" s="287"/>
      <c r="AH322" s="287">
        <f t="shared" si="140"/>
        <v>0</v>
      </c>
      <c r="AI322" s="290">
        <f>'Unit Savings Calculations'!O318</f>
        <v>13.148126788517139</v>
      </c>
      <c r="AJ322" s="287" t="s">
        <v>872</v>
      </c>
      <c r="AK322" s="292">
        <f t="shared" si="141"/>
        <v>0</v>
      </c>
      <c r="AL322" s="289">
        <f t="shared" si="142"/>
        <v>0</v>
      </c>
      <c r="AM322" s="287"/>
      <c r="AN322" s="287"/>
      <c r="AO322" s="290">
        <f>'Unit Savings Calculations'!P318</f>
        <v>13.148126788517139</v>
      </c>
      <c r="AP322" s="287" t="s">
        <v>764</v>
      </c>
      <c r="AQ322" s="292">
        <f t="shared" si="143"/>
        <v>0</v>
      </c>
      <c r="AR322" s="289">
        <f t="shared" si="144"/>
        <v>0</v>
      </c>
      <c r="AS322" s="287"/>
      <c r="AT322" s="287"/>
      <c r="AU322" s="290">
        <f>'Unit Savings Calculations'!Q318</f>
        <v>13.148126788517139</v>
      </c>
      <c r="AV322" s="287" t="str">
        <f t="shared" si="131"/>
        <v>n/a</v>
      </c>
      <c r="AW322" s="292">
        <f t="shared" si="145"/>
        <v>0</v>
      </c>
      <c r="AX322" s="289">
        <f t="shared" si="146"/>
        <v>0</v>
      </c>
      <c r="AY322" s="292">
        <f t="shared" si="132"/>
        <v>0</v>
      </c>
      <c r="AZ322" s="292">
        <f t="shared" si="133"/>
        <v>0</v>
      </c>
      <c r="BA322" s="292">
        <f t="shared" si="134"/>
        <v>0</v>
      </c>
      <c r="BB322" s="292">
        <f t="shared" si="135"/>
        <v>0</v>
      </c>
      <c r="BC322" s="294">
        <f t="shared" si="136"/>
        <v>0</v>
      </c>
      <c r="BD322" s="287" t="s">
        <v>764</v>
      </c>
      <c r="BE322" s="295" t="str">
        <f t="shared" si="137"/>
        <v>Exhibit 1.5B_R Peoples Gas EEPS_Adjustable_Savings_Goal_Template.xlsx, Unit Savings Calculations Tab</v>
      </c>
      <c r="BF322" s="297"/>
    </row>
    <row r="323" spans="1:58" ht="13.5" customHeight="1">
      <c r="A323" s="287" t="str">
        <f>'Unit Savings Calculations'!C319</f>
        <v>Bus - Public Rebates</v>
      </c>
      <c r="B323" s="287" t="str">
        <f>'Unit Savings Calculations'!D319</f>
        <v>Pipe Insulation - Steam - Large 5.1" to 8"</v>
      </c>
      <c r="C323" s="288">
        <f t="shared" si="147"/>
        <v>1</v>
      </c>
      <c r="D323" s="287" t="str">
        <f>'Unit Savings Calculations'!T319</f>
        <v>4.4.14</v>
      </c>
      <c r="E323" s="287">
        <f>INDEX('Unit Savings Calculations'!$H$4:$H$421,MATCH('Measure-Level Adjustments Tab'!$A323&amp;"_"&amp;'Measure-Level Adjustments Tab'!$B323,'Unit Savings Calculations'!$A$4:$A$421,0))</f>
        <v>15</v>
      </c>
      <c r="F323" s="287">
        <f>INDEX('Unit Savings Calculations'!$I$4:$I$421,MATCH('Measure-Level Adjustments Tab'!A323&amp;"_"&amp;'Measure-Level Adjustments Tab'!B323,'Unit Savings Calculations'!$A$4:$A$421,0))</f>
        <v>15</v>
      </c>
      <c r="G323" s="287" t="str">
        <f>'Unit Savings Calculations'!E319</f>
        <v>ft</v>
      </c>
      <c r="H323" s="289">
        <f>'Unit Savings Calculations'!$F319*'Unit Savings Calculations'!J319</f>
        <v>900</v>
      </c>
      <c r="I323" s="289">
        <f>'Unit Savings Calculations'!$F319*'Unit Savings Calculations'!K319</f>
        <v>900</v>
      </c>
      <c r="J323" s="289">
        <f>'Unit Savings Calculations'!$F319*'Unit Savings Calculations'!L319</f>
        <v>900</v>
      </c>
      <c r="K323" s="289">
        <f>'Unit Savings Calculations'!$F319*'Unit Savings Calculations'!M319</f>
        <v>900</v>
      </c>
      <c r="L323" s="287" t="str">
        <f>'Unit Savings Calculations'!U319</f>
        <v>CI-HVC-PINS-V04-160601</v>
      </c>
      <c r="M323" s="363" t="s">
        <v>830</v>
      </c>
      <c r="N323" s="290">
        <v>24.25563238537794</v>
      </c>
      <c r="O323" s="290">
        <v>24.25563238537794</v>
      </c>
      <c r="P323" s="290">
        <v>24.25563238537794</v>
      </c>
      <c r="Q323" s="290">
        <v>24.25563238537794</v>
      </c>
      <c r="R323" s="291">
        <f>'Unit Savings Calculations'!$G319</f>
        <v>0.79</v>
      </c>
      <c r="S323" s="291">
        <f>'Unit Savings Calculations'!$G319</f>
        <v>0.79</v>
      </c>
      <c r="T323" s="291">
        <f>'Unit Savings Calculations'!$G319</f>
        <v>0.79</v>
      </c>
      <c r="U323" s="291">
        <f>'Unit Savings Calculations'!$G319</f>
        <v>0.79</v>
      </c>
      <c r="V323" s="292">
        <f t="shared" si="148"/>
        <v>17245.754626003716</v>
      </c>
      <c r="W323" s="292">
        <f t="shared" si="149"/>
        <v>17245.754626003716</v>
      </c>
      <c r="X323" s="292">
        <f t="shared" si="150"/>
        <v>17245.754626003716</v>
      </c>
      <c r="Y323" s="292">
        <f t="shared" si="151"/>
        <v>17245.754626003716</v>
      </c>
      <c r="Z323" s="292">
        <f t="shared" si="152"/>
        <v>68983.018504014864</v>
      </c>
      <c r="AA323" s="287"/>
      <c r="AB323" s="287"/>
      <c r="AC323" s="293">
        <f>'Unit Savings Calculations'!N319</f>
        <v>24.25563238537794</v>
      </c>
      <c r="AD323" s="287"/>
      <c r="AE323" s="292">
        <f t="shared" si="138"/>
        <v>17245.754626003716</v>
      </c>
      <c r="AF323" s="289">
        <f t="shared" si="139"/>
        <v>0</v>
      </c>
      <c r="AG323" s="287"/>
      <c r="AH323" s="287">
        <f t="shared" si="140"/>
        <v>0</v>
      </c>
      <c r="AI323" s="290">
        <f>'Unit Savings Calculations'!O319</f>
        <v>24.25563238537794</v>
      </c>
      <c r="AJ323" s="287" t="s">
        <v>872</v>
      </c>
      <c r="AK323" s="292">
        <f t="shared" si="141"/>
        <v>17245.754626003716</v>
      </c>
      <c r="AL323" s="289">
        <f t="shared" si="142"/>
        <v>0</v>
      </c>
      <c r="AM323" s="287"/>
      <c r="AN323" s="287"/>
      <c r="AO323" s="290">
        <f>'Unit Savings Calculations'!P319</f>
        <v>24.25563238537794</v>
      </c>
      <c r="AP323" s="287" t="s">
        <v>764</v>
      </c>
      <c r="AQ323" s="292">
        <f t="shared" si="143"/>
        <v>17245.754626003716</v>
      </c>
      <c r="AR323" s="289">
        <f t="shared" si="144"/>
        <v>0</v>
      </c>
      <c r="AS323" s="287"/>
      <c r="AT323" s="287"/>
      <c r="AU323" s="290">
        <f>'Unit Savings Calculations'!Q319</f>
        <v>24.25563238537794</v>
      </c>
      <c r="AV323" s="287" t="str">
        <f t="shared" si="131"/>
        <v>n/a</v>
      </c>
      <c r="AW323" s="292">
        <f t="shared" si="145"/>
        <v>17245.754626003716</v>
      </c>
      <c r="AX323" s="289">
        <f t="shared" si="146"/>
        <v>0</v>
      </c>
      <c r="AY323" s="292">
        <f t="shared" si="132"/>
        <v>17245.754626003716</v>
      </c>
      <c r="AZ323" s="292">
        <f t="shared" si="133"/>
        <v>17245.754626003716</v>
      </c>
      <c r="BA323" s="292">
        <f t="shared" si="134"/>
        <v>17245.754626003716</v>
      </c>
      <c r="BB323" s="292">
        <f t="shared" si="135"/>
        <v>17245.754626003716</v>
      </c>
      <c r="BC323" s="294">
        <f t="shared" si="136"/>
        <v>68983.018504014864</v>
      </c>
      <c r="BD323" s="287" t="s">
        <v>764</v>
      </c>
      <c r="BE323" s="295" t="str">
        <f t="shared" si="137"/>
        <v>Exhibit 1.5B_R Peoples Gas EEPS_Adjustable_Savings_Goal_Template.xlsx, Unit Savings Calculations Tab</v>
      </c>
      <c r="BF323" s="297"/>
    </row>
    <row r="324" spans="1:58" ht="13.5" customHeight="1">
      <c r="A324" s="287" t="str">
        <f>'Unit Savings Calculations'!C320</f>
        <v>Bus - Public Rebates</v>
      </c>
      <c r="B324" s="287" t="str">
        <f>'Unit Savings Calculations'!D320</f>
        <v>Pipe Insulation - Steam - X-Large &gt;8"</v>
      </c>
      <c r="C324" s="288">
        <f t="shared" si="147"/>
        <v>1</v>
      </c>
      <c r="D324" s="287" t="str">
        <f>'Unit Savings Calculations'!T320</f>
        <v>4.4.14</v>
      </c>
      <c r="E324" s="287">
        <f>INDEX('Unit Savings Calculations'!$H$4:$H$421,MATCH('Measure-Level Adjustments Tab'!$A324&amp;"_"&amp;'Measure-Level Adjustments Tab'!$B324,'Unit Savings Calculations'!$A$4:$A$421,0))</f>
        <v>15</v>
      </c>
      <c r="F324" s="287">
        <f>INDEX('Unit Savings Calculations'!$I$4:$I$421,MATCH('Measure-Level Adjustments Tab'!A324&amp;"_"&amp;'Measure-Level Adjustments Tab'!B324,'Unit Savings Calculations'!$A$4:$A$421,0))</f>
        <v>15</v>
      </c>
      <c r="G324" s="287" t="str">
        <f>'Unit Savings Calculations'!E320</f>
        <v>ft</v>
      </c>
      <c r="H324" s="289">
        <f>'Unit Savings Calculations'!$F320*'Unit Savings Calculations'!J320</f>
        <v>0</v>
      </c>
      <c r="I324" s="289">
        <f>'Unit Savings Calculations'!$F320*'Unit Savings Calculations'!K320</f>
        <v>0</v>
      </c>
      <c r="J324" s="289">
        <f>'Unit Savings Calculations'!$F320*'Unit Savings Calculations'!L320</f>
        <v>0</v>
      </c>
      <c r="K324" s="289">
        <f>'Unit Savings Calculations'!$F320*'Unit Savings Calculations'!M320</f>
        <v>0</v>
      </c>
      <c r="L324" s="287" t="str">
        <f>'Unit Savings Calculations'!U320</f>
        <v>CI-HVC-PINS-V04-160601</v>
      </c>
      <c r="M324" s="363" t="s">
        <v>830</v>
      </c>
      <c r="N324" s="290">
        <v>35.984797966765058</v>
      </c>
      <c r="O324" s="290">
        <v>35.984797966765058</v>
      </c>
      <c r="P324" s="290">
        <v>35.984797966765058</v>
      </c>
      <c r="Q324" s="290">
        <v>35.984797966765058</v>
      </c>
      <c r="R324" s="291">
        <f>'Unit Savings Calculations'!$G320</f>
        <v>0.79</v>
      </c>
      <c r="S324" s="291">
        <f>'Unit Savings Calculations'!$G320</f>
        <v>0.79</v>
      </c>
      <c r="T324" s="291">
        <f>'Unit Savings Calculations'!$G320</f>
        <v>0.79</v>
      </c>
      <c r="U324" s="291">
        <f>'Unit Savings Calculations'!$G320</f>
        <v>0.79</v>
      </c>
      <c r="V324" s="292">
        <f t="shared" si="148"/>
        <v>0</v>
      </c>
      <c r="W324" s="292">
        <f t="shared" si="149"/>
        <v>0</v>
      </c>
      <c r="X324" s="292">
        <f t="shared" si="150"/>
        <v>0</v>
      </c>
      <c r="Y324" s="292">
        <f t="shared" si="151"/>
        <v>0</v>
      </c>
      <c r="Z324" s="292">
        <f t="shared" si="152"/>
        <v>0</v>
      </c>
      <c r="AA324" s="287"/>
      <c r="AB324" s="287"/>
      <c r="AC324" s="293">
        <f>'Unit Savings Calculations'!N320</f>
        <v>35.984797966765058</v>
      </c>
      <c r="AD324" s="287"/>
      <c r="AE324" s="292">
        <f t="shared" si="138"/>
        <v>0</v>
      </c>
      <c r="AF324" s="289">
        <f t="shared" si="139"/>
        <v>0</v>
      </c>
      <c r="AG324" s="287"/>
      <c r="AH324" s="287">
        <f t="shared" si="140"/>
        <v>0</v>
      </c>
      <c r="AI324" s="290">
        <f>'Unit Savings Calculations'!O320</f>
        <v>35.984797966765058</v>
      </c>
      <c r="AJ324" s="287" t="s">
        <v>872</v>
      </c>
      <c r="AK324" s="292">
        <f t="shared" si="141"/>
        <v>0</v>
      </c>
      <c r="AL324" s="289">
        <f t="shared" si="142"/>
        <v>0</v>
      </c>
      <c r="AM324" s="287"/>
      <c r="AN324" s="287"/>
      <c r="AO324" s="290">
        <f>'Unit Savings Calculations'!P320</f>
        <v>35.984797966765058</v>
      </c>
      <c r="AP324" s="287" t="s">
        <v>764</v>
      </c>
      <c r="AQ324" s="292">
        <f t="shared" si="143"/>
        <v>0</v>
      </c>
      <c r="AR324" s="289">
        <f t="shared" si="144"/>
        <v>0</v>
      </c>
      <c r="AS324" s="287"/>
      <c r="AT324" s="287"/>
      <c r="AU324" s="290">
        <f>'Unit Savings Calculations'!Q320</f>
        <v>35.984797966765058</v>
      </c>
      <c r="AV324" s="287" t="str">
        <f t="shared" si="131"/>
        <v>n/a</v>
      </c>
      <c r="AW324" s="292">
        <f t="shared" si="145"/>
        <v>0</v>
      </c>
      <c r="AX324" s="289">
        <f t="shared" si="146"/>
        <v>0</v>
      </c>
      <c r="AY324" s="292">
        <f t="shared" si="132"/>
        <v>0</v>
      </c>
      <c r="AZ324" s="292">
        <f t="shared" si="133"/>
        <v>0</v>
      </c>
      <c r="BA324" s="292">
        <f t="shared" si="134"/>
        <v>0</v>
      </c>
      <c r="BB324" s="292">
        <f t="shared" si="135"/>
        <v>0</v>
      </c>
      <c r="BC324" s="294">
        <f t="shared" si="136"/>
        <v>0</v>
      </c>
      <c r="BD324" s="287" t="s">
        <v>764</v>
      </c>
      <c r="BE324" s="295" t="str">
        <f t="shared" si="137"/>
        <v>Exhibit 1.5B_R Peoples Gas EEPS_Adjustable_Savings_Goal_Template.xlsx, Unit Savings Calculations Tab</v>
      </c>
      <c r="BF324" s="297"/>
    </row>
    <row r="325" spans="1:58" ht="13.5" customHeight="1">
      <c r="A325" s="287" t="str">
        <f>'Unit Savings Calculations'!C321</f>
        <v>Bus - Public Rebates</v>
      </c>
      <c r="B325" s="287" t="str">
        <f>'Unit Savings Calculations'!D321</f>
        <v>Pipe Insulation - Steam Med Fitting</v>
      </c>
      <c r="C325" s="288">
        <f t="shared" ref="C325:C330" si="153">IF(D325="Custom",0,1)</f>
        <v>1</v>
      </c>
      <c r="D325" s="287" t="str">
        <f>'Unit Savings Calculations'!T321</f>
        <v>4.4.14</v>
      </c>
      <c r="E325" s="287">
        <f>INDEX('Unit Savings Calculations'!$H$4:$H$421,MATCH('Measure-Level Adjustments Tab'!$A325&amp;"_"&amp;'Measure-Level Adjustments Tab'!$B325,'Unit Savings Calculations'!$A$4:$A$421,0))</f>
        <v>15</v>
      </c>
      <c r="F325" s="287">
        <f>INDEX('Unit Savings Calculations'!$I$4:$I$421,MATCH('Measure-Level Adjustments Tab'!A325&amp;"_"&amp;'Measure-Level Adjustments Tab'!B325,'Unit Savings Calculations'!$A$4:$A$421,0))</f>
        <v>15</v>
      </c>
      <c r="G325" s="287" t="str">
        <f>'Unit Savings Calculations'!E321</f>
        <v>each</v>
      </c>
      <c r="H325" s="289">
        <f>'Unit Savings Calculations'!$F321*'Unit Savings Calculations'!J321</f>
        <v>0</v>
      </c>
      <c r="I325" s="289">
        <f>'Unit Savings Calculations'!$F321*'Unit Savings Calculations'!K321</f>
        <v>0</v>
      </c>
      <c r="J325" s="289">
        <f>'Unit Savings Calculations'!$F321*'Unit Savings Calculations'!L321</f>
        <v>0</v>
      </c>
      <c r="K325" s="289">
        <f>'Unit Savings Calculations'!$F321*'Unit Savings Calculations'!M321</f>
        <v>0</v>
      </c>
      <c r="L325" s="287" t="str">
        <f>'Unit Savings Calculations'!U321</f>
        <v>CI-HVC-PINS-V04-160601</v>
      </c>
      <c r="M325" s="363" t="s">
        <v>830</v>
      </c>
      <c r="N325" s="290">
        <v>12.515179237984789</v>
      </c>
      <c r="O325" s="290">
        <v>12.515179237984789</v>
      </c>
      <c r="P325" s="290">
        <v>12.515179237984789</v>
      </c>
      <c r="Q325" s="290">
        <v>12.515179237984789</v>
      </c>
      <c r="R325" s="291">
        <f>'Unit Savings Calculations'!$G321</f>
        <v>0.79</v>
      </c>
      <c r="S325" s="291">
        <f>'Unit Savings Calculations'!$G321</f>
        <v>0.79</v>
      </c>
      <c r="T325" s="291">
        <f>'Unit Savings Calculations'!$G321</f>
        <v>0.79</v>
      </c>
      <c r="U325" s="291">
        <f>'Unit Savings Calculations'!$G321</f>
        <v>0.79</v>
      </c>
      <c r="V325" s="292">
        <f t="shared" si="148"/>
        <v>0</v>
      </c>
      <c r="W325" s="292">
        <f t="shared" si="149"/>
        <v>0</v>
      </c>
      <c r="X325" s="292">
        <f t="shared" si="150"/>
        <v>0</v>
      </c>
      <c r="Y325" s="292">
        <f t="shared" si="151"/>
        <v>0</v>
      </c>
      <c r="Z325" s="292">
        <f t="shared" si="152"/>
        <v>0</v>
      </c>
      <c r="AA325" s="287"/>
      <c r="AB325" s="287"/>
      <c r="AC325" s="293">
        <f>'Unit Savings Calculations'!N321</f>
        <v>12.515179237984789</v>
      </c>
      <c r="AD325" s="287"/>
      <c r="AE325" s="292">
        <f t="shared" si="138"/>
        <v>0</v>
      </c>
      <c r="AF325" s="289">
        <f t="shared" si="139"/>
        <v>0</v>
      </c>
      <c r="AG325" s="287"/>
      <c r="AH325" s="287">
        <f t="shared" si="140"/>
        <v>0</v>
      </c>
      <c r="AI325" s="290">
        <f>'Unit Savings Calculations'!O321</f>
        <v>12.515179237984789</v>
      </c>
      <c r="AJ325" s="287" t="s">
        <v>872</v>
      </c>
      <c r="AK325" s="292">
        <f t="shared" si="141"/>
        <v>0</v>
      </c>
      <c r="AL325" s="289">
        <f t="shared" si="142"/>
        <v>0</v>
      </c>
      <c r="AM325" s="287"/>
      <c r="AN325" s="287"/>
      <c r="AO325" s="290">
        <f>'Unit Savings Calculations'!P321</f>
        <v>12.515179237984789</v>
      </c>
      <c r="AP325" s="287" t="s">
        <v>764</v>
      </c>
      <c r="AQ325" s="292">
        <f t="shared" si="143"/>
        <v>0</v>
      </c>
      <c r="AR325" s="289">
        <f t="shared" si="144"/>
        <v>0</v>
      </c>
      <c r="AS325" s="287"/>
      <c r="AT325" s="287"/>
      <c r="AU325" s="290">
        <f>'Unit Savings Calculations'!Q321</f>
        <v>12.515179237984789</v>
      </c>
      <c r="AV325" s="287" t="str">
        <f t="shared" si="131"/>
        <v>n/a</v>
      </c>
      <c r="AW325" s="292">
        <f t="shared" si="145"/>
        <v>0</v>
      </c>
      <c r="AX325" s="289">
        <f t="shared" si="146"/>
        <v>0</v>
      </c>
      <c r="AY325" s="292">
        <f t="shared" si="132"/>
        <v>0</v>
      </c>
      <c r="AZ325" s="292">
        <f t="shared" si="133"/>
        <v>0</v>
      </c>
      <c r="BA325" s="292">
        <f t="shared" si="134"/>
        <v>0</v>
      </c>
      <c r="BB325" s="292">
        <f t="shared" si="135"/>
        <v>0</v>
      </c>
      <c r="BC325" s="294">
        <f t="shared" si="136"/>
        <v>0</v>
      </c>
      <c r="BD325" s="287" t="s">
        <v>764</v>
      </c>
      <c r="BE325" s="295" t="str">
        <f t="shared" si="137"/>
        <v>Exhibit 1.5B_R Peoples Gas EEPS_Adjustable_Savings_Goal_Template.xlsx, Unit Savings Calculations Tab</v>
      </c>
      <c r="BF325" s="297"/>
    </row>
    <row r="326" spans="1:58" ht="13.5" customHeight="1">
      <c r="A326" s="287" t="str">
        <f>'Unit Savings Calculations'!C322</f>
        <v>Bus - Public Rebates</v>
      </c>
      <c r="B326" s="287" t="str">
        <f>'Unit Savings Calculations'!D322</f>
        <v>Pipe Insulation - Steam Large Fitting</v>
      </c>
      <c r="C326" s="288">
        <f t="shared" si="153"/>
        <v>1</v>
      </c>
      <c r="D326" s="287" t="str">
        <f>'Unit Savings Calculations'!T322</f>
        <v>4.4.14</v>
      </c>
      <c r="E326" s="287">
        <f>INDEX('Unit Savings Calculations'!$H$4:$H$421,MATCH('Measure-Level Adjustments Tab'!$A326&amp;"_"&amp;'Measure-Level Adjustments Tab'!$B326,'Unit Savings Calculations'!$A$4:$A$421,0))</f>
        <v>15</v>
      </c>
      <c r="F326" s="287">
        <f>INDEX('Unit Savings Calculations'!$I$4:$I$421,MATCH('Measure-Level Adjustments Tab'!A326&amp;"_"&amp;'Measure-Level Adjustments Tab'!B326,'Unit Savings Calculations'!$A$4:$A$421,0))</f>
        <v>15</v>
      </c>
      <c r="G326" s="287" t="str">
        <f>'Unit Savings Calculations'!E322</f>
        <v>each</v>
      </c>
      <c r="H326" s="289">
        <f>'Unit Savings Calculations'!$F322*'Unit Savings Calculations'!J322</f>
        <v>30</v>
      </c>
      <c r="I326" s="289">
        <f>'Unit Savings Calculations'!$F322*'Unit Savings Calculations'!K322</f>
        <v>30</v>
      </c>
      <c r="J326" s="289">
        <f>'Unit Savings Calculations'!$F322*'Unit Savings Calculations'!L322</f>
        <v>30</v>
      </c>
      <c r="K326" s="289">
        <f>'Unit Savings Calculations'!$F322*'Unit Savings Calculations'!M322</f>
        <v>30</v>
      </c>
      <c r="L326" s="287" t="str">
        <f>'Unit Savings Calculations'!U322</f>
        <v>CI-HVC-PINS-V04-160601</v>
      </c>
      <c r="M326" s="363" t="s">
        <v>830</v>
      </c>
      <c r="N326" s="290">
        <v>51.249515380658096</v>
      </c>
      <c r="O326" s="290">
        <v>51.249515380658096</v>
      </c>
      <c r="P326" s="290">
        <v>51.249515380658096</v>
      </c>
      <c r="Q326" s="290">
        <v>51.249515380658096</v>
      </c>
      <c r="R326" s="291">
        <f>'Unit Savings Calculations'!$G322</f>
        <v>0.79</v>
      </c>
      <c r="S326" s="291">
        <f>'Unit Savings Calculations'!$G322</f>
        <v>0.79</v>
      </c>
      <c r="T326" s="291">
        <f>'Unit Savings Calculations'!$G322</f>
        <v>0.79</v>
      </c>
      <c r="U326" s="291">
        <f>'Unit Savings Calculations'!$G322</f>
        <v>0.79</v>
      </c>
      <c r="V326" s="292">
        <f t="shared" si="148"/>
        <v>1214.6135145215969</v>
      </c>
      <c r="W326" s="292">
        <f t="shared" si="149"/>
        <v>1214.6135145215969</v>
      </c>
      <c r="X326" s="292">
        <f t="shared" si="150"/>
        <v>1214.6135145215969</v>
      </c>
      <c r="Y326" s="292">
        <f t="shared" si="151"/>
        <v>1214.6135145215969</v>
      </c>
      <c r="Z326" s="292">
        <f t="shared" si="152"/>
        <v>4858.4540580863877</v>
      </c>
      <c r="AA326" s="287"/>
      <c r="AB326" s="287"/>
      <c r="AC326" s="293">
        <f>'Unit Savings Calculations'!N322</f>
        <v>51.249515380658096</v>
      </c>
      <c r="AD326" s="287"/>
      <c r="AE326" s="292">
        <f t="shared" si="138"/>
        <v>1214.6135145215969</v>
      </c>
      <c r="AF326" s="289">
        <f t="shared" si="139"/>
        <v>0</v>
      </c>
      <c r="AG326" s="287"/>
      <c r="AH326" s="287">
        <f t="shared" si="140"/>
        <v>0</v>
      </c>
      <c r="AI326" s="290">
        <f>'Unit Savings Calculations'!O322</f>
        <v>51.249515380658096</v>
      </c>
      <c r="AJ326" s="287" t="s">
        <v>872</v>
      </c>
      <c r="AK326" s="292">
        <f t="shared" si="141"/>
        <v>1214.6135145215969</v>
      </c>
      <c r="AL326" s="289">
        <f t="shared" si="142"/>
        <v>0</v>
      </c>
      <c r="AM326" s="287"/>
      <c r="AN326" s="287"/>
      <c r="AO326" s="290">
        <f>'Unit Savings Calculations'!P322</f>
        <v>51.249515380658096</v>
      </c>
      <c r="AP326" s="287" t="s">
        <v>764</v>
      </c>
      <c r="AQ326" s="292">
        <f t="shared" si="143"/>
        <v>1214.6135145215969</v>
      </c>
      <c r="AR326" s="289">
        <f t="shared" si="144"/>
        <v>0</v>
      </c>
      <c r="AS326" s="287"/>
      <c r="AT326" s="287"/>
      <c r="AU326" s="290">
        <f>'Unit Savings Calculations'!Q322</f>
        <v>51.249515380658096</v>
      </c>
      <c r="AV326" s="287" t="str">
        <f t="shared" si="131"/>
        <v>n/a</v>
      </c>
      <c r="AW326" s="292">
        <f t="shared" si="145"/>
        <v>1214.6135145215969</v>
      </c>
      <c r="AX326" s="289">
        <f t="shared" si="146"/>
        <v>0</v>
      </c>
      <c r="AY326" s="292">
        <f t="shared" si="132"/>
        <v>1214.6135145215969</v>
      </c>
      <c r="AZ326" s="292">
        <f t="shared" si="133"/>
        <v>1214.6135145215969</v>
      </c>
      <c r="BA326" s="292">
        <f t="shared" si="134"/>
        <v>1214.6135145215969</v>
      </c>
      <c r="BB326" s="292">
        <f t="shared" si="135"/>
        <v>1214.6135145215969</v>
      </c>
      <c r="BC326" s="294">
        <f t="shared" si="136"/>
        <v>4858.4540580863877</v>
      </c>
      <c r="BD326" s="287" t="s">
        <v>764</v>
      </c>
      <c r="BE326" s="295" t="str">
        <f t="shared" si="137"/>
        <v>Exhibit 1.5B_R Peoples Gas EEPS_Adjustable_Savings_Goal_Template.xlsx, Unit Savings Calculations Tab</v>
      </c>
      <c r="BF326" s="297"/>
    </row>
    <row r="327" spans="1:58" ht="13.5" customHeight="1">
      <c r="A327" s="287" t="str">
        <f>'Unit Savings Calculations'!C323</f>
        <v>Bus - Public Rebates</v>
      </c>
      <c r="B327" s="287" t="str">
        <f>'Unit Savings Calculations'!D323</f>
        <v>Pipe Insulation - Steam X-Large Fitting</v>
      </c>
      <c r="C327" s="288">
        <f t="shared" si="153"/>
        <v>1</v>
      </c>
      <c r="D327" s="287" t="str">
        <f>'Unit Savings Calculations'!T323</f>
        <v>4.4.14</v>
      </c>
      <c r="E327" s="287">
        <f>INDEX('Unit Savings Calculations'!$H$4:$H$421,MATCH('Measure-Level Adjustments Tab'!$A327&amp;"_"&amp;'Measure-Level Adjustments Tab'!$B327,'Unit Savings Calculations'!$A$4:$A$421,0))</f>
        <v>15</v>
      </c>
      <c r="F327" s="287">
        <f>INDEX('Unit Savings Calculations'!$I$4:$I$421,MATCH('Measure-Level Adjustments Tab'!A327&amp;"_"&amp;'Measure-Level Adjustments Tab'!B327,'Unit Savings Calculations'!$A$4:$A$421,0))</f>
        <v>15</v>
      </c>
      <c r="G327" s="287" t="str">
        <f>'Unit Savings Calculations'!E323</f>
        <v>each</v>
      </c>
      <c r="H327" s="289">
        <f>'Unit Savings Calculations'!$F323*'Unit Savings Calculations'!J323</f>
        <v>0</v>
      </c>
      <c r="I327" s="289">
        <f>'Unit Savings Calculations'!$F323*'Unit Savings Calculations'!K323</f>
        <v>0</v>
      </c>
      <c r="J327" s="289">
        <f>'Unit Savings Calculations'!$F323*'Unit Savings Calculations'!L323</f>
        <v>0</v>
      </c>
      <c r="K327" s="289">
        <f>'Unit Savings Calculations'!$F323*'Unit Savings Calculations'!M323</f>
        <v>0</v>
      </c>
      <c r="L327" s="287" t="str">
        <f>'Unit Savings Calculations'!U323</f>
        <v>CI-HVC-PINS-V04-160601</v>
      </c>
      <c r="M327" s="363" t="s">
        <v>830</v>
      </c>
      <c r="N327" s="290">
        <v>99.138118398437726</v>
      </c>
      <c r="O327" s="290">
        <v>99.138118398437726</v>
      </c>
      <c r="P327" s="290">
        <v>99.138118398437726</v>
      </c>
      <c r="Q327" s="290">
        <v>99.138118398437726</v>
      </c>
      <c r="R327" s="291">
        <f>'Unit Savings Calculations'!$G323</f>
        <v>0.79</v>
      </c>
      <c r="S327" s="291">
        <f>'Unit Savings Calculations'!$G323</f>
        <v>0.79</v>
      </c>
      <c r="T327" s="291">
        <f>'Unit Savings Calculations'!$G323</f>
        <v>0.79</v>
      </c>
      <c r="U327" s="291">
        <f>'Unit Savings Calculations'!$G323</f>
        <v>0.79</v>
      </c>
      <c r="V327" s="292">
        <f t="shared" si="148"/>
        <v>0</v>
      </c>
      <c r="W327" s="292">
        <f t="shared" si="149"/>
        <v>0</v>
      </c>
      <c r="X327" s="292">
        <f t="shared" si="150"/>
        <v>0</v>
      </c>
      <c r="Y327" s="292">
        <f t="shared" si="151"/>
        <v>0</v>
      </c>
      <c r="Z327" s="292">
        <f t="shared" si="152"/>
        <v>0</v>
      </c>
      <c r="AA327" s="287"/>
      <c r="AB327" s="287"/>
      <c r="AC327" s="293">
        <f>'Unit Savings Calculations'!N323</f>
        <v>99.138118398437726</v>
      </c>
      <c r="AD327" s="287"/>
      <c r="AE327" s="292">
        <f t="shared" si="138"/>
        <v>0</v>
      </c>
      <c r="AF327" s="289">
        <f t="shared" si="139"/>
        <v>0</v>
      </c>
      <c r="AG327" s="287"/>
      <c r="AH327" s="287">
        <f t="shared" si="140"/>
        <v>0</v>
      </c>
      <c r="AI327" s="290">
        <f>'Unit Savings Calculations'!O323</f>
        <v>99.138118398437726</v>
      </c>
      <c r="AJ327" s="287" t="s">
        <v>872</v>
      </c>
      <c r="AK327" s="292">
        <f t="shared" si="141"/>
        <v>0</v>
      </c>
      <c r="AL327" s="289">
        <f t="shared" si="142"/>
        <v>0</v>
      </c>
      <c r="AM327" s="287"/>
      <c r="AN327" s="287"/>
      <c r="AO327" s="290">
        <f>'Unit Savings Calculations'!P323</f>
        <v>99.138118398437726</v>
      </c>
      <c r="AP327" s="287" t="s">
        <v>764</v>
      </c>
      <c r="AQ327" s="292">
        <f t="shared" si="143"/>
        <v>0</v>
      </c>
      <c r="AR327" s="289">
        <f t="shared" si="144"/>
        <v>0</v>
      </c>
      <c r="AS327" s="287"/>
      <c r="AT327" s="287"/>
      <c r="AU327" s="290">
        <f>'Unit Savings Calculations'!Q323</f>
        <v>99.138118398437726</v>
      </c>
      <c r="AV327" s="287" t="str">
        <f t="shared" si="131"/>
        <v>n/a</v>
      </c>
      <c r="AW327" s="292">
        <f t="shared" si="145"/>
        <v>0</v>
      </c>
      <c r="AX327" s="289">
        <f t="shared" si="146"/>
        <v>0</v>
      </c>
      <c r="AY327" s="292">
        <f t="shared" si="132"/>
        <v>0</v>
      </c>
      <c r="AZ327" s="292">
        <f t="shared" si="133"/>
        <v>0</v>
      </c>
      <c r="BA327" s="292">
        <f t="shared" si="134"/>
        <v>0</v>
      </c>
      <c r="BB327" s="292">
        <f t="shared" si="135"/>
        <v>0</v>
      </c>
      <c r="BC327" s="294">
        <f t="shared" si="136"/>
        <v>0</v>
      </c>
      <c r="BD327" s="287" t="s">
        <v>764</v>
      </c>
      <c r="BE327" s="295" t="str">
        <f t="shared" si="137"/>
        <v>Exhibit 1.5B_R Peoples Gas EEPS_Adjustable_Savings_Goal_Template.xlsx, Unit Savings Calculations Tab</v>
      </c>
      <c r="BF327" s="297"/>
    </row>
    <row r="328" spans="1:58" ht="13.5" customHeight="1">
      <c r="A328" s="287" t="str">
        <f>'Unit Savings Calculations'!C324</f>
        <v>Bus - Public Rebates</v>
      </c>
      <c r="B328" s="287" t="str">
        <f>'Unit Savings Calculations'!D324</f>
        <v>Pipe Insulation - Steam Med Valve</v>
      </c>
      <c r="C328" s="288">
        <f t="shared" si="153"/>
        <v>1</v>
      </c>
      <c r="D328" s="287" t="str">
        <f>'Unit Savings Calculations'!T324</f>
        <v>4.4.14</v>
      </c>
      <c r="E328" s="287">
        <f>INDEX('Unit Savings Calculations'!$H$4:$H$421,MATCH('Measure-Level Adjustments Tab'!$A328&amp;"_"&amp;'Measure-Level Adjustments Tab'!$B328,'Unit Savings Calculations'!$A$4:$A$421,0))</f>
        <v>15</v>
      </c>
      <c r="F328" s="287">
        <f>INDEX('Unit Savings Calculations'!$I$4:$I$421,MATCH('Measure-Level Adjustments Tab'!A328&amp;"_"&amp;'Measure-Level Adjustments Tab'!B328,'Unit Savings Calculations'!$A$4:$A$421,0))</f>
        <v>15</v>
      </c>
      <c r="G328" s="287" t="str">
        <f>'Unit Savings Calculations'!E324</f>
        <v>each</v>
      </c>
      <c r="H328" s="289">
        <f>'Unit Savings Calculations'!$F324*'Unit Savings Calculations'!J324</f>
        <v>0</v>
      </c>
      <c r="I328" s="289">
        <f>'Unit Savings Calculations'!$F324*'Unit Savings Calculations'!K324</f>
        <v>0</v>
      </c>
      <c r="J328" s="289">
        <f>'Unit Savings Calculations'!$F324*'Unit Savings Calculations'!L324</f>
        <v>0</v>
      </c>
      <c r="K328" s="289">
        <f>'Unit Savings Calculations'!$F324*'Unit Savings Calculations'!M324</f>
        <v>0</v>
      </c>
      <c r="L328" s="287" t="str">
        <f>'Unit Savings Calculations'!U324</f>
        <v>CI-HVC-PINS-V04-160601</v>
      </c>
      <c r="M328" s="363" t="s">
        <v>830</v>
      </c>
      <c r="N328" s="290">
        <v>37.423389683572815</v>
      </c>
      <c r="O328" s="290">
        <v>37.423389683572815</v>
      </c>
      <c r="P328" s="290">
        <v>37.423389683572815</v>
      </c>
      <c r="Q328" s="290">
        <v>37.423389683572815</v>
      </c>
      <c r="R328" s="291">
        <f>'Unit Savings Calculations'!$G324</f>
        <v>0.79</v>
      </c>
      <c r="S328" s="291">
        <f>'Unit Savings Calculations'!$G324</f>
        <v>0.79</v>
      </c>
      <c r="T328" s="291">
        <f>'Unit Savings Calculations'!$G324</f>
        <v>0.79</v>
      </c>
      <c r="U328" s="291">
        <f>'Unit Savings Calculations'!$G324</f>
        <v>0.79</v>
      </c>
      <c r="V328" s="292">
        <f t="shared" si="148"/>
        <v>0</v>
      </c>
      <c r="W328" s="292">
        <f t="shared" si="149"/>
        <v>0</v>
      </c>
      <c r="X328" s="292">
        <f t="shared" si="150"/>
        <v>0</v>
      </c>
      <c r="Y328" s="292">
        <f t="shared" si="151"/>
        <v>0</v>
      </c>
      <c r="Z328" s="292">
        <f t="shared" si="152"/>
        <v>0</v>
      </c>
      <c r="AA328" s="287"/>
      <c r="AB328" s="287"/>
      <c r="AC328" s="293">
        <f>'Unit Savings Calculations'!N324</f>
        <v>37.423389683572815</v>
      </c>
      <c r="AD328" s="287"/>
      <c r="AE328" s="292">
        <f t="shared" si="138"/>
        <v>0</v>
      </c>
      <c r="AF328" s="289">
        <f t="shared" si="139"/>
        <v>0</v>
      </c>
      <c r="AG328" s="287"/>
      <c r="AH328" s="287">
        <f t="shared" si="140"/>
        <v>0</v>
      </c>
      <c r="AI328" s="290">
        <f>'Unit Savings Calculations'!O324</f>
        <v>37.423389683572815</v>
      </c>
      <c r="AJ328" s="287" t="s">
        <v>872</v>
      </c>
      <c r="AK328" s="292">
        <f t="shared" si="141"/>
        <v>0</v>
      </c>
      <c r="AL328" s="289">
        <f t="shared" si="142"/>
        <v>0</v>
      </c>
      <c r="AM328" s="287"/>
      <c r="AN328" s="287"/>
      <c r="AO328" s="290">
        <f>'Unit Savings Calculations'!P324</f>
        <v>37.423389683572815</v>
      </c>
      <c r="AP328" s="287" t="s">
        <v>764</v>
      </c>
      <c r="AQ328" s="292">
        <f t="shared" si="143"/>
        <v>0</v>
      </c>
      <c r="AR328" s="289">
        <f t="shared" si="144"/>
        <v>0</v>
      </c>
      <c r="AS328" s="287"/>
      <c r="AT328" s="287"/>
      <c r="AU328" s="290">
        <f>'Unit Savings Calculations'!Q324</f>
        <v>37.423389683572815</v>
      </c>
      <c r="AV328" s="287" t="str">
        <f t="shared" si="131"/>
        <v>n/a</v>
      </c>
      <c r="AW328" s="292">
        <f t="shared" si="145"/>
        <v>0</v>
      </c>
      <c r="AX328" s="289">
        <f t="shared" si="146"/>
        <v>0</v>
      </c>
      <c r="AY328" s="292">
        <f t="shared" si="132"/>
        <v>0</v>
      </c>
      <c r="AZ328" s="292">
        <f t="shared" si="133"/>
        <v>0</v>
      </c>
      <c r="BA328" s="292">
        <f t="shared" si="134"/>
        <v>0</v>
      </c>
      <c r="BB328" s="292">
        <f t="shared" si="135"/>
        <v>0</v>
      </c>
      <c r="BC328" s="294">
        <f t="shared" si="136"/>
        <v>0</v>
      </c>
      <c r="BD328" s="287" t="s">
        <v>764</v>
      </c>
      <c r="BE328" s="295" t="str">
        <f t="shared" si="137"/>
        <v>Exhibit 1.5B_R Peoples Gas EEPS_Adjustable_Savings_Goal_Template.xlsx, Unit Savings Calculations Tab</v>
      </c>
      <c r="BF328" s="297"/>
    </row>
    <row r="329" spans="1:58" ht="13.5" customHeight="1">
      <c r="A329" s="287" t="str">
        <f>'Unit Savings Calculations'!C325</f>
        <v>Bus - Public Rebates</v>
      </c>
      <c r="B329" s="287" t="str">
        <f>'Unit Savings Calculations'!D325</f>
        <v>Pipe Insulation - Steam Large Valve</v>
      </c>
      <c r="C329" s="288">
        <f t="shared" si="153"/>
        <v>1</v>
      </c>
      <c r="D329" s="287" t="str">
        <f>'Unit Savings Calculations'!T325</f>
        <v>4.4.14</v>
      </c>
      <c r="E329" s="287">
        <f>INDEX('Unit Savings Calculations'!$H$4:$H$421,MATCH('Measure-Level Adjustments Tab'!$A329&amp;"_"&amp;'Measure-Level Adjustments Tab'!$B329,'Unit Savings Calculations'!$A$4:$A$421,0))</f>
        <v>15</v>
      </c>
      <c r="F329" s="287">
        <f>INDEX('Unit Savings Calculations'!$I$4:$I$421,MATCH('Measure-Level Adjustments Tab'!A329&amp;"_"&amp;'Measure-Level Adjustments Tab'!B329,'Unit Savings Calculations'!$A$4:$A$421,0))</f>
        <v>15</v>
      </c>
      <c r="G329" s="287" t="str">
        <f>'Unit Savings Calculations'!E325</f>
        <v>each</v>
      </c>
      <c r="H329" s="289">
        <f>'Unit Savings Calculations'!$F325*'Unit Savings Calculations'!J325</f>
        <v>30</v>
      </c>
      <c r="I329" s="289">
        <f>'Unit Savings Calculations'!$F325*'Unit Savings Calculations'!K325</f>
        <v>30</v>
      </c>
      <c r="J329" s="289">
        <f>'Unit Savings Calculations'!$F325*'Unit Savings Calculations'!L325</f>
        <v>30</v>
      </c>
      <c r="K329" s="289">
        <f>'Unit Savings Calculations'!$F325*'Unit Savings Calculations'!M325</f>
        <v>30</v>
      </c>
      <c r="L329" s="287" t="str">
        <f>'Unit Savings Calculations'!U325</f>
        <v>CI-HVC-PINS-V04-160601</v>
      </c>
      <c r="M329" s="363" t="s">
        <v>830</v>
      </c>
      <c r="N329" s="290">
        <v>107.52607289087437</v>
      </c>
      <c r="O329" s="290">
        <v>107.52607289087437</v>
      </c>
      <c r="P329" s="290">
        <v>107.52607289087437</v>
      </c>
      <c r="Q329" s="290">
        <v>107.52607289087437</v>
      </c>
      <c r="R329" s="291">
        <f>'Unit Savings Calculations'!$G325</f>
        <v>0.79</v>
      </c>
      <c r="S329" s="291">
        <f>'Unit Savings Calculations'!$G325</f>
        <v>0.79</v>
      </c>
      <c r="T329" s="291">
        <f>'Unit Savings Calculations'!$G325</f>
        <v>0.79</v>
      </c>
      <c r="U329" s="291">
        <f>'Unit Savings Calculations'!$G325</f>
        <v>0.79</v>
      </c>
      <c r="V329" s="292">
        <f t="shared" si="148"/>
        <v>2548.3679275137229</v>
      </c>
      <c r="W329" s="292">
        <f t="shared" si="149"/>
        <v>2548.3679275137229</v>
      </c>
      <c r="X329" s="292">
        <f t="shared" si="150"/>
        <v>2548.3679275137229</v>
      </c>
      <c r="Y329" s="292">
        <f t="shared" si="151"/>
        <v>2548.3679275137229</v>
      </c>
      <c r="Z329" s="292">
        <f t="shared" si="152"/>
        <v>10193.471710054891</v>
      </c>
      <c r="AA329" s="287"/>
      <c r="AB329" s="287"/>
      <c r="AC329" s="293">
        <f>'Unit Savings Calculations'!N325</f>
        <v>107.52607289087437</v>
      </c>
      <c r="AD329" s="287"/>
      <c r="AE329" s="292">
        <f t="shared" si="138"/>
        <v>2548.3679275137229</v>
      </c>
      <c r="AF329" s="289">
        <f t="shared" si="139"/>
        <v>0</v>
      </c>
      <c r="AG329" s="287"/>
      <c r="AH329" s="287">
        <f t="shared" si="140"/>
        <v>0</v>
      </c>
      <c r="AI329" s="290">
        <f>'Unit Savings Calculations'!O325</f>
        <v>107.52607289087437</v>
      </c>
      <c r="AJ329" s="287" t="s">
        <v>872</v>
      </c>
      <c r="AK329" s="292">
        <f t="shared" si="141"/>
        <v>2548.3679275137229</v>
      </c>
      <c r="AL329" s="289">
        <f t="shared" si="142"/>
        <v>0</v>
      </c>
      <c r="AM329" s="287"/>
      <c r="AN329" s="287"/>
      <c r="AO329" s="290">
        <f>'Unit Savings Calculations'!P325</f>
        <v>107.52607289087437</v>
      </c>
      <c r="AP329" s="287" t="s">
        <v>764</v>
      </c>
      <c r="AQ329" s="292">
        <f t="shared" si="143"/>
        <v>2548.3679275137229</v>
      </c>
      <c r="AR329" s="289">
        <f t="shared" si="144"/>
        <v>0</v>
      </c>
      <c r="AS329" s="287"/>
      <c r="AT329" s="287"/>
      <c r="AU329" s="290">
        <f>'Unit Savings Calculations'!Q325</f>
        <v>107.52607289087437</v>
      </c>
      <c r="AV329" s="287" t="str">
        <f t="shared" ref="AV329:AV392" si="154">AP329</f>
        <v>n/a</v>
      </c>
      <c r="AW329" s="292">
        <f t="shared" si="145"/>
        <v>2548.3679275137229</v>
      </c>
      <c r="AX329" s="289">
        <f t="shared" si="146"/>
        <v>0</v>
      </c>
      <c r="AY329" s="292">
        <f t="shared" ref="AY329:AY392" si="155">IF(C329=1,AE329,V329)</f>
        <v>2548.3679275137229</v>
      </c>
      <c r="AZ329" s="292">
        <f t="shared" ref="AZ329:AZ392" si="156">IF(C329=1,AK329,W329)</f>
        <v>2548.3679275137229</v>
      </c>
      <c r="BA329" s="292">
        <f t="shared" ref="BA329:BA392" si="157">IF(C329=1,AQ329,X329)</f>
        <v>2548.3679275137229</v>
      </c>
      <c r="BB329" s="292">
        <f t="shared" ref="BB329:BB392" si="158">IF(C329=1,AW329,Y329)</f>
        <v>2548.3679275137229</v>
      </c>
      <c r="BC329" s="294">
        <f t="shared" ref="BC329:BC392" si="159">AY329+AZ329+BA329+BB329</f>
        <v>10193.471710054891</v>
      </c>
      <c r="BD329" s="287" t="s">
        <v>764</v>
      </c>
      <c r="BE329" s="295" t="str">
        <f t="shared" ref="BE329:BE392" si="160">M329</f>
        <v>Exhibit 1.5B_R Peoples Gas EEPS_Adjustable_Savings_Goal_Template.xlsx, Unit Savings Calculations Tab</v>
      </c>
      <c r="BF329" s="297"/>
    </row>
    <row r="330" spans="1:58" ht="13.5" customHeight="1">
      <c r="A330" s="287" t="str">
        <f>'Unit Savings Calculations'!C326</f>
        <v>Bus - Public Rebates</v>
      </c>
      <c r="B330" s="287" t="str">
        <f>'Unit Savings Calculations'!D326</f>
        <v>Pipe Insulation - Steam X-Large Valve</v>
      </c>
      <c r="C330" s="288">
        <f t="shared" si="153"/>
        <v>1</v>
      </c>
      <c r="D330" s="287" t="str">
        <f>'Unit Savings Calculations'!T326</f>
        <v>4.4.14</v>
      </c>
      <c r="E330" s="287">
        <f>INDEX('Unit Savings Calculations'!$H$4:$H$421,MATCH('Measure-Level Adjustments Tab'!$A330&amp;"_"&amp;'Measure-Level Adjustments Tab'!$B330,'Unit Savings Calculations'!$A$4:$A$421,0))</f>
        <v>15</v>
      </c>
      <c r="F330" s="287">
        <f>INDEX('Unit Savings Calculations'!$I$4:$I$421,MATCH('Measure-Level Adjustments Tab'!A330&amp;"_"&amp;'Measure-Level Adjustments Tab'!B330,'Unit Savings Calculations'!$A$4:$A$421,0))</f>
        <v>15</v>
      </c>
      <c r="G330" s="287" t="str">
        <f>'Unit Savings Calculations'!E326</f>
        <v>each</v>
      </c>
      <c r="H330" s="289">
        <f>'Unit Savings Calculations'!$F326*'Unit Savings Calculations'!J326</f>
        <v>0</v>
      </c>
      <c r="I330" s="289">
        <f>'Unit Savings Calculations'!$F326*'Unit Savings Calculations'!K326</f>
        <v>0</v>
      </c>
      <c r="J330" s="289">
        <f>'Unit Savings Calculations'!$F326*'Unit Savings Calculations'!L326</f>
        <v>0</v>
      </c>
      <c r="K330" s="289">
        <f>'Unit Savings Calculations'!$F326*'Unit Savings Calculations'!M326</f>
        <v>0</v>
      </c>
      <c r="L330" s="287" t="str">
        <f>'Unit Savings Calculations'!U326</f>
        <v>CI-HVC-PINS-V04-160601</v>
      </c>
      <c r="M330" s="363" t="s">
        <v>830</v>
      </c>
      <c r="N330" s="290">
        <v>175.06254164158375</v>
      </c>
      <c r="O330" s="290">
        <v>175.06254164158375</v>
      </c>
      <c r="P330" s="290">
        <v>175.06254164158375</v>
      </c>
      <c r="Q330" s="290">
        <v>175.06254164158375</v>
      </c>
      <c r="R330" s="291">
        <f>'Unit Savings Calculations'!$G326</f>
        <v>0.79</v>
      </c>
      <c r="S330" s="291">
        <f>'Unit Savings Calculations'!$G326</f>
        <v>0.79</v>
      </c>
      <c r="T330" s="291">
        <f>'Unit Savings Calculations'!$G326</f>
        <v>0.79</v>
      </c>
      <c r="U330" s="291">
        <f>'Unit Savings Calculations'!$G326</f>
        <v>0.79</v>
      </c>
      <c r="V330" s="292">
        <f t="shared" si="148"/>
        <v>0</v>
      </c>
      <c r="W330" s="292">
        <f t="shared" si="149"/>
        <v>0</v>
      </c>
      <c r="X330" s="292">
        <f t="shared" si="150"/>
        <v>0</v>
      </c>
      <c r="Y330" s="292">
        <f t="shared" si="151"/>
        <v>0</v>
      </c>
      <c r="Z330" s="292">
        <f t="shared" si="152"/>
        <v>0</v>
      </c>
      <c r="AA330" s="287"/>
      <c r="AB330" s="287"/>
      <c r="AC330" s="293">
        <f>'Unit Savings Calculations'!N326</f>
        <v>175.06254164158375</v>
      </c>
      <c r="AD330" s="287"/>
      <c r="AE330" s="292">
        <f t="shared" ref="AE330:AE393" si="161">H330*AC330*R330</f>
        <v>0</v>
      </c>
      <c r="AF330" s="289">
        <f t="shared" ref="AF330:AF393" si="162">AE330-V330</f>
        <v>0</v>
      </c>
      <c r="AG330" s="287"/>
      <c r="AH330" s="287">
        <f t="shared" ref="AH330:AH393" si="163">AB330</f>
        <v>0</v>
      </c>
      <c r="AI330" s="290">
        <f>'Unit Savings Calculations'!O326</f>
        <v>175.06254164158375</v>
      </c>
      <c r="AJ330" s="287" t="s">
        <v>872</v>
      </c>
      <c r="AK330" s="292">
        <f t="shared" ref="AK330:AK393" si="164">I330*AI330*S330</f>
        <v>0</v>
      </c>
      <c r="AL330" s="289">
        <f t="shared" ref="AL330:AL393" si="165">AK330-W330</f>
        <v>0</v>
      </c>
      <c r="AM330" s="287"/>
      <c r="AN330" s="287"/>
      <c r="AO330" s="290">
        <f>'Unit Savings Calculations'!P326</f>
        <v>175.06254164158375</v>
      </c>
      <c r="AP330" s="287" t="s">
        <v>764</v>
      </c>
      <c r="AQ330" s="292">
        <f t="shared" ref="AQ330:AQ393" si="166">J330*AO330*T330</f>
        <v>0</v>
      </c>
      <c r="AR330" s="289">
        <f t="shared" ref="AR330:AR393" si="167">AQ330-X330</f>
        <v>0</v>
      </c>
      <c r="AS330" s="287"/>
      <c r="AT330" s="287"/>
      <c r="AU330" s="290">
        <f>'Unit Savings Calculations'!Q326</f>
        <v>175.06254164158375</v>
      </c>
      <c r="AV330" s="287" t="str">
        <f t="shared" si="154"/>
        <v>n/a</v>
      </c>
      <c r="AW330" s="292">
        <f t="shared" ref="AW330:AW393" si="168">K330*AU330*U330</f>
        <v>0</v>
      </c>
      <c r="AX330" s="289">
        <f t="shared" ref="AX330:AX393" si="169">AW330-Y330</f>
        <v>0</v>
      </c>
      <c r="AY330" s="292">
        <f t="shared" si="155"/>
        <v>0</v>
      </c>
      <c r="AZ330" s="292">
        <f t="shared" si="156"/>
        <v>0</v>
      </c>
      <c r="BA330" s="292">
        <f t="shared" si="157"/>
        <v>0</v>
      </c>
      <c r="BB330" s="292">
        <f t="shared" si="158"/>
        <v>0</v>
      </c>
      <c r="BC330" s="294">
        <f t="shared" si="159"/>
        <v>0</v>
      </c>
      <c r="BD330" s="287" t="s">
        <v>764</v>
      </c>
      <c r="BE330" s="295" t="str">
        <f t="shared" si="160"/>
        <v>Exhibit 1.5B_R Peoples Gas EEPS_Adjustable_Savings_Goal_Template.xlsx, Unit Savings Calculations Tab</v>
      </c>
      <c r="BF330" s="297"/>
    </row>
    <row r="331" spans="1:58" ht="13.5" customHeight="1">
      <c r="A331" s="287" t="str">
        <f>'Unit Savings Calculations'!C327</f>
        <v>Bus - Public Rebates</v>
      </c>
      <c r="B331" s="287" t="str">
        <f>'Unit Savings Calculations'!D327</f>
        <v>Pre Rinse Sprayer</v>
      </c>
      <c r="C331" s="288">
        <f t="shared" si="147"/>
        <v>1</v>
      </c>
      <c r="D331" s="287" t="str">
        <f>'Unit Savings Calculations'!T327</f>
        <v>4.2.11</v>
      </c>
      <c r="E331" s="287">
        <f>INDEX('Unit Savings Calculations'!$H$4:$H$421,MATCH('Measure-Level Adjustments Tab'!$A331&amp;"_"&amp;'Measure-Level Adjustments Tab'!$B331,'Unit Savings Calculations'!$A$4:$A$421,0))</f>
        <v>5</v>
      </c>
      <c r="F331" s="287">
        <f>INDEX('Unit Savings Calculations'!$I$4:$I$421,MATCH('Measure-Level Adjustments Tab'!A331&amp;"_"&amp;'Measure-Level Adjustments Tab'!B331,'Unit Savings Calculations'!$A$4:$A$421,0))</f>
        <v>5</v>
      </c>
      <c r="G331" s="287" t="str">
        <f>'Unit Savings Calculations'!E327</f>
        <v>each</v>
      </c>
      <c r="H331" s="289">
        <f>'Unit Savings Calculations'!$F327*'Unit Savings Calculations'!J327</f>
        <v>0</v>
      </c>
      <c r="I331" s="289">
        <f>'Unit Savings Calculations'!$F327*'Unit Savings Calculations'!K327</f>
        <v>0</v>
      </c>
      <c r="J331" s="289">
        <f>'Unit Savings Calculations'!$F327*'Unit Savings Calculations'!L327</f>
        <v>0</v>
      </c>
      <c r="K331" s="289">
        <f>'Unit Savings Calculations'!$F327*'Unit Savings Calculations'!M327</f>
        <v>0</v>
      </c>
      <c r="L331" s="287" t="str">
        <f>'Unit Savings Calculations'!U327</f>
        <v>CI-FSE-SPRY-V04-180101</v>
      </c>
      <c r="M331" s="363" t="s">
        <v>830</v>
      </c>
      <c r="N331" s="290">
        <v>221.04154800000003</v>
      </c>
      <c r="O331" s="290">
        <v>221.04154800000003</v>
      </c>
      <c r="P331" s="290">
        <v>221.04154800000003</v>
      </c>
      <c r="Q331" s="290">
        <v>221.04154800000003</v>
      </c>
      <c r="R331" s="291">
        <f>'Unit Savings Calculations'!$G327</f>
        <v>0.79</v>
      </c>
      <c r="S331" s="291">
        <f>'Unit Savings Calculations'!$G327</f>
        <v>0.79</v>
      </c>
      <c r="T331" s="291">
        <f>'Unit Savings Calculations'!$G327</f>
        <v>0.79</v>
      </c>
      <c r="U331" s="291">
        <f>'Unit Savings Calculations'!$G327</f>
        <v>0.79</v>
      </c>
      <c r="V331" s="292">
        <f t="shared" si="148"/>
        <v>0</v>
      </c>
      <c r="W331" s="292">
        <f t="shared" si="149"/>
        <v>0</v>
      </c>
      <c r="X331" s="292">
        <f t="shared" si="150"/>
        <v>0</v>
      </c>
      <c r="Y331" s="292">
        <f t="shared" si="151"/>
        <v>0</v>
      </c>
      <c r="Z331" s="292">
        <f t="shared" si="152"/>
        <v>0</v>
      </c>
      <c r="AA331" s="287"/>
      <c r="AB331" s="287"/>
      <c r="AC331" s="293">
        <f>'Unit Savings Calculations'!N327</f>
        <v>102.33405</v>
      </c>
      <c r="AD331" s="287"/>
      <c r="AE331" s="292">
        <f t="shared" si="161"/>
        <v>0</v>
      </c>
      <c r="AF331" s="289">
        <f t="shared" si="162"/>
        <v>0</v>
      </c>
      <c r="AG331" s="287"/>
      <c r="AH331" s="287">
        <f t="shared" si="163"/>
        <v>0</v>
      </c>
      <c r="AI331" s="290">
        <f>'Unit Savings Calculations'!O327</f>
        <v>102.33405</v>
      </c>
      <c r="AJ331" s="287" t="s">
        <v>872</v>
      </c>
      <c r="AK331" s="292">
        <f t="shared" si="164"/>
        <v>0</v>
      </c>
      <c r="AL331" s="289">
        <f t="shared" si="165"/>
        <v>0</v>
      </c>
      <c r="AM331" s="287"/>
      <c r="AN331" s="287"/>
      <c r="AO331" s="290">
        <f>'Unit Savings Calculations'!P327</f>
        <v>102.33405</v>
      </c>
      <c r="AP331" s="287" t="s">
        <v>1430</v>
      </c>
      <c r="AQ331" s="292">
        <f t="shared" si="166"/>
        <v>0</v>
      </c>
      <c r="AR331" s="289">
        <f t="shared" si="167"/>
        <v>0</v>
      </c>
      <c r="AS331" s="287"/>
      <c r="AT331" s="287"/>
      <c r="AU331" s="290">
        <f>'Unit Savings Calculations'!Q327</f>
        <v>102.33405</v>
      </c>
      <c r="AV331" s="287" t="str">
        <f t="shared" si="154"/>
        <v>Updated base and EE flow rates</v>
      </c>
      <c r="AW331" s="292">
        <f t="shared" si="168"/>
        <v>0</v>
      </c>
      <c r="AX331" s="289">
        <f t="shared" si="169"/>
        <v>0</v>
      </c>
      <c r="AY331" s="292">
        <f t="shared" si="155"/>
        <v>0</v>
      </c>
      <c r="AZ331" s="292">
        <f t="shared" si="156"/>
        <v>0</v>
      </c>
      <c r="BA331" s="292">
        <f t="shared" si="157"/>
        <v>0</v>
      </c>
      <c r="BB331" s="292">
        <f t="shared" si="158"/>
        <v>0</v>
      </c>
      <c r="BC331" s="294">
        <f t="shared" si="159"/>
        <v>0</v>
      </c>
      <c r="BD331" s="287" t="s">
        <v>764</v>
      </c>
      <c r="BE331" s="295" t="str">
        <f t="shared" si="160"/>
        <v>Exhibit 1.5B_R Peoples Gas EEPS_Adjustable_Savings_Goal_Template.xlsx, Unit Savings Calculations Tab</v>
      </c>
      <c r="BF331" s="297"/>
    </row>
    <row r="332" spans="1:58" ht="13.5" customHeight="1">
      <c r="A332" s="287" t="str">
        <f>'Unit Savings Calculations'!C328</f>
        <v>Bus - Public Rebates</v>
      </c>
      <c r="B332" s="287" t="str">
        <f>'Unit Savings Calculations'!D328</f>
        <v>Steam Boiler ≥82% AFUE, &gt;300MBh TE</v>
      </c>
      <c r="C332" s="288">
        <f t="shared" si="147"/>
        <v>1</v>
      </c>
      <c r="D332" s="287" t="str">
        <f>'Unit Savings Calculations'!T328</f>
        <v>4.4.10</v>
      </c>
      <c r="E332" s="287">
        <f>INDEX('Unit Savings Calculations'!$H$4:$H$421,MATCH('Measure-Level Adjustments Tab'!$A332&amp;"_"&amp;'Measure-Level Adjustments Tab'!$B332,'Unit Savings Calculations'!$A$4:$A$421,0))</f>
        <v>20</v>
      </c>
      <c r="F332" s="287">
        <f>INDEX('Unit Savings Calculations'!$I$4:$I$421,MATCH('Measure-Level Adjustments Tab'!A332&amp;"_"&amp;'Measure-Level Adjustments Tab'!B332,'Unit Savings Calculations'!$A$4:$A$421,0))</f>
        <v>20</v>
      </c>
      <c r="G332" s="287" t="str">
        <f>'Unit Savings Calculations'!E328</f>
        <v>MBH</v>
      </c>
      <c r="H332" s="289">
        <f>'Unit Savings Calculations'!$F328*'Unit Savings Calculations'!J328</f>
        <v>4000</v>
      </c>
      <c r="I332" s="289">
        <f>'Unit Savings Calculations'!$F328*'Unit Savings Calculations'!K328</f>
        <v>4000</v>
      </c>
      <c r="J332" s="289">
        <f>'Unit Savings Calculations'!$F328*'Unit Savings Calculations'!L328</f>
        <v>4000</v>
      </c>
      <c r="K332" s="289">
        <f>'Unit Savings Calculations'!$F328*'Unit Savings Calculations'!M328</f>
        <v>4000</v>
      </c>
      <c r="L332" s="287" t="str">
        <f>'Unit Savings Calculations'!U328</f>
        <v>CI-HVC-BOIL-V05-150601</v>
      </c>
      <c r="M332" s="363" t="s">
        <v>830</v>
      </c>
      <c r="N332" s="290">
        <v>0.58443037974683376</v>
      </c>
      <c r="O332" s="290">
        <v>0.58443037974683376</v>
      </c>
      <c r="P332" s="290">
        <v>0.58443037974683376</v>
      </c>
      <c r="Q332" s="290">
        <v>0.58443037974683376</v>
      </c>
      <c r="R332" s="291">
        <f>'Unit Savings Calculations'!$G328</f>
        <v>0.79</v>
      </c>
      <c r="S332" s="291">
        <f>'Unit Savings Calculations'!$G328</f>
        <v>0.79</v>
      </c>
      <c r="T332" s="291">
        <f>'Unit Savings Calculations'!$G328</f>
        <v>0.79</v>
      </c>
      <c r="U332" s="291">
        <f>'Unit Savings Calculations'!$G328</f>
        <v>0.79</v>
      </c>
      <c r="V332" s="292">
        <f t="shared" si="148"/>
        <v>1846.7999999999947</v>
      </c>
      <c r="W332" s="292">
        <f t="shared" si="149"/>
        <v>1846.7999999999947</v>
      </c>
      <c r="X332" s="292">
        <f t="shared" si="150"/>
        <v>1846.7999999999947</v>
      </c>
      <c r="Y332" s="292">
        <f t="shared" si="151"/>
        <v>1846.7999999999947</v>
      </c>
      <c r="Z332" s="292">
        <f t="shared" si="152"/>
        <v>7387.1999999999789</v>
      </c>
      <c r="AA332" s="287"/>
      <c r="AB332" s="287"/>
      <c r="AC332" s="293">
        <f>'Unit Savings Calculations'!N328</f>
        <v>0.63721518987341585</v>
      </c>
      <c r="AD332" s="287"/>
      <c r="AE332" s="292">
        <f t="shared" si="161"/>
        <v>2013.5999999999942</v>
      </c>
      <c r="AF332" s="289">
        <f t="shared" si="162"/>
        <v>166.7999999999995</v>
      </c>
      <c r="AG332" s="287"/>
      <c r="AH332" s="287">
        <f t="shared" si="163"/>
        <v>0</v>
      </c>
      <c r="AI332" s="290">
        <f>'Unit Savings Calculations'!O328</f>
        <v>0.63721518987341585</v>
      </c>
      <c r="AJ332" s="287" t="s">
        <v>872</v>
      </c>
      <c r="AK332" s="292">
        <f t="shared" si="164"/>
        <v>2013.5999999999942</v>
      </c>
      <c r="AL332" s="289">
        <f t="shared" si="165"/>
        <v>166.7999999999995</v>
      </c>
      <c r="AM332" s="287"/>
      <c r="AN332" s="287"/>
      <c r="AO332" s="290">
        <f>'Unit Savings Calculations'!P328</f>
        <v>0.63721518987341585</v>
      </c>
      <c r="AP332" s="287" t="s">
        <v>1450</v>
      </c>
      <c r="AQ332" s="292">
        <f t="shared" si="166"/>
        <v>2013.5999999999942</v>
      </c>
      <c r="AR332" s="289">
        <f t="shared" si="167"/>
        <v>166.7999999999995</v>
      </c>
      <c r="AS332" s="287"/>
      <c r="AT332" s="287"/>
      <c r="AU332" s="290">
        <f>'Unit Savings Calculations'!Q328</f>
        <v>0.63721518987341585</v>
      </c>
      <c r="AV332" s="287" t="str">
        <f t="shared" si="154"/>
        <v>Updated heating EFLH</v>
      </c>
      <c r="AW332" s="292">
        <f t="shared" si="168"/>
        <v>2013.5999999999942</v>
      </c>
      <c r="AX332" s="289">
        <f t="shared" si="169"/>
        <v>166.7999999999995</v>
      </c>
      <c r="AY332" s="292">
        <f t="shared" si="155"/>
        <v>2013.5999999999942</v>
      </c>
      <c r="AZ332" s="292">
        <f t="shared" si="156"/>
        <v>2013.5999999999942</v>
      </c>
      <c r="BA332" s="292">
        <f t="shared" si="157"/>
        <v>2013.5999999999942</v>
      </c>
      <c r="BB332" s="292">
        <f t="shared" si="158"/>
        <v>2013.5999999999942</v>
      </c>
      <c r="BC332" s="294">
        <f t="shared" si="159"/>
        <v>8054.3999999999769</v>
      </c>
      <c r="BD332" s="287" t="s">
        <v>764</v>
      </c>
      <c r="BE332" s="295" t="str">
        <f t="shared" si="160"/>
        <v>Exhibit 1.5B_R Peoples Gas EEPS_Adjustable_Savings_Goal_Template.xlsx, Unit Savings Calculations Tab</v>
      </c>
      <c r="BF332" s="297"/>
    </row>
    <row r="333" spans="1:58" ht="13.5" customHeight="1">
      <c r="A333" s="287" t="str">
        <f>'Unit Savings Calculations'!C329</f>
        <v>Bus - Public Rebates</v>
      </c>
      <c r="B333" s="287" t="str">
        <f>'Unit Savings Calculations'!D329</f>
        <v>Steam Traps - Dry Cleaner/Industrial</v>
      </c>
      <c r="C333" s="288">
        <f t="shared" si="147"/>
        <v>1</v>
      </c>
      <c r="D333" s="287" t="str">
        <f>'Unit Savings Calculations'!T329</f>
        <v>4.4.16</v>
      </c>
      <c r="E333" s="287">
        <f>INDEX('Unit Savings Calculations'!$H$4:$H$421,MATCH('Measure-Level Adjustments Tab'!$A333&amp;"_"&amp;'Measure-Level Adjustments Tab'!$B333,'Unit Savings Calculations'!$A$4:$A$421,0))</f>
        <v>6</v>
      </c>
      <c r="F333" s="287">
        <f>INDEX('Unit Savings Calculations'!$I$4:$I$421,MATCH('Measure-Level Adjustments Tab'!A333&amp;"_"&amp;'Measure-Level Adjustments Tab'!B333,'Unit Savings Calculations'!$A$4:$A$421,0))</f>
        <v>6</v>
      </c>
      <c r="G333" s="287" t="str">
        <f>'Unit Savings Calculations'!E329</f>
        <v>each</v>
      </c>
      <c r="H333" s="289">
        <f>'Unit Savings Calculations'!$F329*'Unit Savings Calculations'!J329</f>
        <v>263</v>
      </c>
      <c r="I333" s="289">
        <f>'Unit Savings Calculations'!$F329*'Unit Savings Calculations'!K329</f>
        <v>263</v>
      </c>
      <c r="J333" s="289">
        <f>'Unit Savings Calculations'!$F329*'Unit Savings Calculations'!L329</f>
        <v>263</v>
      </c>
      <c r="K333" s="289">
        <f>'Unit Savings Calculations'!$F329*'Unit Savings Calculations'!M329</f>
        <v>263</v>
      </c>
      <c r="L333" s="287" t="str">
        <f>'Unit Savings Calculations'!U329</f>
        <v>CI-HVC-STRE-V05-180101</v>
      </c>
      <c r="M333" s="363" t="s">
        <v>830</v>
      </c>
      <c r="N333" s="290">
        <v>137.91939591078068</v>
      </c>
      <c r="O333" s="290">
        <v>137.91939591078068</v>
      </c>
      <c r="P333" s="290">
        <v>137.91939591078068</v>
      </c>
      <c r="Q333" s="290">
        <v>137.91939591078068</v>
      </c>
      <c r="R333" s="291">
        <f>'Unit Savings Calculations'!$G329</f>
        <v>0.79</v>
      </c>
      <c r="S333" s="291">
        <f>'Unit Savings Calculations'!$G329</f>
        <v>0.79</v>
      </c>
      <c r="T333" s="291">
        <f>'Unit Savings Calculations'!$G329</f>
        <v>0.79</v>
      </c>
      <c r="U333" s="291">
        <f>'Unit Savings Calculations'!$G329</f>
        <v>0.79</v>
      </c>
      <c r="V333" s="292">
        <f t="shared" si="148"/>
        <v>28655.512888382902</v>
      </c>
      <c r="W333" s="292">
        <f t="shared" si="149"/>
        <v>28655.512888382902</v>
      </c>
      <c r="X333" s="292">
        <f t="shared" si="150"/>
        <v>28655.512888382902</v>
      </c>
      <c r="Y333" s="292">
        <f t="shared" si="151"/>
        <v>28655.512888382902</v>
      </c>
      <c r="Z333" s="292">
        <f t="shared" si="152"/>
        <v>114622.05155353161</v>
      </c>
      <c r="AA333" s="287"/>
      <c r="AB333" s="287"/>
      <c r="AC333" s="293">
        <f>'Unit Savings Calculations'!N329</f>
        <v>137.91939591078068</v>
      </c>
      <c r="AD333" s="287"/>
      <c r="AE333" s="292">
        <f t="shared" si="161"/>
        <v>28655.512888382902</v>
      </c>
      <c r="AF333" s="289">
        <f t="shared" si="162"/>
        <v>0</v>
      </c>
      <c r="AG333" s="287"/>
      <c r="AH333" s="287">
        <f t="shared" si="163"/>
        <v>0</v>
      </c>
      <c r="AI333" s="290">
        <f>'Unit Savings Calculations'!O329</f>
        <v>137.91939591078068</v>
      </c>
      <c r="AJ333" s="287" t="s">
        <v>872</v>
      </c>
      <c r="AK333" s="292">
        <f t="shared" si="164"/>
        <v>28655.512888382902</v>
      </c>
      <c r="AL333" s="289">
        <f t="shared" si="165"/>
        <v>0</v>
      </c>
      <c r="AM333" s="287"/>
      <c r="AN333" s="287"/>
      <c r="AO333" s="290">
        <f>'Unit Savings Calculations'!P329</f>
        <v>137.91939591078068</v>
      </c>
      <c r="AP333" s="287" t="s">
        <v>764</v>
      </c>
      <c r="AQ333" s="292">
        <f t="shared" si="166"/>
        <v>28655.512888382902</v>
      </c>
      <c r="AR333" s="289">
        <f t="shared" si="167"/>
        <v>0</v>
      </c>
      <c r="AS333" s="287"/>
      <c r="AT333" s="287"/>
      <c r="AU333" s="290">
        <f>'Unit Savings Calculations'!Q329</f>
        <v>137.91939591078068</v>
      </c>
      <c r="AV333" s="287" t="str">
        <f t="shared" si="154"/>
        <v>n/a</v>
      </c>
      <c r="AW333" s="292">
        <f t="shared" si="168"/>
        <v>28655.512888382902</v>
      </c>
      <c r="AX333" s="289">
        <f t="shared" si="169"/>
        <v>0</v>
      </c>
      <c r="AY333" s="292">
        <f t="shared" si="155"/>
        <v>28655.512888382902</v>
      </c>
      <c r="AZ333" s="292">
        <f t="shared" si="156"/>
        <v>28655.512888382902</v>
      </c>
      <c r="BA333" s="292">
        <f t="shared" si="157"/>
        <v>28655.512888382902</v>
      </c>
      <c r="BB333" s="292">
        <f t="shared" si="158"/>
        <v>28655.512888382902</v>
      </c>
      <c r="BC333" s="294">
        <f t="shared" si="159"/>
        <v>114622.05155353161</v>
      </c>
      <c r="BD333" s="287" t="s">
        <v>764</v>
      </c>
      <c r="BE333" s="295" t="str">
        <f t="shared" si="160"/>
        <v>Exhibit 1.5B_R Peoples Gas EEPS_Adjustable_Savings_Goal_Template.xlsx, Unit Savings Calculations Tab</v>
      </c>
      <c r="BF333" s="297"/>
    </row>
    <row r="334" spans="1:58" ht="13.5" customHeight="1">
      <c r="A334" s="287" t="str">
        <f>'Unit Savings Calculations'!C330</f>
        <v>Bus - Public Rebates</v>
      </c>
      <c r="B334" s="287" t="str">
        <f>'Unit Savings Calculations'!D330</f>
        <v>Steam Traps - HVAC Repair/Rep - Audit</v>
      </c>
      <c r="C334" s="288">
        <f t="shared" si="147"/>
        <v>1</v>
      </c>
      <c r="D334" s="287" t="str">
        <f>'Unit Savings Calculations'!T330</f>
        <v>4.4.16</v>
      </c>
      <c r="E334" s="287">
        <f>INDEX('Unit Savings Calculations'!$H$4:$H$421,MATCH('Measure-Level Adjustments Tab'!$A334&amp;"_"&amp;'Measure-Level Adjustments Tab'!$B334,'Unit Savings Calculations'!$A$4:$A$421,0))</f>
        <v>6</v>
      </c>
      <c r="F334" s="287">
        <f>INDEX('Unit Savings Calculations'!$I$4:$I$421,MATCH('Measure-Level Adjustments Tab'!A334&amp;"_"&amp;'Measure-Level Adjustments Tab'!B334,'Unit Savings Calculations'!$A$4:$A$421,0))</f>
        <v>6</v>
      </c>
      <c r="G334" s="287" t="str">
        <f>'Unit Savings Calculations'!E330</f>
        <v>each</v>
      </c>
      <c r="H334" s="289">
        <f>'Unit Savings Calculations'!$F330*'Unit Savings Calculations'!J330</f>
        <v>225</v>
      </c>
      <c r="I334" s="289">
        <f>'Unit Savings Calculations'!$F330*'Unit Savings Calculations'!K330</f>
        <v>225</v>
      </c>
      <c r="J334" s="289">
        <f>'Unit Savings Calculations'!$F330*'Unit Savings Calculations'!L330</f>
        <v>225</v>
      </c>
      <c r="K334" s="289">
        <f>'Unit Savings Calculations'!$F330*'Unit Savings Calculations'!M330</f>
        <v>225</v>
      </c>
      <c r="L334" s="287" t="str">
        <f>'Unit Savings Calculations'!U330</f>
        <v>CI-HVC-STRE-V05-180101</v>
      </c>
      <c r="M334" s="363" t="s">
        <v>830</v>
      </c>
      <c r="N334" s="290">
        <v>88.453924126394057</v>
      </c>
      <c r="O334" s="290">
        <v>88.453924126394057</v>
      </c>
      <c r="P334" s="290">
        <v>88.453924126394057</v>
      </c>
      <c r="Q334" s="290">
        <v>88.453924126394057</v>
      </c>
      <c r="R334" s="291">
        <f>'Unit Savings Calculations'!$G330</f>
        <v>0.79</v>
      </c>
      <c r="S334" s="291">
        <f>'Unit Savings Calculations'!$G330</f>
        <v>0.79</v>
      </c>
      <c r="T334" s="291">
        <f>'Unit Savings Calculations'!$G330</f>
        <v>0.79</v>
      </c>
      <c r="U334" s="291">
        <f>'Unit Savings Calculations'!$G330</f>
        <v>0.79</v>
      </c>
      <c r="V334" s="292">
        <f t="shared" si="148"/>
        <v>15722.685013466544</v>
      </c>
      <c r="W334" s="292">
        <f t="shared" si="149"/>
        <v>15722.685013466544</v>
      </c>
      <c r="X334" s="292">
        <f t="shared" si="150"/>
        <v>15722.685013466544</v>
      </c>
      <c r="Y334" s="292">
        <f t="shared" si="151"/>
        <v>15722.685013466544</v>
      </c>
      <c r="Z334" s="292">
        <f t="shared" si="152"/>
        <v>62890.740053866175</v>
      </c>
      <c r="AA334" s="287"/>
      <c r="AB334" s="287"/>
      <c r="AC334" s="293">
        <f>'Unit Savings Calculations'!N330</f>
        <v>88.453924126394057</v>
      </c>
      <c r="AD334" s="287"/>
      <c r="AE334" s="292">
        <f t="shared" si="161"/>
        <v>15722.685013466544</v>
      </c>
      <c r="AF334" s="289">
        <f t="shared" si="162"/>
        <v>0</v>
      </c>
      <c r="AG334" s="287"/>
      <c r="AH334" s="287">
        <f t="shared" si="163"/>
        <v>0</v>
      </c>
      <c r="AI334" s="290">
        <f>'Unit Savings Calculations'!O330</f>
        <v>88.453924126394057</v>
      </c>
      <c r="AJ334" s="287" t="s">
        <v>872</v>
      </c>
      <c r="AK334" s="292">
        <f t="shared" si="164"/>
        <v>15722.685013466544</v>
      </c>
      <c r="AL334" s="289">
        <f t="shared" si="165"/>
        <v>0</v>
      </c>
      <c r="AM334" s="287"/>
      <c r="AN334" s="287"/>
      <c r="AO334" s="290">
        <f>'Unit Savings Calculations'!P330</f>
        <v>88.453924126394057</v>
      </c>
      <c r="AP334" s="287" t="s">
        <v>764</v>
      </c>
      <c r="AQ334" s="292">
        <f t="shared" si="166"/>
        <v>15722.685013466544</v>
      </c>
      <c r="AR334" s="289">
        <f t="shared" si="167"/>
        <v>0</v>
      </c>
      <c r="AS334" s="287"/>
      <c r="AT334" s="287"/>
      <c r="AU334" s="290">
        <f>'Unit Savings Calculations'!Q330</f>
        <v>88.453924126394057</v>
      </c>
      <c r="AV334" s="287" t="str">
        <f t="shared" si="154"/>
        <v>n/a</v>
      </c>
      <c r="AW334" s="292">
        <f t="shared" si="168"/>
        <v>15722.685013466544</v>
      </c>
      <c r="AX334" s="289">
        <f t="shared" si="169"/>
        <v>0</v>
      </c>
      <c r="AY334" s="292">
        <f t="shared" si="155"/>
        <v>15722.685013466544</v>
      </c>
      <c r="AZ334" s="292">
        <f t="shared" si="156"/>
        <v>15722.685013466544</v>
      </c>
      <c r="BA334" s="292">
        <f t="shared" si="157"/>
        <v>15722.685013466544</v>
      </c>
      <c r="BB334" s="292">
        <f t="shared" si="158"/>
        <v>15722.685013466544</v>
      </c>
      <c r="BC334" s="294">
        <f t="shared" si="159"/>
        <v>62890.740053866175</v>
      </c>
      <c r="BD334" s="287" t="s">
        <v>764</v>
      </c>
      <c r="BE334" s="295" t="str">
        <f t="shared" si="160"/>
        <v>Exhibit 1.5B_R Peoples Gas EEPS_Adjustable_Savings_Goal_Template.xlsx, Unit Savings Calculations Tab</v>
      </c>
      <c r="BF334" s="297"/>
    </row>
    <row r="335" spans="1:58" ht="13.5" customHeight="1">
      <c r="A335" s="287" t="str">
        <f>'Unit Savings Calculations'!C331</f>
        <v>Bus - Public Rebates</v>
      </c>
      <c r="B335" s="287" t="str">
        <f>'Unit Savings Calculations'!D331</f>
        <v>Steam Traps - HVAC Repair/Rep - No Audit</v>
      </c>
      <c r="C335" s="288">
        <f t="shared" si="147"/>
        <v>1</v>
      </c>
      <c r="D335" s="287" t="str">
        <f>'Unit Savings Calculations'!T331</f>
        <v>4.4.16</v>
      </c>
      <c r="E335" s="287">
        <f>INDEX('Unit Savings Calculations'!$H$4:$H$421,MATCH('Measure-Level Adjustments Tab'!$A335&amp;"_"&amp;'Measure-Level Adjustments Tab'!$B335,'Unit Savings Calculations'!$A$4:$A$421,0))</f>
        <v>6</v>
      </c>
      <c r="F335" s="287">
        <f>INDEX('Unit Savings Calculations'!$I$4:$I$421,MATCH('Measure-Level Adjustments Tab'!A335&amp;"_"&amp;'Measure-Level Adjustments Tab'!B335,'Unit Savings Calculations'!$A$4:$A$421,0))</f>
        <v>6</v>
      </c>
      <c r="G335" s="287" t="str">
        <f>'Unit Savings Calculations'!E331</f>
        <v>each</v>
      </c>
      <c r="H335" s="289">
        <f>'Unit Savings Calculations'!$F331*'Unit Savings Calculations'!J331</f>
        <v>150</v>
      </c>
      <c r="I335" s="289">
        <f>'Unit Savings Calculations'!$F331*'Unit Savings Calculations'!K331</f>
        <v>150</v>
      </c>
      <c r="J335" s="289">
        <f>'Unit Savings Calculations'!$F331*'Unit Savings Calculations'!L331</f>
        <v>150</v>
      </c>
      <c r="K335" s="289">
        <f>'Unit Savings Calculations'!$F331*'Unit Savings Calculations'!M331</f>
        <v>150</v>
      </c>
      <c r="L335" s="287" t="str">
        <f>'Unit Savings Calculations'!U331</f>
        <v>CI-HVC-STRE-V05-180101</v>
      </c>
      <c r="M335" s="363" t="s">
        <v>830</v>
      </c>
      <c r="N335" s="290">
        <v>88.453924126394057</v>
      </c>
      <c r="O335" s="290">
        <v>88.453924126394057</v>
      </c>
      <c r="P335" s="290">
        <v>88.453924126394057</v>
      </c>
      <c r="Q335" s="290">
        <v>88.453924126394057</v>
      </c>
      <c r="R335" s="291">
        <f>'Unit Savings Calculations'!$G331</f>
        <v>0.79</v>
      </c>
      <c r="S335" s="291">
        <f>'Unit Savings Calculations'!$G331</f>
        <v>0.79</v>
      </c>
      <c r="T335" s="291">
        <f>'Unit Savings Calculations'!$G331</f>
        <v>0.79</v>
      </c>
      <c r="U335" s="291">
        <f>'Unit Savings Calculations'!$G331</f>
        <v>0.79</v>
      </c>
      <c r="V335" s="292">
        <f t="shared" si="148"/>
        <v>10481.790008977698</v>
      </c>
      <c r="W335" s="292">
        <f t="shared" si="149"/>
        <v>10481.790008977698</v>
      </c>
      <c r="X335" s="292">
        <f t="shared" si="150"/>
        <v>10481.790008977698</v>
      </c>
      <c r="Y335" s="292">
        <f t="shared" si="151"/>
        <v>10481.790008977698</v>
      </c>
      <c r="Z335" s="292">
        <f t="shared" si="152"/>
        <v>41927.160035910791</v>
      </c>
      <c r="AA335" s="287"/>
      <c r="AB335" s="287"/>
      <c r="AC335" s="293">
        <f>'Unit Savings Calculations'!N331</f>
        <v>88.453924126394057</v>
      </c>
      <c r="AD335" s="287"/>
      <c r="AE335" s="292">
        <f t="shared" si="161"/>
        <v>10481.790008977698</v>
      </c>
      <c r="AF335" s="289">
        <f t="shared" si="162"/>
        <v>0</v>
      </c>
      <c r="AG335" s="287"/>
      <c r="AH335" s="287">
        <f t="shared" si="163"/>
        <v>0</v>
      </c>
      <c r="AI335" s="290">
        <f>'Unit Savings Calculations'!O331</f>
        <v>88.453924126394057</v>
      </c>
      <c r="AJ335" s="287" t="s">
        <v>872</v>
      </c>
      <c r="AK335" s="292">
        <f t="shared" si="164"/>
        <v>10481.790008977698</v>
      </c>
      <c r="AL335" s="289">
        <f t="shared" si="165"/>
        <v>0</v>
      </c>
      <c r="AM335" s="287"/>
      <c r="AN335" s="287"/>
      <c r="AO335" s="290">
        <f>'Unit Savings Calculations'!P331</f>
        <v>88.453924126394057</v>
      </c>
      <c r="AP335" s="287" t="s">
        <v>764</v>
      </c>
      <c r="AQ335" s="292">
        <f t="shared" si="166"/>
        <v>10481.790008977698</v>
      </c>
      <c r="AR335" s="289">
        <f t="shared" si="167"/>
        <v>0</v>
      </c>
      <c r="AS335" s="287"/>
      <c r="AT335" s="287"/>
      <c r="AU335" s="290">
        <f>'Unit Savings Calculations'!Q331</f>
        <v>88.453924126394057</v>
      </c>
      <c r="AV335" s="287" t="str">
        <f t="shared" si="154"/>
        <v>n/a</v>
      </c>
      <c r="AW335" s="292">
        <f t="shared" si="168"/>
        <v>10481.790008977698</v>
      </c>
      <c r="AX335" s="289">
        <f t="shared" si="169"/>
        <v>0</v>
      </c>
      <c r="AY335" s="292">
        <f t="shared" si="155"/>
        <v>10481.790008977698</v>
      </c>
      <c r="AZ335" s="292">
        <f t="shared" si="156"/>
        <v>10481.790008977698</v>
      </c>
      <c r="BA335" s="292">
        <f t="shared" si="157"/>
        <v>10481.790008977698</v>
      </c>
      <c r="BB335" s="292">
        <f t="shared" si="158"/>
        <v>10481.790008977698</v>
      </c>
      <c r="BC335" s="294">
        <f t="shared" si="159"/>
        <v>41927.160035910791</v>
      </c>
      <c r="BD335" s="287" t="s">
        <v>764</v>
      </c>
      <c r="BE335" s="295" t="str">
        <f t="shared" si="160"/>
        <v>Exhibit 1.5B_R Peoples Gas EEPS_Adjustable_Savings_Goal_Template.xlsx, Unit Savings Calculations Tab</v>
      </c>
      <c r="BF335" s="297"/>
    </row>
    <row r="336" spans="1:58" ht="13.5" customHeight="1">
      <c r="A336" s="287" t="str">
        <f>'Unit Savings Calculations'!C332</f>
        <v>Bus - Public Rebates</v>
      </c>
      <c r="B336" s="287" t="str">
        <f>'Unit Savings Calculations'!D332</f>
        <v>Steam Traps - Test</v>
      </c>
      <c r="C336" s="288">
        <f t="shared" si="147"/>
        <v>0</v>
      </c>
      <c r="D336" s="287" t="str">
        <f>'Unit Savings Calculations'!T332</f>
        <v>Custom</v>
      </c>
      <c r="E336" s="287">
        <f>INDEX('Unit Savings Calculations'!$H$4:$H$421,MATCH('Measure-Level Adjustments Tab'!$A336&amp;"_"&amp;'Measure-Level Adjustments Tab'!$B336,'Unit Savings Calculations'!$A$4:$A$421,0))</f>
        <v>3</v>
      </c>
      <c r="F336" s="287">
        <f>INDEX('Unit Savings Calculations'!$I$4:$I$421,MATCH('Measure-Level Adjustments Tab'!A336&amp;"_"&amp;'Measure-Level Adjustments Tab'!B336,'Unit Savings Calculations'!$A$4:$A$421,0))</f>
        <v>3</v>
      </c>
      <c r="G336" s="287" t="str">
        <f>'Unit Savings Calculations'!E332</f>
        <v>each</v>
      </c>
      <c r="H336" s="289">
        <f>'Unit Savings Calculations'!$F332*'Unit Savings Calculations'!J332</f>
        <v>150</v>
      </c>
      <c r="I336" s="289">
        <f>'Unit Savings Calculations'!$F332*'Unit Savings Calculations'!K332</f>
        <v>150</v>
      </c>
      <c r="J336" s="289">
        <f>'Unit Savings Calculations'!$F332*'Unit Savings Calculations'!L332</f>
        <v>150</v>
      </c>
      <c r="K336" s="289">
        <f>'Unit Savings Calculations'!$F332*'Unit Savings Calculations'!M332</f>
        <v>150</v>
      </c>
      <c r="L336" s="287" t="str">
        <f>'Unit Savings Calculations'!U332</f>
        <v>Custom</v>
      </c>
      <c r="M336" s="287" t="str">
        <f>'Unit Savings Calculations'!S332</f>
        <v>Custom</v>
      </c>
      <c r="N336" s="290">
        <v>0</v>
      </c>
      <c r="O336" s="290">
        <v>0</v>
      </c>
      <c r="P336" s="290">
        <v>0</v>
      </c>
      <c r="Q336" s="290">
        <v>0</v>
      </c>
      <c r="R336" s="291">
        <f>'Unit Savings Calculations'!$G332</f>
        <v>0.79</v>
      </c>
      <c r="S336" s="291">
        <f>'Unit Savings Calculations'!$G332</f>
        <v>0.79</v>
      </c>
      <c r="T336" s="291">
        <f>'Unit Savings Calculations'!$G332</f>
        <v>0.79</v>
      </c>
      <c r="U336" s="291">
        <f>'Unit Savings Calculations'!$G332</f>
        <v>0.79</v>
      </c>
      <c r="V336" s="292">
        <f t="shared" si="148"/>
        <v>0</v>
      </c>
      <c r="W336" s="292">
        <f t="shared" si="149"/>
        <v>0</v>
      </c>
      <c r="X336" s="292">
        <f t="shared" si="150"/>
        <v>0</v>
      </c>
      <c r="Y336" s="292">
        <f t="shared" si="151"/>
        <v>0</v>
      </c>
      <c r="Z336" s="292">
        <f t="shared" si="152"/>
        <v>0</v>
      </c>
      <c r="AA336" s="364"/>
      <c r="AB336" s="364"/>
      <c r="AC336" s="365">
        <f>'Unit Savings Calculations'!N332</f>
        <v>0</v>
      </c>
      <c r="AD336" s="364"/>
      <c r="AE336" s="366">
        <f t="shared" si="161"/>
        <v>0</v>
      </c>
      <c r="AF336" s="367">
        <f t="shared" si="162"/>
        <v>0</v>
      </c>
      <c r="AG336" s="364"/>
      <c r="AH336" s="364">
        <f t="shared" si="163"/>
        <v>0</v>
      </c>
      <c r="AI336" s="368">
        <f>'Unit Savings Calculations'!O332</f>
        <v>0</v>
      </c>
      <c r="AJ336" s="364" t="s">
        <v>872</v>
      </c>
      <c r="AK336" s="366">
        <f t="shared" si="164"/>
        <v>0</v>
      </c>
      <c r="AL336" s="367">
        <f t="shared" si="165"/>
        <v>0</v>
      </c>
      <c r="AM336" s="364"/>
      <c r="AN336" s="364"/>
      <c r="AO336" s="368">
        <f>'Unit Savings Calculations'!P332</f>
        <v>0</v>
      </c>
      <c r="AP336" s="364" t="s">
        <v>764</v>
      </c>
      <c r="AQ336" s="366">
        <f t="shared" si="166"/>
        <v>0</v>
      </c>
      <c r="AR336" s="367">
        <f t="shared" si="167"/>
        <v>0</v>
      </c>
      <c r="AS336" s="364"/>
      <c r="AT336" s="364"/>
      <c r="AU336" s="368">
        <f>'Unit Savings Calculations'!Q332</f>
        <v>0</v>
      </c>
      <c r="AV336" s="364" t="str">
        <f t="shared" si="154"/>
        <v>n/a</v>
      </c>
      <c r="AW336" s="366">
        <f t="shared" si="168"/>
        <v>0</v>
      </c>
      <c r="AX336" s="367">
        <f t="shared" si="169"/>
        <v>0</v>
      </c>
      <c r="AY336" s="292">
        <f t="shared" si="155"/>
        <v>0</v>
      </c>
      <c r="AZ336" s="292">
        <f t="shared" si="156"/>
        <v>0</v>
      </c>
      <c r="BA336" s="292">
        <f t="shared" si="157"/>
        <v>0</v>
      </c>
      <c r="BB336" s="292">
        <f t="shared" si="158"/>
        <v>0</v>
      </c>
      <c r="BC336" s="294">
        <f t="shared" si="159"/>
        <v>0</v>
      </c>
      <c r="BD336" s="287" t="s">
        <v>764</v>
      </c>
      <c r="BE336" s="295" t="str">
        <f t="shared" si="160"/>
        <v>Custom</v>
      </c>
      <c r="BF336" s="297"/>
    </row>
    <row r="337" spans="1:58" ht="13.5" customHeight="1">
      <c r="A337" s="287" t="str">
        <f>'Unit Savings Calculations'!C333</f>
        <v>Bus - Public Rebates</v>
      </c>
      <c r="B337" s="287" t="str">
        <f>'Unit Savings Calculations'!D333</f>
        <v>Thermostat - Programmable</v>
      </c>
      <c r="C337" s="288">
        <f t="shared" si="147"/>
        <v>1</v>
      </c>
      <c r="D337" s="287" t="str">
        <f>'Unit Savings Calculations'!T333</f>
        <v>4.4.18</v>
      </c>
      <c r="E337" s="287">
        <f>INDEX('Unit Savings Calculations'!$H$4:$H$421,MATCH('Measure-Level Adjustments Tab'!$A337&amp;"_"&amp;'Measure-Level Adjustments Tab'!$B337,'Unit Savings Calculations'!$A$4:$A$421,0))</f>
        <v>4</v>
      </c>
      <c r="F337" s="287">
        <f>INDEX('Unit Savings Calculations'!$I$4:$I$421,MATCH('Measure-Level Adjustments Tab'!A337&amp;"_"&amp;'Measure-Level Adjustments Tab'!B337,'Unit Savings Calculations'!$A$4:$A$421,0))</f>
        <v>4</v>
      </c>
      <c r="G337" s="287" t="str">
        <f>'Unit Savings Calculations'!E333</f>
        <v>each</v>
      </c>
      <c r="H337" s="289">
        <f>'Unit Savings Calculations'!$F333*'Unit Savings Calculations'!J333</f>
        <v>23</v>
      </c>
      <c r="I337" s="289">
        <f>'Unit Savings Calculations'!$F333*'Unit Savings Calculations'!K333</f>
        <v>23</v>
      </c>
      <c r="J337" s="289">
        <f>'Unit Savings Calculations'!$F333*'Unit Savings Calculations'!L333</f>
        <v>23</v>
      </c>
      <c r="K337" s="289">
        <f>'Unit Savings Calculations'!$F333*'Unit Savings Calculations'!M333</f>
        <v>23</v>
      </c>
      <c r="L337" s="287" t="str">
        <f>'Unit Savings Calculations'!U333</f>
        <v>CI-HVC-PROG-V02-150601</v>
      </c>
      <c r="M337" s="363" t="s">
        <v>829</v>
      </c>
      <c r="N337" s="290">
        <v>124.68584320000001</v>
      </c>
      <c r="O337" s="290">
        <v>124.68584320000001</v>
      </c>
      <c r="P337" s="290">
        <v>124.68584320000001</v>
      </c>
      <c r="Q337" s="290">
        <v>124.68584320000001</v>
      </c>
      <c r="R337" s="291">
        <f>'Unit Savings Calculations'!$G333</f>
        <v>0.79</v>
      </c>
      <c r="S337" s="291">
        <f>'Unit Savings Calculations'!$G333</f>
        <v>0.79</v>
      </c>
      <c r="T337" s="291">
        <f>'Unit Savings Calculations'!$G333</f>
        <v>0.79</v>
      </c>
      <c r="U337" s="291">
        <f>'Unit Savings Calculations'!$G333</f>
        <v>0.79</v>
      </c>
      <c r="V337" s="292">
        <f t="shared" si="148"/>
        <v>2265.5417709440003</v>
      </c>
      <c r="W337" s="292">
        <f t="shared" si="149"/>
        <v>2265.5417709440003</v>
      </c>
      <c r="X337" s="292">
        <f t="shared" si="150"/>
        <v>2265.5417709440003</v>
      </c>
      <c r="Y337" s="292">
        <f t="shared" si="151"/>
        <v>2265.5417709440003</v>
      </c>
      <c r="Z337" s="292">
        <f t="shared" si="152"/>
        <v>9062.1670837760012</v>
      </c>
      <c r="AA337" s="287"/>
      <c r="AB337" s="287"/>
      <c r="AC337" s="293">
        <f>'Unit Savings Calculations'!N333</f>
        <v>124.68584320000001</v>
      </c>
      <c r="AD337" s="287"/>
      <c r="AE337" s="292">
        <f t="shared" si="161"/>
        <v>2265.5417709440003</v>
      </c>
      <c r="AF337" s="289">
        <f t="shared" si="162"/>
        <v>0</v>
      </c>
      <c r="AG337" s="287"/>
      <c r="AH337" s="287">
        <f t="shared" si="163"/>
        <v>0</v>
      </c>
      <c r="AI337" s="290">
        <f>'Unit Savings Calculations'!O333</f>
        <v>124.68584320000001</v>
      </c>
      <c r="AJ337" s="287" t="s">
        <v>872</v>
      </c>
      <c r="AK337" s="292">
        <f t="shared" si="164"/>
        <v>2265.5417709440003</v>
      </c>
      <c r="AL337" s="289">
        <f t="shared" si="165"/>
        <v>0</v>
      </c>
      <c r="AM337" s="287"/>
      <c r="AN337" s="287"/>
      <c r="AO337" s="290">
        <f>'Unit Savings Calculations'!P333</f>
        <v>124.68584320000001</v>
      </c>
      <c r="AP337" s="287" t="s">
        <v>764</v>
      </c>
      <c r="AQ337" s="292">
        <f t="shared" si="166"/>
        <v>2265.5417709440003</v>
      </c>
      <c r="AR337" s="289">
        <f t="shared" si="167"/>
        <v>0</v>
      </c>
      <c r="AS337" s="287"/>
      <c r="AT337" s="287"/>
      <c r="AU337" s="290">
        <f>'Unit Savings Calculations'!Q333</f>
        <v>124.68584320000001</v>
      </c>
      <c r="AV337" s="287" t="str">
        <f t="shared" si="154"/>
        <v>n/a</v>
      </c>
      <c r="AW337" s="292">
        <f t="shared" si="168"/>
        <v>2265.5417709440003</v>
      </c>
      <c r="AX337" s="289">
        <f t="shared" si="169"/>
        <v>0</v>
      </c>
      <c r="AY337" s="292">
        <f t="shared" si="155"/>
        <v>2265.5417709440003</v>
      </c>
      <c r="AZ337" s="292">
        <f t="shared" si="156"/>
        <v>2265.5417709440003</v>
      </c>
      <c r="BA337" s="292">
        <f t="shared" si="157"/>
        <v>2265.5417709440003</v>
      </c>
      <c r="BB337" s="292">
        <f t="shared" si="158"/>
        <v>2265.5417709440003</v>
      </c>
      <c r="BC337" s="294">
        <f t="shared" si="159"/>
        <v>9062.1670837760012</v>
      </c>
      <c r="BD337" s="287" t="s">
        <v>764</v>
      </c>
      <c r="BE337" s="295" t="str">
        <f t="shared" si="160"/>
        <v>Exhibit 1.5B_R Peoples Gas EEPS_Adjustable_Savings_Goal_Template.xlsx, Thermostat Detail Tab</v>
      </c>
      <c r="BF337" s="297"/>
    </row>
    <row r="338" spans="1:58" ht="13.5" customHeight="1">
      <c r="A338" s="287" t="str">
        <f>'Unit Savings Calculations'!C334</f>
        <v>Bus - Public Rebates</v>
      </c>
      <c r="B338" s="287" t="str">
        <f>'Unit Savings Calculations'!D334</f>
        <v>Water Heater - Storage 88% TE ≥75MBh</v>
      </c>
      <c r="C338" s="288">
        <f t="shared" si="147"/>
        <v>1</v>
      </c>
      <c r="D338" s="287" t="str">
        <f>'Unit Savings Calculations'!T334</f>
        <v>4.3.1</v>
      </c>
      <c r="E338" s="287">
        <f>INDEX('Unit Savings Calculations'!$H$4:$H$421,MATCH('Measure-Level Adjustments Tab'!$A338&amp;"_"&amp;'Measure-Level Adjustments Tab'!$B338,'Unit Savings Calculations'!$A$4:$A$421,0))</f>
        <v>15</v>
      </c>
      <c r="F338" s="287">
        <f>INDEX('Unit Savings Calculations'!$I$4:$I$421,MATCH('Measure-Level Adjustments Tab'!A338&amp;"_"&amp;'Measure-Level Adjustments Tab'!B338,'Unit Savings Calculations'!$A$4:$A$421,0))</f>
        <v>15</v>
      </c>
      <c r="G338" s="287" t="str">
        <f>'Unit Savings Calculations'!E334</f>
        <v>each</v>
      </c>
      <c r="H338" s="289">
        <f>'Unit Savings Calculations'!$F334*'Unit Savings Calculations'!J334</f>
        <v>0</v>
      </c>
      <c r="I338" s="289">
        <f>'Unit Savings Calculations'!$F334*'Unit Savings Calculations'!K334</f>
        <v>0</v>
      </c>
      <c r="J338" s="289">
        <f>'Unit Savings Calculations'!$F334*'Unit Savings Calculations'!L334</f>
        <v>0</v>
      </c>
      <c r="K338" s="289">
        <f>'Unit Savings Calculations'!$F334*'Unit Savings Calculations'!M334</f>
        <v>0</v>
      </c>
      <c r="L338" s="287" t="str">
        <f>'Unit Savings Calculations'!U334</f>
        <v>CI-HW-STWH-V03-180101</v>
      </c>
      <c r="M338" s="363" t="s">
        <v>830</v>
      </c>
      <c r="N338" s="290">
        <v>135.66827090062347</v>
      </c>
      <c r="O338" s="290">
        <v>135.66827090062347</v>
      </c>
      <c r="P338" s="290">
        <v>135.66827090062347</v>
      </c>
      <c r="Q338" s="290">
        <v>135.66827090062347</v>
      </c>
      <c r="R338" s="291">
        <f>'Unit Savings Calculations'!$G334</f>
        <v>0.79</v>
      </c>
      <c r="S338" s="291">
        <f>'Unit Savings Calculations'!$G334</f>
        <v>0.79</v>
      </c>
      <c r="T338" s="291">
        <f>'Unit Savings Calculations'!$G334</f>
        <v>0.79</v>
      </c>
      <c r="U338" s="291">
        <f>'Unit Savings Calculations'!$G334</f>
        <v>0.79</v>
      </c>
      <c r="V338" s="292">
        <f t="shared" si="148"/>
        <v>0</v>
      </c>
      <c r="W338" s="292">
        <f t="shared" si="149"/>
        <v>0</v>
      </c>
      <c r="X338" s="292">
        <f t="shared" si="150"/>
        <v>0</v>
      </c>
      <c r="Y338" s="292">
        <f t="shared" si="151"/>
        <v>0</v>
      </c>
      <c r="Z338" s="292">
        <f t="shared" si="152"/>
        <v>0</v>
      </c>
      <c r="AA338" s="287"/>
      <c r="AB338" s="287"/>
      <c r="AC338" s="293">
        <f>'Unit Savings Calculations'!N334</f>
        <v>1514.573584976577</v>
      </c>
      <c r="AD338" s="287"/>
      <c r="AE338" s="292">
        <f t="shared" si="161"/>
        <v>0</v>
      </c>
      <c r="AF338" s="289">
        <f t="shared" si="162"/>
        <v>0</v>
      </c>
      <c r="AG338" s="287"/>
      <c r="AH338" s="287">
        <f t="shared" si="163"/>
        <v>0</v>
      </c>
      <c r="AI338" s="290">
        <f>'Unit Savings Calculations'!O334</f>
        <v>1514.573584976577</v>
      </c>
      <c r="AJ338" s="287" t="s">
        <v>888</v>
      </c>
      <c r="AK338" s="292">
        <f t="shared" si="164"/>
        <v>0</v>
      </c>
      <c r="AL338" s="289">
        <f t="shared" si="165"/>
        <v>0</v>
      </c>
      <c r="AM338" s="287"/>
      <c r="AN338" s="287"/>
      <c r="AO338" s="290">
        <f>'Unit Savings Calculations'!P334</f>
        <v>1514.573584976577</v>
      </c>
      <c r="AP338" s="287" t="s">
        <v>764</v>
      </c>
      <c r="AQ338" s="292">
        <f t="shared" si="166"/>
        <v>0</v>
      </c>
      <c r="AR338" s="289">
        <f t="shared" si="167"/>
        <v>0</v>
      </c>
      <c r="AS338" s="287"/>
      <c r="AT338" s="287"/>
      <c r="AU338" s="290">
        <f>'Unit Savings Calculations'!Q334</f>
        <v>1514.573584976577</v>
      </c>
      <c r="AV338" s="287" t="str">
        <f t="shared" si="154"/>
        <v>n/a</v>
      </c>
      <c r="AW338" s="292">
        <f t="shared" si="168"/>
        <v>0</v>
      </c>
      <c r="AX338" s="289">
        <f t="shared" si="169"/>
        <v>0</v>
      </c>
      <c r="AY338" s="292">
        <f t="shared" si="155"/>
        <v>0</v>
      </c>
      <c r="AZ338" s="292">
        <f t="shared" si="156"/>
        <v>0</v>
      </c>
      <c r="BA338" s="292">
        <f t="shared" si="157"/>
        <v>0</v>
      </c>
      <c r="BB338" s="292">
        <f t="shared" si="158"/>
        <v>0</v>
      </c>
      <c r="BC338" s="294">
        <f t="shared" si="159"/>
        <v>0</v>
      </c>
      <c r="BD338" s="287" t="s">
        <v>764</v>
      </c>
      <c r="BE338" s="295" t="str">
        <f t="shared" si="160"/>
        <v>Exhibit 1.5B_R Peoples Gas EEPS_Adjustable_Savings_Goal_Template.xlsx, Unit Savings Calculations Tab</v>
      </c>
      <c r="BF338" s="297"/>
    </row>
    <row r="339" spans="1:58" ht="13.5" customHeight="1">
      <c r="A339" s="287" t="str">
        <f>'Unit Savings Calculations'!C335</f>
        <v>Bus - Public Rebates</v>
      </c>
      <c r="B339" s="287" t="str">
        <f>'Unit Savings Calculations'!D335</f>
        <v>Double Rack Oven</v>
      </c>
      <c r="C339" s="288">
        <f t="shared" si="147"/>
        <v>1</v>
      </c>
      <c r="D339" s="287" t="str">
        <f>'Unit Savings Calculations'!T335</f>
        <v>4.2.18</v>
      </c>
      <c r="E339" s="287">
        <f>INDEX('Unit Savings Calculations'!$H$4:$H$421,MATCH('Measure-Level Adjustments Tab'!$A339&amp;"_"&amp;'Measure-Level Adjustments Tab'!$B339,'Unit Savings Calculations'!$A$4:$A$421,0))</f>
        <v>12</v>
      </c>
      <c r="F339" s="287">
        <f>INDEX('Unit Savings Calculations'!$I$4:$I$421,MATCH('Measure-Level Adjustments Tab'!A339&amp;"_"&amp;'Measure-Level Adjustments Tab'!B339,'Unit Savings Calculations'!$A$4:$A$421,0))</f>
        <v>12</v>
      </c>
      <c r="G339" s="287" t="str">
        <f>'Unit Savings Calculations'!E335</f>
        <v>each</v>
      </c>
      <c r="H339" s="289">
        <f>'Unit Savings Calculations'!$F335*'Unit Savings Calculations'!J335</f>
        <v>0</v>
      </c>
      <c r="I339" s="289">
        <f>'Unit Savings Calculations'!$F335*'Unit Savings Calculations'!K335</f>
        <v>0</v>
      </c>
      <c r="J339" s="289">
        <f>'Unit Savings Calculations'!$F335*'Unit Savings Calculations'!L335</f>
        <v>0</v>
      </c>
      <c r="K339" s="289">
        <f>'Unit Savings Calculations'!$F335*'Unit Savings Calculations'!M335</f>
        <v>0</v>
      </c>
      <c r="L339" s="287" t="str">
        <f>'Unit Savings Calculations'!U335</f>
        <v>CI-FSE-RKOV-VO2-180101</v>
      </c>
      <c r="M339" s="363" t="s">
        <v>830</v>
      </c>
      <c r="N339" s="290">
        <v>1930</v>
      </c>
      <c r="O339" s="290">
        <v>1930</v>
      </c>
      <c r="P339" s="290">
        <v>1930</v>
      </c>
      <c r="Q339" s="290">
        <v>1930</v>
      </c>
      <c r="R339" s="291">
        <f>'Unit Savings Calculations'!$G335</f>
        <v>0.79</v>
      </c>
      <c r="S339" s="291">
        <f>'Unit Savings Calculations'!$G335</f>
        <v>0.79</v>
      </c>
      <c r="T339" s="291">
        <f>'Unit Savings Calculations'!$G335</f>
        <v>0.79</v>
      </c>
      <c r="U339" s="291">
        <f>'Unit Savings Calculations'!$G335</f>
        <v>0.79</v>
      </c>
      <c r="V339" s="292">
        <f t="shared" si="148"/>
        <v>0</v>
      </c>
      <c r="W339" s="292">
        <f t="shared" si="149"/>
        <v>0</v>
      </c>
      <c r="X339" s="292">
        <f t="shared" si="150"/>
        <v>0</v>
      </c>
      <c r="Y339" s="292">
        <f t="shared" si="151"/>
        <v>0</v>
      </c>
      <c r="Z339" s="292">
        <f t="shared" si="152"/>
        <v>0</v>
      </c>
      <c r="AA339" s="287"/>
      <c r="AB339" s="287"/>
      <c r="AC339" s="293">
        <f>'Unit Savings Calculations'!N335</f>
        <v>1930</v>
      </c>
      <c r="AD339" s="287"/>
      <c r="AE339" s="292">
        <f t="shared" si="161"/>
        <v>0</v>
      </c>
      <c r="AF339" s="289">
        <f t="shared" si="162"/>
        <v>0</v>
      </c>
      <c r="AG339" s="287"/>
      <c r="AH339" s="287">
        <f t="shared" si="163"/>
        <v>0</v>
      </c>
      <c r="AI339" s="290">
        <f>'Unit Savings Calculations'!O335</f>
        <v>1930</v>
      </c>
      <c r="AJ339" s="287" t="s">
        <v>872</v>
      </c>
      <c r="AK339" s="292">
        <f t="shared" si="164"/>
        <v>0</v>
      </c>
      <c r="AL339" s="289">
        <f t="shared" si="165"/>
        <v>0</v>
      </c>
      <c r="AM339" s="287"/>
      <c r="AN339" s="287"/>
      <c r="AO339" s="290">
        <f>'Unit Savings Calculations'!P335</f>
        <v>1930</v>
      </c>
      <c r="AP339" s="287" t="s">
        <v>764</v>
      </c>
      <c r="AQ339" s="292">
        <f t="shared" si="166"/>
        <v>0</v>
      </c>
      <c r="AR339" s="289">
        <f t="shared" si="167"/>
        <v>0</v>
      </c>
      <c r="AS339" s="287"/>
      <c r="AT339" s="287"/>
      <c r="AU339" s="290">
        <f>'Unit Savings Calculations'!Q335</f>
        <v>1930</v>
      </c>
      <c r="AV339" s="287" t="str">
        <f t="shared" si="154"/>
        <v>n/a</v>
      </c>
      <c r="AW339" s="292">
        <f t="shared" si="168"/>
        <v>0</v>
      </c>
      <c r="AX339" s="289">
        <f t="shared" si="169"/>
        <v>0</v>
      </c>
      <c r="AY339" s="292">
        <f t="shared" si="155"/>
        <v>0</v>
      </c>
      <c r="AZ339" s="292">
        <f t="shared" si="156"/>
        <v>0</v>
      </c>
      <c r="BA339" s="292">
        <f t="shared" si="157"/>
        <v>0</v>
      </c>
      <c r="BB339" s="292">
        <f t="shared" si="158"/>
        <v>0</v>
      </c>
      <c r="BC339" s="294">
        <f t="shared" si="159"/>
        <v>0</v>
      </c>
      <c r="BD339" s="287" t="s">
        <v>764</v>
      </c>
      <c r="BE339" s="295" t="str">
        <f t="shared" si="160"/>
        <v>Exhibit 1.5B_R Peoples Gas EEPS_Adjustable_Savings_Goal_Template.xlsx, Unit Savings Calculations Tab</v>
      </c>
      <c r="BF339" s="297"/>
    </row>
    <row r="340" spans="1:58" ht="13.5" customHeight="1">
      <c r="A340" s="287" t="str">
        <f>'Unit Savings Calculations'!C336</f>
        <v>Bus - Public Rebates</v>
      </c>
      <c r="B340" s="287" t="str">
        <f>'Unit Savings Calculations'!D336</f>
        <v>Energy Star Convection Oven</v>
      </c>
      <c r="C340" s="288">
        <f t="shared" si="147"/>
        <v>1</v>
      </c>
      <c r="D340" s="287" t="str">
        <f>'Unit Savings Calculations'!T336</f>
        <v>4.2.5</v>
      </c>
      <c r="E340" s="287">
        <f>INDEX('Unit Savings Calculations'!$H$4:$H$421,MATCH('Measure-Level Adjustments Tab'!$A340&amp;"_"&amp;'Measure-Level Adjustments Tab'!$B340,'Unit Savings Calculations'!$A$4:$A$421,0))</f>
        <v>12</v>
      </c>
      <c r="F340" s="287">
        <f>INDEX('Unit Savings Calculations'!$I$4:$I$421,MATCH('Measure-Level Adjustments Tab'!A340&amp;"_"&amp;'Measure-Level Adjustments Tab'!B340,'Unit Savings Calculations'!$A$4:$A$421,0))</f>
        <v>12</v>
      </c>
      <c r="G340" s="287" t="str">
        <f>'Unit Savings Calculations'!E336</f>
        <v>each</v>
      </c>
      <c r="H340" s="289">
        <f>'Unit Savings Calculations'!$F336*'Unit Savings Calculations'!J336</f>
        <v>16</v>
      </c>
      <c r="I340" s="289">
        <f>'Unit Savings Calculations'!$F336*'Unit Savings Calculations'!K336</f>
        <v>16</v>
      </c>
      <c r="J340" s="289">
        <f>'Unit Savings Calculations'!$F336*'Unit Savings Calculations'!L336</f>
        <v>16</v>
      </c>
      <c r="K340" s="289">
        <f>'Unit Savings Calculations'!$F336*'Unit Savings Calculations'!M336</f>
        <v>16</v>
      </c>
      <c r="L340" s="287" t="str">
        <f>'Unit Savings Calculations'!U336</f>
        <v>CI-FSE-ESCV-V02-180101</v>
      </c>
      <c r="M340" s="363" t="s">
        <v>830</v>
      </c>
      <c r="N340" s="290">
        <v>352.14445072463781</v>
      </c>
      <c r="O340" s="290">
        <v>352.14445072463781</v>
      </c>
      <c r="P340" s="290">
        <v>352.14445072463781</v>
      </c>
      <c r="Q340" s="290">
        <v>352.14445072463781</v>
      </c>
      <c r="R340" s="291">
        <f>'Unit Savings Calculations'!$G336</f>
        <v>0.79</v>
      </c>
      <c r="S340" s="291">
        <f>'Unit Savings Calculations'!$G336</f>
        <v>0.79</v>
      </c>
      <c r="T340" s="291">
        <f>'Unit Savings Calculations'!$G336</f>
        <v>0.79</v>
      </c>
      <c r="U340" s="291">
        <f>'Unit Savings Calculations'!$G336</f>
        <v>0.79</v>
      </c>
      <c r="V340" s="292">
        <f t="shared" si="148"/>
        <v>4451.1058571594222</v>
      </c>
      <c r="W340" s="292">
        <f t="shared" si="149"/>
        <v>4451.1058571594222</v>
      </c>
      <c r="X340" s="292">
        <f t="shared" si="150"/>
        <v>4451.1058571594222</v>
      </c>
      <c r="Y340" s="292">
        <f t="shared" si="151"/>
        <v>4451.1058571594222</v>
      </c>
      <c r="Z340" s="292">
        <f t="shared" si="152"/>
        <v>17804.423428637689</v>
      </c>
      <c r="AA340" s="287"/>
      <c r="AB340" s="287"/>
      <c r="AC340" s="293">
        <f>'Unit Savings Calculations'!N336</f>
        <v>352.14445072463781</v>
      </c>
      <c r="AD340" s="287"/>
      <c r="AE340" s="292">
        <f t="shared" si="161"/>
        <v>4451.1058571594222</v>
      </c>
      <c r="AF340" s="289">
        <f t="shared" si="162"/>
        <v>0</v>
      </c>
      <c r="AG340" s="287"/>
      <c r="AH340" s="287">
        <f t="shared" si="163"/>
        <v>0</v>
      </c>
      <c r="AI340" s="290">
        <f>'Unit Savings Calculations'!O336</f>
        <v>352.14445072463781</v>
      </c>
      <c r="AJ340" s="287" t="s">
        <v>872</v>
      </c>
      <c r="AK340" s="292">
        <f t="shared" si="164"/>
        <v>4451.1058571594222</v>
      </c>
      <c r="AL340" s="289">
        <f t="shared" si="165"/>
        <v>0</v>
      </c>
      <c r="AM340" s="287"/>
      <c r="AN340" s="287"/>
      <c r="AO340" s="290">
        <f>'Unit Savings Calculations'!P336</f>
        <v>352.14445072463781</v>
      </c>
      <c r="AP340" s="287" t="s">
        <v>764</v>
      </c>
      <c r="AQ340" s="292">
        <f t="shared" si="166"/>
        <v>4451.1058571594222</v>
      </c>
      <c r="AR340" s="289">
        <f t="shared" si="167"/>
        <v>0</v>
      </c>
      <c r="AS340" s="287"/>
      <c r="AT340" s="287"/>
      <c r="AU340" s="290">
        <f>'Unit Savings Calculations'!Q336</f>
        <v>352.14445072463781</v>
      </c>
      <c r="AV340" s="287" t="str">
        <f t="shared" si="154"/>
        <v>n/a</v>
      </c>
      <c r="AW340" s="292">
        <f t="shared" si="168"/>
        <v>4451.1058571594222</v>
      </c>
      <c r="AX340" s="289">
        <f t="shared" si="169"/>
        <v>0</v>
      </c>
      <c r="AY340" s="292">
        <f t="shared" si="155"/>
        <v>4451.1058571594222</v>
      </c>
      <c r="AZ340" s="292">
        <f t="shared" si="156"/>
        <v>4451.1058571594222</v>
      </c>
      <c r="BA340" s="292">
        <f t="shared" si="157"/>
        <v>4451.1058571594222</v>
      </c>
      <c r="BB340" s="292">
        <f t="shared" si="158"/>
        <v>4451.1058571594222</v>
      </c>
      <c r="BC340" s="294">
        <f t="shared" si="159"/>
        <v>17804.423428637689</v>
      </c>
      <c r="BD340" s="287" t="s">
        <v>764</v>
      </c>
      <c r="BE340" s="295" t="str">
        <f t="shared" si="160"/>
        <v>Exhibit 1.5B_R Peoples Gas EEPS_Adjustable_Savings_Goal_Template.xlsx, Unit Savings Calculations Tab</v>
      </c>
      <c r="BF340" s="297"/>
    </row>
    <row r="341" spans="1:58" ht="13.5" customHeight="1">
      <c r="A341" s="287" t="str">
        <f>'Unit Savings Calculations'!C337</f>
        <v>Bus - Public Rebates</v>
      </c>
      <c r="B341" s="287" t="str">
        <f>'Unit Savings Calculations'!D337</f>
        <v>Energy Star Conveyer Oven</v>
      </c>
      <c r="C341" s="288">
        <f t="shared" si="147"/>
        <v>1</v>
      </c>
      <c r="D341" s="287" t="str">
        <f>'Unit Savings Calculations'!T337</f>
        <v>4.2.4</v>
      </c>
      <c r="E341" s="287">
        <f>INDEX('Unit Savings Calculations'!$H$4:$H$421,MATCH('Measure-Level Adjustments Tab'!$A341&amp;"_"&amp;'Measure-Level Adjustments Tab'!$B341,'Unit Savings Calculations'!$A$4:$A$421,0))</f>
        <v>17</v>
      </c>
      <c r="F341" s="287">
        <f>INDEX('Unit Savings Calculations'!$I$4:$I$421,MATCH('Measure-Level Adjustments Tab'!A341&amp;"_"&amp;'Measure-Level Adjustments Tab'!B341,'Unit Savings Calculations'!$A$4:$A$421,0))</f>
        <v>17</v>
      </c>
      <c r="G341" s="287" t="str">
        <f>'Unit Savings Calculations'!E337</f>
        <v>each</v>
      </c>
      <c r="H341" s="289">
        <f>'Unit Savings Calculations'!$F337*'Unit Savings Calculations'!J337</f>
        <v>0</v>
      </c>
      <c r="I341" s="289">
        <f>'Unit Savings Calculations'!$F337*'Unit Savings Calculations'!K337</f>
        <v>0</v>
      </c>
      <c r="J341" s="289">
        <f>'Unit Savings Calculations'!$F337*'Unit Savings Calculations'!L337</f>
        <v>0</v>
      </c>
      <c r="K341" s="289">
        <f>'Unit Savings Calculations'!$F337*'Unit Savings Calculations'!M337</f>
        <v>0</v>
      </c>
      <c r="L341" s="287" t="str">
        <f>'Unit Savings Calculations'!U337</f>
        <v>CI-FSE-CVOV-V02-180101</v>
      </c>
      <c r="M341" s="363" t="s">
        <v>830</v>
      </c>
      <c r="N341" s="290">
        <v>884</v>
      </c>
      <c r="O341" s="290">
        <v>884</v>
      </c>
      <c r="P341" s="290">
        <v>884</v>
      </c>
      <c r="Q341" s="290">
        <v>884</v>
      </c>
      <c r="R341" s="291">
        <f>'Unit Savings Calculations'!$G337</f>
        <v>0.79</v>
      </c>
      <c r="S341" s="291">
        <f>'Unit Savings Calculations'!$G337</f>
        <v>0.79</v>
      </c>
      <c r="T341" s="291">
        <f>'Unit Savings Calculations'!$G337</f>
        <v>0.79</v>
      </c>
      <c r="U341" s="291">
        <f>'Unit Savings Calculations'!$G337</f>
        <v>0.79</v>
      </c>
      <c r="V341" s="292">
        <f t="shared" si="148"/>
        <v>0</v>
      </c>
      <c r="W341" s="292">
        <f t="shared" si="149"/>
        <v>0</v>
      </c>
      <c r="X341" s="292">
        <f t="shared" si="150"/>
        <v>0</v>
      </c>
      <c r="Y341" s="292">
        <f t="shared" si="151"/>
        <v>0</v>
      </c>
      <c r="Z341" s="292">
        <f t="shared" si="152"/>
        <v>0</v>
      </c>
      <c r="AA341" s="287"/>
      <c r="AB341" s="287"/>
      <c r="AC341" s="293">
        <f>'Unit Savings Calculations'!N337</f>
        <v>884</v>
      </c>
      <c r="AD341" s="287"/>
      <c r="AE341" s="292">
        <f t="shared" si="161"/>
        <v>0</v>
      </c>
      <c r="AF341" s="289">
        <f t="shared" si="162"/>
        <v>0</v>
      </c>
      <c r="AG341" s="287"/>
      <c r="AH341" s="287">
        <f t="shared" si="163"/>
        <v>0</v>
      </c>
      <c r="AI341" s="290">
        <f>'Unit Savings Calculations'!O337</f>
        <v>884</v>
      </c>
      <c r="AJ341" s="287" t="s">
        <v>872</v>
      </c>
      <c r="AK341" s="292">
        <f t="shared" si="164"/>
        <v>0</v>
      </c>
      <c r="AL341" s="289">
        <f t="shared" si="165"/>
        <v>0</v>
      </c>
      <c r="AM341" s="287"/>
      <c r="AN341" s="287"/>
      <c r="AO341" s="290">
        <f>'Unit Savings Calculations'!P337</f>
        <v>884</v>
      </c>
      <c r="AP341" s="287" t="s">
        <v>764</v>
      </c>
      <c r="AQ341" s="292">
        <f t="shared" si="166"/>
        <v>0</v>
      </c>
      <c r="AR341" s="289">
        <f t="shared" si="167"/>
        <v>0</v>
      </c>
      <c r="AS341" s="287"/>
      <c r="AT341" s="287"/>
      <c r="AU341" s="290">
        <f>'Unit Savings Calculations'!Q337</f>
        <v>884</v>
      </c>
      <c r="AV341" s="287" t="str">
        <f t="shared" si="154"/>
        <v>n/a</v>
      </c>
      <c r="AW341" s="292">
        <f t="shared" si="168"/>
        <v>0</v>
      </c>
      <c r="AX341" s="289">
        <f t="shared" si="169"/>
        <v>0</v>
      </c>
      <c r="AY341" s="292">
        <f t="shared" si="155"/>
        <v>0</v>
      </c>
      <c r="AZ341" s="292">
        <f t="shared" si="156"/>
        <v>0</v>
      </c>
      <c r="BA341" s="292">
        <f t="shared" si="157"/>
        <v>0</v>
      </c>
      <c r="BB341" s="292">
        <f t="shared" si="158"/>
        <v>0</v>
      </c>
      <c r="BC341" s="294">
        <f t="shared" si="159"/>
        <v>0</v>
      </c>
      <c r="BD341" s="287" t="s">
        <v>764</v>
      </c>
      <c r="BE341" s="295" t="str">
        <f t="shared" si="160"/>
        <v>Exhibit 1.5B_R Peoples Gas EEPS_Adjustable_Savings_Goal_Template.xlsx, Unit Savings Calculations Tab</v>
      </c>
      <c r="BF341" s="297"/>
    </row>
    <row r="342" spans="1:58" ht="13.5" customHeight="1">
      <c r="A342" s="287" t="str">
        <f>'Unit Savings Calculations'!C338</f>
        <v>Bus - Public Rebates</v>
      </c>
      <c r="B342" s="287" t="str">
        <f>'Unit Savings Calculations'!D338</f>
        <v>Energy Star Fryer</v>
      </c>
      <c r="C342" s="288">
        <f t="shared" si="147"/>
        <v>1</v>
      </c>
      <c r="D342" s="287" t="str">
        <f>'Unit Savings Calculations'!T338</f>
        <v>4.2.7</v>
      </c>
      <c r="E342" s="287">
        <f>INDEX('Unit Savings Calculations'!$H$4:$H$421,MATCH('Measure-Level Adjustments Tab'!$A342&amp;"_"&amp;'Measure-Level Adjustments Tab'!$B342,'Unit Savings Calculations'!$A$4:$A$421,0))</f>
        <v>15</v>
      </c>
      <c r="F342" s="287">
        <f>INDEX('Unit Savings Calculations'!$I$4:$I$421,MATCH('Measure-Level Adjustments Tab'!A342&amp;"_"&amp;'Measure-Level Adjustments Tab'!B342,'Unit Savings Calculations'!$A$4:$A$421,0))</f>
        <v>12</v>
      </c>
      <c r="G342" s="287" t="str">
        <f>'Unit Savings Calculations'!E338</f>
        <v>each</v>
      </c>
      <c r="H342" s="289">
        <f>'Unit Savings Calculations'!$F338*'Unit Savings Calculations'!J338</f>
        <v>0</v>
      </c>
      <c r="I342" s="289">
        <f>'Unit Savings Calculations'!$F338*'Unit Savings Calculations'!K338</f>
        <v>0</v>
      </c>
      <c r="J342" s="289">
        <f>'Unit Savings Calculations'!$F338*'Unit Savings Calculations'!L338</f>
        <v>0</v>
      </c>
      <c r="K342" s="289">
        <f>'Unit Savings Calculations'!$F338*'Unit Savings Calculations'!M338</f>
        <v>0</v>
      </c>
      <c r="L342" s="287" t="str">
        <f>'Unit Savings Calculations'!U338</f>
        <v>CI-FSE-ESFR-V01-120601</v>
      </c>
      <c r="M342" s="363" t="s">
        <v>830</v>
      </c>
      <c r="N342" s="290">
        <v>505.37299714285717</v>
      </c>
      <c r="O342" s="290">
        <v>505.37299714285717</v>
      </c>
      <c r="P342" s="290">
        <v>505.37299714285717</v>
      </c>
      <c r="Q342" s="290">
        <v>505.37299714285717</v>
      </c>
      <c r="R342" s="291">
        <f>'Unit Savings Calculations'!$G338</f>
        <v>0.79</v>
      </c>
      <c r="S342" s="291">
        <f>'Unit Savings Calculations'!$G338</f>
        <v>0.79</v>
      </c>
      <c r="T342" s="291">
        <f>'Unit Savings Calculations'!$G338</f>
        <v>0.79</v>
      </c>
      <c r="U342" s="291">
        <f>'Unit Savings Calculations'!$G338</f>
        <v>0.79</v>
      </c>
      <c r="V342" s="292">
        <f t="shared" si="148"/>
        <v>0</v>
      </c>
      <c r="W342" s="292">
        <f t="shared" si="149"/>
        <v>0</v>
      </c>
      <c r="X342" s="292">
        <f t="shared" si="150"/>
        <v>0</v>
      </c>
      <c r="Y342" s="292">
        <f t="shared" si="151"/>
        <v>0</v>
      </c>
      <c r="Z342" s="292">
        <f t="shared" si="152"/>
        <v>0</v>
      </c>
      <c r="AA342" s="287"/>
      <c r="AB342" s="287"/>
      <c r="AC342" s="293">
        <f>'Unit Savings Calculations'!N338</f>
        <v>505.37299714285717</v>
      </c>
      <c r="AD342" s="287"/>
      <c r="AE342" s="292">
        <f t="shared" si="161"/>
        <v>0</v>
      </c>
      <c r="AF342" s="289">
        <f t="shared" si="162"/>
        <v>0</v>
      </c>
      <c r="AG342" s="287"/>
      <c r="AH342" s="287">
        <f t="shared" si="163"/>
        <v>0</v>
      </c>
      <c r="AI342" s="290">
        <f>'Unit Savings Calculations'!O338</f>
        <v>505.37299714285717</v>
      </c>
      <c r="AJ342" s="287" t="s">
        <v>872</v>
      </c>
      <c r="AK342" s="292">
        <f t="shared" si="164"/>
        <v>0</v>
      </c>
      <c r="AL342" s="289">
        <f t="shared" si="165"/>
        <v>0</v>
      </c>
      <c r="AM342" s="287"/>
      <c r="AN342" s="287"/>
      <c r="AO342" s="290">
        <f>'Unit Savings Calculations'!P338</f>
        <v>505.37299714285717</v>
      </c>
      <c r="AP342" s="287" t="s">
        <v>764</v>
      </c>
      <c r="AQ342" s="292">
        <f t="shared" si="166"/>
        <v>0</v>
      </c>
      <c r="AR342" s="289">
        <f t="shared" si="167"/>
        <v>0</v>
      </c>
      <c r="AS342" s="287"/>
      <c r="AT342" s="287"/>
      <c r="AU342" s="290">
        <f>'Unit Savings Calculations'!Q338</f>
        <v>505.37299714285717</v>
      </c>
      <c r="AV342" s="287" t="str">
        <f t="shared" si="154"/>
        <v>n/a</v>
      </c>
      <c r="AW342" s="292">
        <f t="shared" si="168"/>
        <v>0</v>
      </c>
      <c r="AX342" s="289">
        <f t="shared" si="169"/>
        <v>0</v>
      </c>
      <c r="AY342" s="292">
        <f t="shared" si="155"/>
        <v>0</v>
      </c>
      <c r="AZ342" s="292">
        <f t="shared" si="156"/>
        <v>0</v>
      </c>
      <c r="BA342" s="292">
        <f t="shared" si="157"/>
        <v>0</v>
      </c>
      <c r="BB342" s="292">
        <f t="shared" si="158"/>
        <v>0</v>
      </c>
      <c r="BC342" s="294">
        <f t="shared" si="159"/>
        <v>0</v>
      </c>
      <c r="BD342" s="287" t="s">
        <v>764</v>
      </c>
      <c r="BE342" s="295" t="str">
        <f t="shared" si="160"/>
        <v>Exhibit 1.5B_R Peoples Gas EEPS_Adjustable_Savings_Goal_Template.xlsx, Unit Savings Calculations Tab</v>
      </c>
      <c r="BF342" s="297"/>
    </row>
    <row r="343" spans="1:58" ht="13.5" customHeight="1">
      <c r="A343" s="287" t="str">
        <f>'Unit Savings Calculations'!C339</f>
        <v>Bus - Public Rebates</v>
      </c>
      <c r="B343" s="287" t="str">
        <f>'Unit Savings Calculations'!D339</f>
        <v>Energy Star Steamer - 3 Pans</v>
      </c>
      <c r="C343" s="288">
        <f t="shared" si="147"/>
        <v>1</v>
      </c>
      <c r="D343" s="287" t="str">
        <f>'Unit Savings Calculations'!T339</f>
        <v>4.2.3</v>
      </c>
      <c r="E343" s="287">
        <f>INDEX('Unit Savings Calculations'!$H$4:$H$421,MATCH('Measure-Level Adjustments Tab'!$A343&amp;"_"&amp;'Measure-Level Adjustments Tab'!$B343,'Unit Savings Calculations'!$A$4:$A$421,0))</f>
        <v>12</v>
      </c>
      <c r="F343" s="287">
        <f>INDEX('Unit Savings Calculations'!$I$4:$I$421,MATCH('Measure-Level Adjustments Tab'!A343&amp;"_"&amp;'Measure-Level Adjustments Tab'!B343,'Unit Savings Calculations'!$A$4:$A$421,0))</f>
        <v>12</v>
      </c>
      <c r="G343" s="287" t="str">
        <f>'Unit Savings Calculations'!E339</f>
        <v>each</v>
      </c>
      <c r="H343" s="289">
        <f>'Unit Savings Calculations'!$F339*'Unit Savings Calculations'!J339</f>
        <v>0</v>
      </c>
      <c r="I343" s="289">
        <f>'Unit Savings Calculations'!$F339*'Unit Savings Calculations'!K339</f>
        <v>0</v>
      </c>
      <c r="J343" s="289">
        <f>'Unit Savings Calculations'!$F339*'Unit Savings Calculations'!L339</f>
        <v>0</v>
      </c>
      <c r="K343" s="289">
        <f>'Unit Savings Calculations'!$F339*'Unit Savings Calculations'!M339</f>
        <v>0</v>
      </c>
      <c r="L343" s="287" t="str">
        <f>'Unit Savings Calculations'!U339</f>
        <v>CI-FSE-STMC-V04-160601</v>
      </c>
      <c r="M343" s="363" t="s">
        <v>827</v>
      </c>
      <c r="N343" s="290">
        <v>752.01231086676478</v>
      </c>
      <c r="O343" s="290">
        <v>752.01231086676478</v>
      </c>
      <c r="P343" s="290">
        <v>752.01231086676478</v>
      </c>
      <c r="Q343" s="290">
        <v>752.01231086676478</v>
      </c>
      <c r="R343" s="291">
        <f>'Unit Savings Calculations'!$G339</f>
        <v>0.79</v>
      </c>
      <c r="S343" s="291">
        <f>'Unit Savings Calculations'!$G339</f>
        <v>0.79</v>
      </c>
      <c r="T343" s="291">
        <f>'Unit Savings Calculations'!$G339</f>
        <v>0.79</v>
      </c>
      <c r="U343" s="291">
        <f>'Unit Savings Calculations'!$G339</f>
        <v>0.79</v>
      </c>
      <c r="V343" s="292">
        <f t="shared" si="148"/>
        <v>0</v>
      </c>
      <c r="W343" s="292">
        <f t="shared" si="149"/>
        <v>0</v>
      </c>
      <c r="X343" s="292">
        <f t="shared" si="150"/>
        <v>0</v>
      </c>
      <c r="Y343" s="292">
        <f t="shared" si="151"/>
        <v>0</v>
      </c>
      <c r="Z343" s="292">
        <f t="shared" si="152"/>
        <v>0</v>
      </c>
      <c r="AA343" s="287"/>
      <c r="AB343" s="287"/>
      <c r="AC343" s="293">
        <f>'Unit Savings Calculations'!N339</f>
        <v>921.04270586676478</v>
      </c>
      <c r="AD343" s="287"/>
      <c r="AE343" s="292">
        <f t="shared" si="161"/>
        <v>0</v>
      </c>
      <c r="AF343" s="289">
        <f t="shared" si="162"/>
        <v>0</v>
      </c>
      <c r="AG343" s="287"/>
      <c r="AH343" s="287">
        <f t="shared" si="163"/>
        <v>0</v>
      </c>
      <c r="AI343" s="290">
        <f>'Unit Savings Calculations'!O339</f>
        <v>921.04270586676478</v>
      </c>
      <c r="AJ343" s="287" t="s">
        <v>872</v>
      </c>
      <c r="AK343" s="292">
        <f t="shared" si="164"/>
        <v>0</v>
      </c>
      <c r="AL343" s="289">
        <f t="shared" si="165"/>
        <v>0</v>
      </c>
      <c r="AM343" s="287"/>
      <c r="AN343" s="287"/>
      <c r="AO343" s="290">
        <f>'Unit Savings Calculations'!P339</f>
        <v>921.04270586676478</v>
      </c>
      <c r="AP343" s="287" t="s">
        <v>764</v>
      </c>
      <c r="AQ343" s="292">
        <f t="shared" si="166"/>
        <v>0</v>
      </c>
      <c r="AR343" s="289">
        <f t="shared" si="167"/>
        <v>0</v>
      </c>
      <c r="AS343" s="287"/>
      <c r="AT343" s="287"/>
      <c r="AU343" s="290">
        <f>'Unit Savings Calculations'!Q339</f>
        <v>921.04270586676478</v>
      </c>
      <c r="AV343" s="287" t="str">
        <f t="shared" si="154"/>
        <v>n/a</v>
      </c>
      <c r="AW343" s="292">
        <f t="shared" si="168"/>
        <v>0</v>
      </c>
      <c r="AX343" s="289">
        <f t="shared" si="169"/>
        <v>0</v>
      </c>
      <c r="AY343" s="292">
        <f t="shared" si="155"/>
        <v>0</v>
      </c>
      <c r="AZ343" s="292">
        <f t="shared" si="156"/>
        <v>0</v>
      </c>
      <c r="BA343" s="292">
        <f t="shared" si="157"/>
        <v>0</v>
      </c>
      <c r="BB343" s="292">
        <f t="shared" si="158"/>
        <v>0</v>
      </c>
      <c r="BC343" s="294">
        <f t="shared" si="159"/>
        <v>0</v>
      </c>
      <c r="BD343" s="287" t="s">
        <v>764</v>
      </c>
      <c r="BE343" s="295" t="str">
        <f t="shared" si="160"/>
        <v>Exhibit 1.5B_R Peoples Gas EEPS_Adjustable_Savings_Goal_Template.xlsx, Food Equipment Tab</v>
      </c>
      <c r="BF343" s="297"/>
    </row>
    <row r="344" spans="1:58" ht="13.5" customHeight="1">
      <c r="A344" s="287" t="str">
        <f>'Unit Savings Calculations'!C340</f>
        <v>Bus - Public Rebates</v>
      </c>
      <c r="B344" s="287" t="str">
        <f>'Unit Savings Calculations'!D340</f>
        <v>Energy Star Steamer - 4 Pans</v>
      </c>
      <c r="C344" s="288">
        <f t="shared" si="147"/>
        <v>1</v>
      </c>
      <c r="D344" s="287" t="str">
        <f>'Unit Savings Calculations'!T340</f>
        <v>4.2.3</v>
      </c>
      <c r="E344" s="287">
        <f>INDEX('Unit Savings Calculations'!$H$4:$H$421,MATCH('Measure-Level Adjustments Tab'!$A344&amp;"_"&amp;'Measure-Level Adjustments Tab'!$B344,'Unit Savings Calculations'!$A$4:$A$421,0))</f>
        <v>12</v>
      </c>
      <c r="F344" s="287">
        <f>INDEX('Unit Savings Calculations'!$I$4:$I$421,MATCH('Measure-Level Adjustments Tab'!A344&amp;"_"&amp;'Measure-Level Adjustments Tab'!B344,'Unit Savings Calculations'!$A$4:$A$421,0))</f>
        <v>12</v>
      </c>
      <c r="G344" s="287" t="str">
        <f>'Unit Savings Calculations'!E340</f>
        <v>each</v>
      </c>
      <c r="H344" s="289">
        <f>'Unit Savings Calculations'!$F340*'Unit Savings Calculations'!J340</f>
        <v>25</v>
      </c>
      <c r="I344" s="289">
        <f>'Unit Savings Calculations'!$F340*'Unit Savings Calculations'!K340</f>
        <v>25</v>
      </c>
      <c r="J344" s="289">
        <f>'Unit Savings Calculations'!$F340*'Unit Savings Calculations'!L340</f>
        <v>25</v>
      </c>
      <c r="K344" s="289">
        <f>'Unit Savings Calculations'!$F340*'Unit Savings Calculations'!M340</f>
        <v>25</v>
      </c>
      <c r="L344" s="287" t="str">
        <f>'Unit Savings Calculations'!U340</f>
        <v>CI-FSE-STMC-V04-160601</v>
      </c>
      <c r="M344" s="363" t="s">
        <v>827</v>
      </c>
      <c r="N344" s="290">
        <v>1007.2641787965732</v>
      </c>
      <c r="O344" s="290">
        <v>1007.2641787965732</v>
      </c>
      <c r="P344" s="290">
        <v>1007.2641787965732</v>
      </c>
      <c r="Q344" s="290">
        <v>1007.2641787965732</v>
      </c>
      <c r="R344" s="291">
        <f>'Unit Savings Calculations'!$G340</f>
        <v>0.79</v>
      </c>
      <c r="S344" s="291">
        <f>'Unit Savings Calculations'!$G340</f>
        <v>0.79</v>
      </c>
      <c r="T344" s="291">
        <f>'Unit Savings Calculations'!$G340</f>
        <v>0.79</v>
      </c>
      <c r="U344" s="291">
        <f>'Unit Savings Calculations'!$G340</f>
        <v>0.79</v>
      </c>
      <c r="V344" s="292">
        <f t="shared" si="148"/>
        <v>19893.467531232323</v>
      </c>
      <c r="W344" s="292">
        <f t="shared" si="149"/>
        <v>19893.467531232323</v>
      </c>
      <c r="X344" s="292">
        <f t="shared" si="150"/>
        <v>19893.467531232323</v>
      </c>
      <c r="Y344" s="292">
        <f t="shared" si="151"/>
        <v>19893.467531232323</v>
      </c>
      <c r="Z344" s="292">
        <f t="shared" si="152"/>
        <v>79573.870124929294</v>
      </c>
      <c r="AA344" s="287"/>
      <c r="AB344" s="287"/>
      <c r="AC344" s="293">
        <f>'Unit Savings Calculations'!N340</f>
        <v>1176.2945737965733</v>
      </c>
      <c r="AD344" s="287"/>
      <c r="AE344" s="292">
        <f t="shared" si="161"/>
        <v>23231.817832482324</v>
      </c>
      <c r="AF344" s="289">
        <f t="shared" si="162"/>
        <v>3338.3503012500005</v>
      </c>
      <c r="AG344" s="287"/>
      <c r="AH344" s="287">
        <f t="shared" si="163"/>
        <v>0</v>
      </c>
      <c r="AI344" s="290">
        <f>'Unit Savings Calculations'!O340</f>
        <v>1176.2945737965733</v>
      </c>
      <c r="AJ344" s="287" t="s">
        <v>872</v>
      </c>
      <c r="AK344" s="292">
        <f t="shared" si="164"/>
        <v>23231.817832482324</v>
      </c>
      <c r="AL344" s="289">
        <f t="shared" si="165"/>
        <v>3338.3503012500005</v>
      </c>
      <c r="AM344" s="287"/>
      <c r="AN344" s="287"/>
      <c r="AO344" s="290">
        <f>'Unit Savings Calculations'!P340</f>
        <v>1176.2945737965733</v>
      </c>
      <c r="AP344" s="287" t="s">
        <v>764</v>
      </c>
      <c r="AQ344" s="292">
        <f t="shared" si="166"/>
        <v>23231.817832482324</v>
      </c>
      <c r="AR344" s="289">
        <f t="shared" si="167"/>
        <v>3338.3503012500005</v>
      </c>
      <c r="AS344" s="287"/>
      <c r="AT344" s="287"/>
      <c r="AU344" s="290">
        <f>'Unit Savings Calculations'!Q340</f>
        <v>1176.2945737965733</v>
      </c>
      <c r="AV344" s="287" t="str">
        <f t="shared" si="154"/>
        <v>n/a</v>
      </c>
      <c r="AW344" s="292">
        <f t="shared" si="168"/>
        <v>23231.817832482324</v>
      </c>
      <c r="AX344" s="289">
        <f t="shared" si="169"/>
        <v>3338.3503012500005</v>
      </c>
      <c r="AY344" s="292">
        <f t="shared" si="155"/>
        <v>23231.817832482324</v>
      </c>
      <c r="AZ344" s="292">
        <f t="shared" si="156"/>
        <v>23231.817832482324</v>
      </c>
      <c r="BA344" s="292">
        <f t="shared" si="157"/>
        <v>23231.817832482324</v>
      </c>
      <c r="BB344" s="292">
        <f t="shared" si="158"/>
        <v>23231.817832482324</v>
      </c>
      <c r="BC344" s="294">
        <f t="shared" si="159"/>
        <v>92927.271329929295</v>
      </c>
      <c r="BD344" s="287" t="s">
        <v>764</v>
      </c>
      <c r="BE344" s="295" t="str">
        <f t="shared" si="160"/>
        <v>Exhibit 1.5B_R Peoples Gas EEPS_Adjustable_Savings_Goal_Template.xlsx, Food Equipment Tab</v>
      </c>
      <c r="BF344" s="297"/>
    </row>
    <row r="345" spans="1:58" ht="13.5" customHeight="1">
      <c r="A345" s="287" t="str">
        <f>'Unit Savings Calculations'!C341</f>
        <v>Bus - Public Rebates</v>
      </c>
      <c r="B345" s="287" t="str">
        <f>'Unit Savings Calculations'!D341</f>
        <v>Energy Star Steamer - 5 Pans</v>
      </c>
      <c r="C345" s="288">
        <f t="shared" si="147"/>
        <v>1</v>
      </c>
      <c r="D345" s="287" t="str">
        <f>'Unit Savings Calculations'!T341</f>
        <v>4.2.3</v>
      </c>
      <c r="E345" s="287">
        <f>INDEX('Unit Savings Calculations'!$H$4:$H$421,MATCH('Measure-Level Adjustments Tab'!$A345&amp;"_"&amp;'Measure-Level Adjustments Tab'!$B345,'Unit Savings Calculations'!$A$4:$A$421,0))</f>
        <v>12</v>
      </c>
      <c r="F345" s="287">
        <f>INDEX('Unit Savings Calculations'!$I$4:$I$421,MATCH('Measure-Level Adjustments Tab'!A345&amp;"_"&amp;'Measure-Level Adjustments Tab'!B345,'Unit Savings Calculations'!$A$4:$A$421,0))</f>
        <v>12</v>
      </c>
      <c r="G345" s="287" t="str">
        <f>'Unit Savings Calculations'!E341</f>
        <v>each</v>
      </c>
      <c r="H345" s="289">
        <f>'Unit Savings Calculations'!$F341*'Unit Savings Calculations'!J341</f>
        <v>0</v>
      </c>
      <c r="I345" s="289">
        <f>'Unit Savings Calculations'!$F341*'Unit Savings Calculations'!K341</f>
        <v>0</v>
      </c>
      <c r="J345" s="289">
        <f>'Unit Savings Calculations'!$F341*'Unit Savings Calculations'!L341</f>
        <v>0</v>
      </c>
      <c r="K345" s="289">
        <f>'Unit Savings Calculations'!$F341*'Unit Savings Calculations'!M341</f>
        <v>0</v>
      </c>
      <c r="L345" s="287" t="str">
        <f>'Unit Savings Calculations'!U341</f>
        <v>CI-FSE-STMC-V04-160601</v>
      </c>
      <c r="M345" s="363" t="s">
        <v>827</v>
      </c>
      <c r="N345" s="290">
        <v>1248.6709419898457</v>
      </c>
      <c r="O345" s="290">
        <v>1248.6709419898457</v>
      </c>
      <c r="P345" s="290">
        <v>1248.6709419898457</v>
      </c>
      <c r="Q345" s="290">
        <v>1248.6709419898457</v>
      </c>
      <c r="R345" s="291">
        <f>'Unit Savings Calculations'!$G341</f>
        <v>0.79</v>
      </c>
      <c r="S345" s="291">
        <f>'Unit Savings Calculations'!$G341</f>
        <v>0.79</v>
      </c>
      <c r="T345" s="291">
        <f>'Unit Savings Calculations'!$G341</f>
        <v>0.79</v>
      </c>
      <c r="U345" s="291">
        <f>'Unit Savings Calculations'!$G341</f>
        <v>0.79</v>
      </c>
      <c r="V345" s="292">
        <f t="shared" si="148"/>
        <v>0</v>
      </c>
      <c r="W345" s="292">
        <f t="shared" si="149"/>
        <v>0</v>
      </c>
      <c r="X345" s="292">
        <f t="shared" si="150"/>
        <v>0</v>
      </c>
      <c r="Y345" s="292">
        <f t="shared" si="151"/>
        <v>0</v>
      </c>
      <c r="Z345" s="292">
        <f t="shared" si="152"/>
        <v>0</v>
      </c>
      <c r="AA345" s="287"/>
      <c r="AB345" s="287"/>
      <c r="AC345" s="293">
        <f>'Unit Savings Calculations'!N341</f>
        <v>1417.7013369898457</v>
      </c>
      <c r="AD345" s="287"/>
      <c r="AE345" s="292">
        <f t="shared" si="161"/>
        <v>0</v>
      </c>
      <c r="AF345" s="289">
        <f t="shared" si="162"/>
        <v>0</v>
      </c>
      <c r="AG345" s="287"/>
      <c r="AH345" s="287">
        <f t="shared" si="163"/>
        <v>0</v>
      </c>
      <c r="AI345" s="290">
        <f>'Unit Savings Calculations'!O341</f>
        <v>1417.7013369898457</v>
      </c>
      <c r="AJ345" s="287" t="s">
        <v>872</v>
      </c>
      <c r="AK345" s="292">
        <f t="shared" si="164"/>
        <v>0</v>
      </c>
      <c r="AL345" s="289">
        <f t="shared" si="165"/>
        <v>0</v>
      </c>
      <c r="AM345" s="287"/>
      <c r="AN345" s="287"/>
      <c r="AO345" s="290">
        <f>'Unit Savings Calculations'!P341</f>
        <v>1417.7013369898457</v>
      </c>
      <c r="AP345" s="287" t="s">
        <v>764</v>
      </c>
      <c r="AQ345" s="292">
        <f t="shared" si="166"/>
        <v>0</v>
      </c>
      <c r="AR345" s="289">
        <f t="shared" si="167"/>
        <v>0</v>
      </c>
      <c r="AS345" s="287"/>
      <c r="AT345" s="287"/>
      <c r="AU345" s="290">
        <f>'Unit Savings Calculations'!Q341</f>
        <v>1417.7013369898457</v>
      </c>
      <c r="AV345" s="287" t="str">
        <f t="shared" si="154"/>
        <v>n/a</v>
      </c>
      <c r="AW345" s="292">
        <f t="shared" si="168"/>
        <v>0</v>
      </c>
      <c r="AX345" s="289">
        <f t="shared" si="169"/>
        <v>0</v>
      </c>
      <c r="AY345" s="292">
        <f t="shared" si="155"/>
        <v>0</v>
      </c>
      <c r="AZ345" s="292">
        <f t="shared" si="156"/>
        <v>0</v>
      </c>
      <c r="BA345" s="292">
        <f t="shared" si="157"/>
        <v>0</v>
      </c>
      <c r="BB345" s="292">
        <f t="shared" si="158"/>
        <v>0</v>
      </c>
      <c r="BC345" s="294">
        <f t="shared" si="159"/>
        <v>0</v>
      </c>
      <c r="BD345" s="287" t="s">
        <v>764</v>
      </c>
      <c r="BE345" s="295" t="str">
        <f t="shared" si="160"/>
        <v>Exhibit 1.5B_R Peoples Gas EEPS_Adjustable_Savings_Goal_Template.xlsx, Food Equipment Tab</v>
      </c>
      <c r="BF345" s="297"/>
    </row>
    <row r="346" spans="1:58" ht="13.5" customHeight="1">
      <c r="A346" s="287" t="str">
        <f>'Unit Savings Calculations'!C342</f>
        <v>Bus - Public Rebates</v>
      </c>
      <c r="B346" s="287" t="str">
        <f>'Unit Savings Calculations'!D342</f>
        <v>Energy Star Steamer - 6 Pans</v>
      </c>
      <c r="C346" s="288">
        <f t="shared" si="147"/>
        <v>1</v>
      </c>
      <c r="D346" s="287" t="str">
        <f>'Unit Savings Calculations'!T342</f>
        <v>4.2.3</v>
      </c>
      <c r="E346" s="287">
        <f>INDEX('Unit Savings Calculations'!$H$4:$H$421,MATCH('Measure-Level Adjustments Tab'!$A346&amp;"_"&amp;'Measure-Level Adjustments Tab'!$B346,'Unit Savings Calculations'!$A$4:$A$421,0))</f>
        <v>12</v>
      </c>
      <c r="F346" s="287">
        <f>INDEX('Unit Savings Calculations'!$I$4:$I$421,MATCH('Measure-Level Adjustments Tab'!A346&amp;"_"&amp;'Measure-Level Adjustments Tab'!B346,'Unit Savings Calculations'!$A$4:$A$421,0))</f>
        <v>12</v>
      </c>
      <c r="G346" s="287" t="str">
        <f>'Unit Savings Calculations'!E342</f>
        <v>each</v>
      </c>
      <c r="H346" s="289">
        <f>'Unit Savings Calculations'!$F342*'Unit Savings Calculations'!J342</f>
        <v>0</v>
      </c>
      <c r="I346" s="289">
        <f>'Unit Savings Calculations'!$F342*'Unit Savings Calculations'!K342</f>
        <v>0</v>
      </c>
      <c r="J346" s="289">
        <f>'Unit Savings Calculations'!$F342*'Unit Savings Calculations'!L342</f>
        <v>0</v>
      </c>
      <c r="K346" s="289">
        <f>'Unit Savings Calculations'!$F342*'Unit Savings Calculations'!M342</f>
        <v>0</v>
      </c>
      <c r="L346" s="287" t="str">
        <f>'Unit Savings Calculations'!U342</f>
        <v>CI-FSE-STMC-V04-160601</v>
      </c>
      <c r="M346" s="363" t="s">
        <v>827</v>
      </c>
      <c r="N346" s="290">
        <v>1503.8794358667649</v>
      </c>
      <c r="O346" s="290">
        <v>1503.8794358667649</v>
      </c>
      <c r="P346" s="290">
        <v>1503.8794358667649</v>
      </c>
      <c r="Q346" s="290">
        <v>1503.8794358667649</v>
      </c>
      <c r="R346" s="291">
        <f>'Unit Savings Calculations'!$G342</f>
        <v>0.79</v>
      </c>
      <c r="S346" s="291">
        <f>'Unit Savings Calculations'!$G342</f>
        <v>0.79</v>
      </c>
      <c r="T346" s="291">
        <f>'Unit Savings Calculations'!$G342</f>
        <v>0.79</v>
      </c>
      <c r="U346" s="291">
        <f>'Unit Savings Calculations'!$G342</f>
        <v>0.79</v>
      </c>
      <c r="V346" s="292">
        <f t="shared" si="148"/>
        <v>0</v>
      </c>
      <c r="W346" s="292">
        <f t="shared" si="149"/>
        <v>0</v>
      </c>
      <c r="X346" s="292">
        <f t="shared" si="150"/>
        <v>0</v>
      </c>
      <c r="Y346" s="292">
        <f t="shared" si="151"/>
        <v>0</v>
      </c>
      <c r="Z346" s="292">
        <f t="shared" si="152"/>
        <v>0</v>
      </c>
      <c r="AA346" s="287"/>
      <c r="AB346" s="287"/>
      <c r="AC346" s="293">
        <f>'Unit Savings Calculations'!N342</f>
        <v>1672.9098308667649</v>
      </c>
      <c r="AD346" s="287"/>
      <c r="AE346" s="292">
        <f t="shared" si="161"/>
        <v>0</v>
      </c>
      <c r="AF346" s="289">
        <f t="shared" si="162"/>
        <v>0</v>
      </c>
      <c r="AG346" s="287"/>
      <c r="AH346" s="287">
        <f t="shared" si="163"/>
        <v>0</v>
      </c>
      <c r="AI346" s="290">
        <f>'Unit Savings Calculations'!O342</f>
        <v>1672.9098308667649</v>
      </c>
      <c r="AJ346" s="287" t="s">
        <v>872</v>
      </c>
      <c r="AK346" s="292">
        <f t="shared" si="164"/>
        <v>0</v>
      </c>
      <c r="AL346" s="289">
        <f t="shared" si="165"/>
        <v>0</v>
      </c>
      <c r="AM346" s="287"/>
      <c r="AN346" s="287"/>
      <c r="AO346" s="290">
        <f>'Unit Savings Calculations'!P342</f>
        <v>1672.9098308667649</v>
      </c>
      <c r="AP346" s="287" t="s">
        <v>764</v>
      </c>
      <c r="AQ346" s="292">
        <f t="shared" si="166"/>
        <v>0</v>
      </c>
      <c r="AR346" s="289">
        <f t="shared" si="167"/>
        <v>0</v>
      </c>
      <c r="AS346" s="287"/>
      <c r="AT346" s="287"/>
      <c r="AU346" s="290">
        <f>'Unit Savings Calculations'!Q342</f>
        <v>1672.9098308667649</v>
      </c>
      <c r="AV346" s="287" t="str">
        <f t="shared" si="154"/>
        <v>n/a</v>
      </c>
      <c r="AW346" s="292">
        <f t="shared" si="168"/>
        <v>0</v>
      </c>
      <c r="AX346" s="289">
        <f t="shared" si="169"/>
        <v>0</v>
      </c>
      <c r="AY346" s="292">
        <f t="shared" si="155"/>
        <v>0</v>
      </c>
      <c r="AZ346" s="292">
        <f t="shared" si="156"/>
        <v>0</v>
      </c>
      <c r="BA346" s="292">
        <f t="shared" si="157"/>
        <v>0</v>
      </c>
      <c r="BB346" s="292">
        <f t="shared" si="158"/>
        <v>0</v>
      </c>
      <c r="BC346" s="294">
        <f t="shared" si="159"/>
        <v>0</v>
      </c>
      <c r="BD346" s="287" t="s">
        <v>764</v>
      </c>
      <c r="BE346" s="295" t="str">
        <f t="shared" si="160"/>
        <v>Exhibit 1.5B_R Peoples Gas EEPS_Adjustable_Savings_Goal_Template.xlsx, Food Equipment Tab</v>
      </c>
      <c r="BF346" s="297"/>
    </row>
    <row r="347" spans="1:58" ht="13.5" customHeight="1">
      <c r="A347" s="287" t="str">
        <f>'Unit Savings Calculations'!C343</f>
        <v>Bus - Public Rebates</v>
      </c>
      <c r="B347" s="287" t="str">
        <f>'Unit Savings Calculations'!D343</f>
        <v>Heat Recovery Grease Trap Filter</v>
      </c>
      <c r="C347" s="288">
        <f t="shared" si="147"/>
        <v>1</v>
      </c>
      <c r="D347" s="287" t="str">
        <f>'Unit Savings Calculations'!T343</f>
        <v>4.3.9</v>
      </c>
      <c r="E347" s="287">
        <f>INDEX('Unit Savings Calculations'!$H$4:$H$421,MATCH('Measure-Level Adjustments Tab'!$A347&amp;"_"&amp;'Measure-Level Adjustments Tab'!$B347,'Unit Savings Calculations'!$A$4:$A$421,0))</f>
        <v>15</v>
      </c>
      <c r="F347" s="287">
        <f>INDEX('Unit Savings Calculations'!$I$4:$I$421,MATCH('Measure-Level Adjustments Tab'!A347&amp;"_"&amp;'Measure-Level Adjustments Tab'!B347,'Unit Savings Calculations'!$A$4:$A$421,0))</f>
        <v>15</v>
      </c>
      <c r="G347" s="287" t="str">
        <f>'Unit Savings Calculations'!E343</f>
        <v>each</v>
      </c>
      <c r="H347" s="289">
        <f>'Unit Savings Calculations'!$F343*'Unit Savings Calculations'!J343</f>
        <v>8</v>
      </c>
      <c r="I347" s="289">
        <f>'Unit Savings Calculations'!$F343*'Unit Savings Calculations'!K343</f>
        <v>8</v>
      </c>
      <c r="J347" s="289">
        <f>'Unit Savings Calculations'!$F343*'Unit Savings Calculations'!L343</f>
        <v>8</v>
      </c>
      <c r="K347" s="289">
        <f>'Unit Savings Calculations'!$F343*'Unit Savings Calculations'!M343</f>
        <v>8</v>
      </c>
      <c r="L347" s="287" t="str">
        <f>'Unit Savings Calculations'!U343</f>
        <v>CI-HW-GRTF-V01-160601</v>
      </c>
      <c r="M347" s="363" t="s">
        <v>830</v>
      </c>
      <c r="N347" s="290">
        <v>1757.3025600000001</v>
      </c>
      <c r="O347" s="290">
        <v>1757.3025600000001</v>
      </c>
      <c r="P347" s="290">
        <v>1757.3025600000001</v>
      </c>
      <c r="Q347" s="290">
        <v>1757.3025600000001</v>
      </c>
      <c r="R347" s="291">
        <f>'Unit Savings Calculations'!$G343</f>
        <v>0.79</v>
      </c>
      <c r="S347" s="291">
        <f>'Unit Savings Calculations'!$G343</f>
        <v>0.79</v>
      </c>
      <c r="T347" s="291">
        <f>'Unit Savings Calculations'!$G343</f>
        <v>0.79</v>
      </c>
      <c r="U347" s="291">
        <f>'Unit Savings Calculations'!$G343</f>
        <v>0.79</v>
      </c>
      <c r="V347" s="292">
        <f t="shared" si="148"/>
        <v>11106.1521792</v>
      </c>
      <c r="W347" s="292">
        <f t="shared" si="149"/>
        <v>11106.1521792</v>
      </c>
      <c r="X347" s="292">
        <f t="shared" si="150"/>
        <v>11106.1521792</v>
      </c>
      <c r="Y347" s="292">
        <f t="shared" si="151"/>
        <v>11106.1521792</v>
      </c>
      <c r="Z347" s="292">
        <f t="shared" si="152"/>
        <v>44424.608716800001</v>
      </c>
      <c r="AA347" s="287"/>
      <c r="AB347" s="287"/>
      <c r="AC347" s="293">
        <f>'Unit Savings Calculations'!N343</f>
        <v>1757.3025600000001</v>
      </c>
      <c r="AD347" s="287"/>
      <c r="AE347" s="292">
        <f t="shared" si="161"/>
        <v>11106.1521792</v>
      </c>
      <c r="AF347" s="289">
        <f t="shared" si="162"/>
        <v>0</v>
      </c>
      <c r="AG347" s="287"/>
      <c r="AH347" s="287">
        <f t="shared" si="163"/>
        <v>0</v>
      </c>
      <c r="AI347" s="290">
        <f>'Unit Savings Calculations'!O343</f>
        <v>1757.3025600000001</v>
      </c>
      <c r="AJ347" s="287" t="s">
        <v>872</v>
      </c>
      <c r="AK347" s="292">
        <f t="shared" si="164"/>
        <v>11106.1521792</v>
      </c>
      <c r="AL347" s="289">
        <f t="shared" si="165"/>
        <v>0</v>
      </c>
      <c r="AM347" s="287"/>
      <c r="AN347" s="287"/>
      <c r="AO347" s="290">
        <f>'Unit Savings Calculations'!P343</f>
        <v>1757.3025600000001</v>
      </c>
      <c r="AP347" s="287" t="s">
        <v>764</v>
      </c>
      <c r="AQ347" s="292">
        <f t="shared" si="166"/>
        <v>11106.1521792</v>
      </c>
      <c r="AR347" s="289">
        <f t="shared" si="167"/>
        <v>0</v>
      </c>
      <c r="AS347" s="287"/>
      <c r="AT347" s="287"/>
      <c r="AU347" s="290">
        <f>'Unit Savings Calculations'!Q343</f>
        <v>1757.3025600000001</v>
      </c>
      <c r="AV347" s="287" t="str">
        <f t="shared" si="154"/>
        <v>n/a</v>
      </c>
      <c r="AW347" s="292">
        <f t="shared" si="168"/>
        <v>11106.1521792</v>
      </c>
      <c r="AX347" s="289">
        <f t="shared" si="169"/>
        <v>0</v>
      </c>
      <c r="AY347" s="292">
        <f t="shared" si="155"/>
        <v>11106.1521792</v>
      </c>
      <c r="AZ347" s="292">
        <f t="shared" si="156"/>
        <v>11106.1521792</v>
      </c>
      <c r="BA347" s="292">
        <f t="shared" si="157"/>
        <v>11106.1521792</v>
      </c>
      <c r="BB347" s="292">
        <f t="shared" si="158"/>
        <v>11106.1521792</v>
      </c>
      <c r="BC347" s="294">
        <f t="shared" si="159"/>
        <v>44424.608716800001</v>
      </c>
      <c r="BD347" s="287" t="s">
        <v>764</v>
      </c>
      <c r="BE347" s="295" t="str">
        <f t="shared" si="160"/>
        <v>Exhibit 1.5B_R Peoples Gas EEPS_Adjustable_Savings_Goal_Template.xlsx, Unit Savings Calculations Tab</v>
      </c>
      <c r="BF347" s="297"/>
    </row>
    <row r="348" spans="1:58" ht="13.5" customHeight="1">
      <c r="A348" s="287" t="str">
        <f>'Unit Savings Calculations'!C344</f>
        <v>Bus - Public Rebates</v>
      </c>
      <c r="B348" s="287" t="str">
        <f>'Unit Savings Calculations'!D344</f>
        <v>Infrared Charbroiler</v>
      </c>
      <c r="C348" s="288">
        <f t="shared" si="147"/>
        <v>1</v>
      </c>
      <c r="D348" s="287" t="str">
        <f>'Unit Savings Calculations'!T344</f>
        <v>4.2.12</v>
      </c>
      <c r="E348" s="287">
        <f>INDEX('Unit Savings Calculations'!$H$4:$H$421,MATCH('Measure-Level Adjustments Tab'!$A348&amp;"_"&amp;'Measure-Level Adjustments Tab'!$B348,'Unit Savings Calculations'!$A$4:$A$421,0))</f>
        <v>12</v>
      </c>
      <c r="F348" s="287">
        <f>INDEX('Unit Savings Calculations'!$I$4:$I$421,MATCH('Measure-Level Adjustments Tab'!A348&amp;"_"&amp;'Measure-Level Adjustments Tab'!B348,'Unit Savings Calculations'!$A$4:$A$421,0))</f>
        <v>12</v>
      </c>
      <c r="G348" s="287" t="str">
        <f>'Unit Savings Calculations'!E344</f>
        <v>each</v>
      </c>
      <c r="H348" s="289">
        <f>'Unit Savings Calculations'!$F344*'Unit Savings Calculations'!J344</f>
        <v>5</v>
      </c>
      <c r="I348" s="289">
        <f>'Unit Savings Calculations'!$F344*'Unit Savings Calculations'!K344</f>
        <v>5</v>
      </c>
      <c r="J348" s="289">
        <f>'Unit Savings Calculations'!$F344*'Unit Savings Calculations'!L344</f>
        <v>5</v>
      </c>
      <c r="K348" s="289">
        <f>'Unit Savings Calculations'!$F344*'Unit Savings Calculations'!M344</f>
        <v>5</v>
      </c>
      <c r="L348" s="287" t="str">
        <f>'Unit Savings Calculations'!U344</f>
        <v>CI-FSE-IRCB-V02-180101</v>
      </c>
      <c r="M348" s="363" t="s">
        <v>830</v>
      </c>
      <c r="N348" s="290">
        <v>706.68</v>
      </c>
      <c r="O348" s="290">
        <v>706.68</v>
      </c>
      <c r="P348" s="290">
        <v>706.68</v>
      </c>
      <c r="Q348" s="290">
        <v>706.68</v>
      </c>
      <c r="R348" s="291">
        <f>'Unit Savings Calculations'!$G344</f>
        <v>0.79</v>
      </c>
      <c r="S348" s="291">
        <f>'Unit Savings Calculations'!$G344</f>
        <v>0.79</v>
      </c>
      <c r="T348" s="291">
        <f>'Unit Savings Calculations'!$G344</f>
        <v>0.79</v>
      </c>
      <c r="U348" s="291">
        <f>'Unit Savings Calculations'!$G344</f>
        <v>0.79</v>
      </c>
      <c r="V348" s="292">
        <f t="shared" si="148"/>
        <v>2791.386</v>
      </c>
      <c r="W348" s="292">
        <f t="shared" si="149"/>
        <v>2791.386</v>
      </c>
      <c r="X348" s="292">
        <f t="shared" si="150"/>
        <v>2791.386</v>
      </c>
      <c r="Y348" s="292">
        <f t="shared" si="151"/>
        <v>2791.386</v>
      </c>
      <c r="Z348" s="292">
        <f t="shared" si="152"/>
        <v>11165.544</v>
      </c>
      <c r="AA348" s="287"/>
      <c r="AB348" s="287"/>
      <c r="AC348" s="293">
        <f>'Unit Savings Calculations'!N344</f>
        <v>706.68</v>
      </c>
      <c r="AD348" s="287"/>
      <c r="AE348" s="292">
        <f t="shared" si="161"/>
        <v>2791.386</v>
      </c>
      <c r="AF348" s="289">
        <f t="shared" si="162"/>
        <v>0</v>
      </c>
      <c r="AG348" s="287"/>
      <c r="AH348" s="287">
        <f t="shared" si="163"/>
        <v>0</v>
      </c>
      <c r="AI348" s="290">
        <f>'Unit Savings Calculations'!O344</f>
        <v>706.68</v>
      </c>
      <c r="AJ348" s="287" t="s">
        <v>872</v>
      </c>
      <c r="AK348" s="292">
        <f t="shared" si="164"/>
        <v>2791.386</v>
      </c>
      <c r="AL348" s="289">
        <f t="shared" si="165"/>
        <v>0</v>
      </c>
      <c r="AM348" s="287"/>
      <c r="AN348" s="287"/>
      <c r="AO348" s="290">
        <f>'Unit Savings Calculations'!P344</f>
        <v>706.68</v>
      </c>
      <c r="AP348" s="287" t="s">
        <v>764</v>
      </c>
      <c r="AQ348" s="292">
        <f t="shared" si="166"/>
        <v>2791.386</v>
      </c>
      <c r="AR348" s="289">
        <f t="shared" si="167"/>
        <v>0</v>
      </c>
      <c r="AS348" s="287"/>
      <c r="AT348" s="287"/>
      <c r="AU348" s="290">
        <f>'Unit Savings Calculations'!Q344</f>
        <v>706.68</v>
      </c>
      <c r="AV348" s="287" t="str">
        <f t="shared" si="154"/>
        <v>n/a</v>
      </c>
      <c r="AW348" s="292">
        <f t="shared" si="168"/>
        <v>2791.386</v>
      </c>
      <c r="AX348" s="289">
        <f t="shared" si="169"/>
        <v>0</v>
      </c>
      <c r="AY348" s="292">
        <f t="shared" si="155"/>
        <v>2791.386</v>
      </c>
      <c r="AZ348" s="292">
        <f t="shared" si="156"/>
        <v>2791.386</v>
      </c>
      <c r="BA348" s="292">
        <f t="shared" si="157"/>
        <v>2791.386</v>
      </c>
      <c r="BB348" s="292">
        <f t="shared" si="158"/>
        <v>2791.386</v>
      </c>
      <c r="BC348" s="294">
        <f t="shared" si="159"/>
        <v>11165.544</v>
      </c>
      <c r="BD348" s="287" t="s">
        <v>764</v>
      </c>
      <c r="BE348" s="295" t="str">
        <f t="shared" si="160"/>
        <v>Exhibit 1.5B_R Peoples Gas EEPS_Adjustable_Savings_Goal_Template.xlsx, Unit Savings Calculations Tab</v>
      </c>
      <c r="BF348" s="297"/>
    </row>
    <row r="349" spans="1:58" ht="13.5" customHeight="1">
      <c r="A349" s="287" t="str">
        <f>'Unit Savings Calculations'!C345</f>
        <v>Bus - Public Rebates</v>
      </c>
      <c r="B349" s="287" t="str">
        <f>'Unit Savings Calculations'!D345</f>
        <v>Infrared Rotisserie Oven</v>
      </c>
      <c r="C349" s="288">
        <f t="shared" ref="C349:C412" si="170">IF(D349="Custom",0,1)</f>
        <v>1</v>
      </c>
      <c r="D349" s="287" t="str">
        <f>'Unit Savings Calculations'!T345</f>
        <v>4.2.13</v>
      </c>
      <c r="E349" s="287">
        <f>INDEX('Unit Savings Calculations'!$H$4:$H$421,MATCH('Measure-Level Adjustments Tab'!$A349&amp;"_"&amp;'Measure-Level Adjustments Tab'!$B349,'Unit Savings Calculations'!$A$4:$A$421,0))</f>
        <v>12</v>
      </c>
      <c r="F349" s="287">
        <f>INDEX('Unit Savings Calculations'!$I$4:$I$421,MATCH('Measure-Level Adjustments Tab'!A349&amp;"_"&amp;'Measure-Level Adjustments Tab'!B349,'Unit Savings Calculations'!$A$4:$A$421,0))</f>
        <v>12</v>
      </c>
      <c r="G349" s="287" t="str">
        <f>'Unit Savings Calculations'!E345</f>
        <v>each</v>
      </c>
      <c r="H349" s="289">
        <f>'Unit Savings Calculations'!$F345*'Unit Savings Calculations'!J345</f>
        <v>4</v>
      </c>
      <c r="I349" s="289">
        <f>'Unit Savings Calculations'!$F345*'Unit Savings Calculations'!K345</f>
        <v>4</v>
      </c>
      <c r="J349" s="289">
        <f>'Unit Savings Calculations'!$F345*'Unit Savings Calculations'!L345</f>
        <v>4</v>
      </c>
      <c r="K349" s="289">
        <f>'Unit Savings Calculations'!$F345*'Unit Savings Calculations'!M345</f>
        <v>4</v>
      </c>
      <c r="L349" s="287" t="str">
        <f>'Unit Savings Calculations'!U345</f>
        <v>CI-FSE-IROV-V02-180101</v>
      </c>
      <c r="M349" s="363" t="s">
        <v>830</v>
      </c>
      <c r="N349" s="290">
        <v>599.04</v>
      </c>
      <c r="O349" s="290">
        <v>599.04</v>
      </c>
      <c r="P349" s="290">
        <v>599.04</v>
      </c>
      <c r="Q349" s="290">
        <v>599.04</v>
      </c>
      <c r="R349" s="291">
        <f>'Unit Savings Calculations'!$G345</f>
        <v>0.79</v>
      </c>
      <c r="S349" s="291">
        <f>'Unit Savings Calculations'!$G345</f>
        <v>0.79</v>
      </c>
      <c r="T349" s="291">
        <f>'Unit Savings Calculations'!$G345</f>
        <v>0.79</v>
      </c>
      <c r="U349" s="291">
        <f>'Unit Savings Calculations'!$G345</f>
        <v>0.79</v>
      </c>
      <c r="V349" s="292">
        <f t="shared" si="148"/>
        <v>1892.9664</v>
      </c>
      <c r="W349" s="292">
        <f t="shared" si="149"/>
        <v>1892.9664</v>
      </c>
      <c r="X349" s="292">
        <f t="shared" si="150"/>
        <v>1892.9664</v>
      </c>
      <c r="Y349" s="292">
        <f t="shared" si="151"/>
        <v>1892.9664</v>
      </c>
      <c r="Z349" s="292">
        <f t="shared" si="152"/>
        <v>7571.8656000000001</v>
      </c>
      <c r="AA349" s="287"/>
      <c r="AB349" s="287"/>
      <c r="AC349" s="293">
        <f>'Unit Savings Calculations'!N345</f>
        <v>599.04</v>
      </c>
      <c r="AD349" s="287"/>
      <c r="AE349" s="292">
        <f t="shared" si="161"/>
        <v>1892.9664</v>
      </c>
      <c r="AF349" s="289">
        <f t="shared" si="162"/>
        <v>0</v>
      </c>
      <c r="AG349" s="287"/>
      <c r="AH349" s="287">
        <f t="shared" si="163"/>
        <v>0</v>
      </c>
      <c r="AI349" s="290">
        <f>'Unit Savings Calculations'!O345</f>
        <v>599.04</v>
      </c>
      <c r="AJ349" s="287" t="s">
        <v>872</v>
      </c>
      <c r="AK349" s="292">
        <f t="shared" si="164"/>
        <v>1892.9664</v>
      </c>
      <c r="AL349" s="289">
        <f t="shared" si="165"/>
        <v>0</v>
      </c>
      <c r="AM349" s="287"/>
      <c r="AN349" s="287"/>
      <c r="AO349" s="290">
        <f>'Unit Savings Calculations'!P345</f>
        <v>599.04</v>
      </c>
      <c r="AP349" s="287" t="s">
        <v>764</v>
      </c>
      <c r="AQ349" s="292">
        <f t="shared" si="166"/>
        <v>1892.9664</v>
      </c>
      <c r="AR349" s="289">
        <f t="shared" si="167"/>
        <v>0</v>
      </c>
      <c r="AS349" s="287"/>
      <c r="AT349" s="287"/>
      <c r="AU349" s="290">
        <f>'Unit Savings Calculations'!Q345</f>
        <v>599.04</v>
      </c>
      <c r="AV349" s="287" t="str">
        <f t="shared" si="154"/>
        <v>n/a</v>
      </c>
      <c r="AW349" s="292">
        <f t="shared" si="168"/>
        <v>1892.9664</v>
      </c>
      <c r="AX349" s="289">
        <f t="shared" si="169"/>
        <v>0</v>
      </c>
      <c r="AY349" s="292">
        <f t="shared" si="155"/>
        <v>1892.9664</v>
      </c>
      <c r="AZ349" s="292">
        <f t="shared" si="156"/>
        <v>1892.9664</v>
      </c>
      <c r="BA349" s="292">
        <f t="shared" si="157"/>
        <v>1892.9664</v>
      </c>
      <c r="BB349" s="292">
        <f t="shared" si="158"/>
        <v>1892.9664</v>
      </c>
      <c r="BC349" s="294">
        <f t="shared" si="159"/>
        <v>7571.8656000000001</v>
      </c>
      <c r="BD349" s="287" t="s">
        <v>764</v>
      </c>
      <c r="BE349" s="295" t="str">
        <f t="shared" si="160"/>
        <v>Exhibit 1.5B_R Peoples Gas EEPS_Adjustable_Savings_Goal_Template.xlsx, Unit Savings Calculations Tab</v>
      </c>
      <c r="BF349" s="297"/>
    </row>
    <row r="350" spans="1:58" ht="13.5" customHeight="1">
      <c r="A350" s="287" t="str">
        <f>'Unit Savings Calculations'!C346</f>
        <v>Bus - Public Rebates</v>
      </c>
      <c r="B350" s="287" t="str">
        <f>'Unit Savings Calculations'!D346</f>
        <v>Infrared Salamander Broiler</v>
      </c>
      <c r="C350" s="288">
        <f t="shared" si="170"/>
        <v>1</v>
      </c>
      <c r="D350" s="287" t="str">
        <f>'Unit Savings Calculations'!T346</f>
        <v>4.2.14</v>
      </c>
      <c r="E350" s="287">
        <f>INDEX('Unit Savings Calculations'!$H$4:$H$421,MATCH('Measure-Level Adjustments Tab'!$A350&amp;"_"&amp;'Measure-Level Adjustments Tab'!$B350,'Unit Savings Calculations'!$A$4:$A$421,0))</f>
        <v>12</v>
      </c>
      <c r="F350" s="287">
        <f>INDEX('Unit Savings Calculations'!$I$4:$I$421,MATCH('Measure-Level Adjustments Tab'!A350&amp;"_"&amp;'Measure-Level Adjustments Tab'!B350,'Unit Savings Calculations'!$A$4:$A$421,0))</f>
        <v>12</v>
      </c>
      <c r="G350" s="287" t="str">
        <f>'Unit Savings Calculations'!E346</f>
        <v>each</v>
      </c>
      <c r="H350" s="289">
        <f>'Unit Savings Calculations'!$F346*'Unit Savings Calculations'!J346</f>
        <v>0</v>
      </c>
      <c r="I350" s="289">
        <f>'Unit Savings Calculations'!$F346*'Unit Savings Calculations'!K346</f>
        <v>0</v>
      </c>
      <c r="J350" s="289">
        <f>'Unit Savings Calculations'!$F346*'Unit Savings Calculations'!L346</f>
        <v>0</v>
      </c>
      <c r="K350" s="289">
        <f>'Unit Savings Calculations'!$F346*'Unit Savings Calculations'!M346</f>
        <v>0</v>
      </c>
      <c r="L350" s="287" t="str">
        <f>'Unit Savings Calculations'!U346</f>
        <v>CI-FSE-IRBL-V02-180101</v>
      </c>
      <c r="M350" s="363" t="s">
        <v>830</v>
      </c>
      <c r="N350" s="290">
        <v>240.24</v>
      </c>
      <c r="O350" s="290">
        <v>240.24</v>
      </c>
      <c r="P350" s="290">
        <v>240.24</v>
      </c>
      <c r="Q350" s="290">
        <v>240.24</v>
      </c>
      <c r="R350" s="291">
        <f>'Unit Savings Calculations'!$G346</f>
        <v>0.79</v>
      </c>
      <c r="S350" s="291">
        <f>'Unit Savings Calculations'!$G346</f>
        <v>0.79</v>
      </c>
      <c r="T350" s="291">
        <f>'Unit Savings Calculations'!$G346</f>
        <v>0.79</v>
      </c>
      <c r="U350" s="291">
        <f>'Unit Savings Calculations'!$G346</f>
        <v>0.79</v>
      </c>
      <c r="V350" s="292">
        <f t="shared" ref="V350:V413" si="171">H350*N350*R350</f>
        <v>0</v>
      </c>
      <c r="W350" s="292">
        <f t="shared" ref="W350:W413" si="172">I350*O350*S350</f>
        <v>0</v>
      </c>
      <c r="X350" s="292">
        <f t="shared" ref="X350:X413" si="173">J350*P350*T350</f>
        <v>0</v>
      </c>
      <c r="Y350" s="292">
        <f t="shared" ref="Y350:Y413" si="174">K350*Q350*U350</f>
        <v>0</v>
      </c>
      <c r="Z350" s="292">
        <f t="shared" ref="Z350:Z413" si="175">V350+W350+X350+Y350</f>
        <v>0</v>
      </c>
      <c r="AA350" s="287"/>
      <c r="AB350" s="287"/>
      <c r="AC350" s="293">
        <f>'Unit Savings Calculations'!N346</f>
        <v>240.24</v>
      </c>
      <c r="AD350" s="287"/>
      <c r="AE350" s="292">
        <f t="shared" si="161"/>
        <v>0</v>
      </c>
      <c r="AF350" s="289">
        <f t="shared" si="162"/>
        <v>0</v>
      </c>
      <c r="AG350" s="287"/>
      <c r="AH350" s="287">
        <f t="shared" si="163"/>
        <v>0</v>
      </c>
      <c r="AI350" s="290">
        <f>'Unit Savings Calculations'!O346</f>
        <v>240.24</v>
      </c>
      <c r="AJ350" s="287" t="s">
        <v>872</v>
      </c>
      <c r="AK350" s="292">
        <f t="shared" si="164"/>
        <v>0</v>
      </c>
      <c r="AL350" s="289">
        <f t="shared" si="165"/>
        <v>0</v>
      </c>
      <c r="AM350" s="287"/>
      <c r="AN350" s="287"/>
      <c r="AO350" s="290">
        <f>'Unit Savings Calculations'!P346</f>
        <v>240.24</v>
      </c>
      <c r="AP350" s="287" t="s">
        <v>764</v>
      </c>
      <c r="AQ350" s="292">
        <f t="shared" si="166"/>
        <v>0</v>
      </c>
      <c r="AR350" s="289">
        <f t="shared" si="167"/>
        <v>0</v>
      </c>
      <c r="AS350" s="287"/>
      <c r="AT350" s="287"/>
      <c r="AU350" s="290">
        <f>'Unit Savings Calculations'!Q346</f>
        <v>240.24</v>
      </c>
      <c r="AV350" s="287" t="str">
        <f t="shared" si="154"/>
        <v>n/a</v>
      </c>
      <c r="AW350" s="292">
        <f t="shared" si="168"/>
        <v>0</v>
      </c>
      <c r="AX350" s="289">
        <f t="shared" si="169"/>
        <v>0</v>
      </c>
      <c r="AY350" s="292">
        <f t="shared" si="155"/>
        <v>0</v>
      </c>
      <c r="AZ350" s="292">
        <f t="shared" si="156"/>
        <v>0</v>
      </c>
      <c r="BA350" s="292">
        <f t="shared" si="157"/>
        <v>0</v>
      </c>
      <c r="BB350" s="292">
        <f t="shared" si="158"/>
        <v>0</v>
      </c>
      <c r="BC350" s="294">
        <f t="shared" si="159"/>
        <v>0</v>
      </c>
      <c r="BD350" s="287" t="s">
        <v>764</v>
      </c>
      <c r="BE350" s="295" t="str">
        <f t="shared" si="160"/>
        <v>Exhibit 1.5B_R Peoples Gas EEPS_Adjustable_Savings_Goal_Template.xlsx, Unit Savings Calculations Tab</v>
      </c>
      <c r="BF350" s="297"/>
    </row>
    <row r="351" spans="1:58" ht="13.5" customHeight="1">
      <c r="A351" s="287" t="str">
        <f>'Unit Savings Calculations'!C347</f>
        <v>Bus - Public Rebates</v>
      </c>
      <c r="B351" s="287" t="str">
        <f>'Unit Savings Calculations'!D347</f>
        <v>Infrared Upright Broiler</v>
      </c>
      <c r="C351" s="288">
        <f t="shared" si="170"/>
        <v>1</v>
      </c>
      <c r="D351" s="287" t="str">
        <f>'Unit Savings Calculations'!T347</f>
        <v>4.2.15</v>
      </c>
      <c r="E351" s="287">
        <f>INDEX('Unit Savings Calculations'!$H$4:$H$421,MATCH('Measure-Level Adjustments Tab'!$A351&amp;"_"&amp;'Measure-Level Adjustments Tab'!$B351,'Unit Savings Calculations'!$A$4:$A$421,0))</f>
        <v>12</v>
      </c>
      <c r="F351" s="287">
        <f>INDEX('Unit Savings Calculations'!$I$4:$I$421,MATCH('Measure-Level Adjustments Tab'!A351&amp;"_"&amp;'Measure-Level Adjustments Tab'!B351,'Unit Savings Calculations'!$A$4:$A$421,0))</f>
        <v>12</v>
      </c>
      <c r="G351" s="287" t="str">
        <f>'Unit Savings Calculations'!E347</f>
        <v>each</v>
      </c>
      <c r="H351" s="289">
        <f>'Unit Savings Calculations'!$F347*'Unit Savings Calculations'!J347</f>
        <v>0</v>
      </c>
      <c r="I351" s="289">
        <f>'Unit Savings Calculations'!$F347*'Unit Savings Calculations'!K347</f>
        <v>0</v>
      </c>
      <c r="J351" s="289">
        <f>'Unit Savings Calculations'!$F347*'Unit Savings Calculations'!L347</f>
        <v>0</v>
      </c>
      <c r="K351" s="289">
        <f>'Unit Savings Calculations'!$F347*'Unit Savings Calculations'!M347</f>
        <v>0</v>
      </c>
      <c r="L351" s="287" t="str">
        <f>'Unit Savings Calculations'!U347</f>
        <v>CI-FSE-IRUB-V02-180101</v>
      </c>
      <c r="M351" s="363" t="s">
        <v>830</v>
      </c>
      <c r="N351" s="290">
        <v>943.48800000000006</v>
      </c>
      <c r="O351" s="290">
        <v>943.48800000000006</v>
      </c>
      <c r="P351" s="290">
        <v>943.48800000000006</v>
      </c>
      <c r="Q351" s="290">
        <v>943.48800000000006</v>
      </c>
      <c r="R351" s="291">
        <f>'Unit Savings Calculations'!$G347</f>
        <v>0.79</v>
      </c>
      <c r="S351" s="291">
        <f>'Unit Savings Calculations'!$G347</f>
        <v>0.79</v>
      </c>
      <c r="T351" s="291">
        <f>'Unit Savings Calculations'!$G347</f>
        <v>0.79</v>
      </c>
      <c r="U351" s="291">
        <f>'Unit Savings Calculations'!$G347</f>
        <v>0.79</v>
      </c>
      <c r="V351" s="292">
        <f t="shared" si="171"/>
        <v>0</v>
      </c>
      <c r="W351" s="292">
        <f t="shared" si="172"/>
        <v>0</v>
      </c>
      <c r="X351" s="292">
        <f t="shared" si="173"/>
        <v>0</v>
      </c>
      <c r="Y351" s="292">
        <f t="shared" si="174"/>
        <v>0</v>
      </c>
      <c r="Z351" s="292">
        <f t="shared" si="175"/>
        <v>0</v>
      </c>
      <c r="AA351" s="287"/>
      <c r="AB351" s="287"/>
      <c r="AC351" s="293">
        <f>'Unit Savings Calculations'!N347</f>
        <v>943.48800000000006</v>
      </c>
      <c r="AD351" s="287"/>
      <c r="AE351" s="292">
        <f t="shared" si="161"/>
        <v>0</v>
      </c>
      <c r="AF351" s="289">
        <f t="shared" si="162"/>
        <v>0</v>
      </c>
      <c r="AG351" s="287"/>
      <c r="AH351" s="287">
        <f t="shared" si="163"/>
        <v>0</v>
      </c>
      <c r="AI351" s="290">
        <f>'Unit Savings Calculations'!O347</f>
        <v>943.48800000000006</v>
      </c>
      <c r="AJ351" s="287" t="s">
        <v>872</v>
      </c>
      <c r="AK351" s="292">
        <f t="shared" si="164"/>
        <v>0</v>
      </c>
      <c r="AL351" s="289">
        <f t="shared" si="165"/>
        <v>0</v>
      </c>
      <c r="AM351" s="287"/>
      <c r="AN351" s="287"/>
      <c r="AO351" s="290">
        <f>'Unit Savings Calculations'!P347</f>
        <v>943.48800000000006</v>
      </c>
      <c r="AP351" s="287" t="s">
        <v>764</v>
      </c>
      <c r="AQ351" s="292">
        <f t="shared" si="166"/>
        <v>0</v>
      </c>
      <c r="AR351" s="289">
        <f t="shared" si="167"/>
        <v>0</v>
      </c>
      <c r="AS351" s="287"/>
      <c r="AT351" s="287"/>
      <c r="AU351" s="290">
        <f>'Unit Savings Calculations'!Q347</f>
        <v>943.48800000000006</v>
      </c>
      <c r="AV351" s="287" t="str">
        <f t="shared" si="154"/>
        <v>n/a</v>
      </c>
      <c r="AW351" s="292">
        <f t="shared" si="168"/>
        <v>0</v>
      </c>
      <c r="AX351" s="289">
        <f t="shared" si="169"/>
        <v>0</v>
      </c>
      <c r="AY351" s="292">
        <f t="shared" si="155"/>
        <v>0</v>
      </c>
      <c r="AZ351" s="292">
        <f t="shared" si="156"/>
        <v>0</v>
      </c>
      <c r="BA351" s="292">
        <f t="shared" si="157"/>
        <v>0</v>
      </c>
      <c r="BB351" s="292">
        <f t="shared" si="158"/>
        <v>0</v>
      </c>
      <c r="BC351" s="294">
        <f t="shared" si="159"/>
        <v>0</v>
      </c>
      <c r="BD351" s="287" t="s">
        <v>764</v>
      </c>
      <c r="BE351" s="295" t="str">
        <f t="shared" si="160"/>
        <v>Exhibit 1.5B_R Peoples Gas EEPS_Adjustable_Savings_Goal_Template.xlsx, Unit Savings Calculations Tab</v>
      </c>
      <c r="BF351" s="297"/>
    </row>
    <row r="352" spans="1:58" ht="13.5" customHeight="1">
      <c r="A352" s="287" t="str">
        <f>'Unit Savings Calculations'!C348</f>
        <v>Bus - Public Rebates</v>
      </c>
      <c r="B352" s="287" t="str">
        <f>'Unit Savings Calculations'!D348</f>
        <v>CI Custom</v>
      </c>
      <c r="C352" s="288">
        <f t="shared" si="170"/>
        <v>0</v>
      </c>
      <c r="D352" s="287" t="str">
        <f>'Unit Savings Calculations'!T348</f>
        <v>Custom</v>
      </c>
      <c r="E352" s="287">
        <f>INDEX('Unit Savings Calculations'!$H$4:$H$421,MATCH('Measure-Level Adjustments Tab'!$A352&amp;"_"&amp;'Measure-Level Adjustments Tab'!$B352,'Unit Savings Calculations'!$A$4:$A$421,0))</f>
        <v>15</v>
      </c>
      <c r="F352" s="287">
        <f>INDEX('Unit Savings Calculations'!$I$4:$I$421,MATCH('Measure-Level Adjustments Tab'!A352&amp;"_"&amp;'Measure-Level Adjustments Tab'!B352,'Unit Savings Calculations'!$A$4:$A$421,0))</f>
        <v>15</v>
      </c>
      <c r="G352" s="287" t="str">
        <f>'Unit Savings Calculations'!E348</f>
        <v>each</v>
      </c>
      <c r="H352" s="289">
        <f>'Unit Savings Calculations'!$F348*'Unit Savings Calculations'!J348</f>
        <v>23</v>
      </c>
      <c r="I352" s="289">
        <f>'Unit Savings Calculations'!$F348*'Unit Savings Calculations'!K348</f>
        <v>23</v>
      </c>
      <c r="J352" s="289">
        <f>'Unit Savings Calculations'!$F348*'Unit Savings Calculations'!L348</f>
        <v>23</v>
      </c>
      <c r="K352" s="289">
        <f>'Unit Savings Calculations'!$F348*'Unit Savings Calculations'!M348</f>
        <v>23</v>
      </c>
      <c r="L352" s="287" t="str">
        <f>'Unit Savings Calculations'!U348</f>
        <v>Custom</v>
      </c>
      <c r="M352" s="287" t="str">
        <f>'Unit Savings Calculations'!S348</f>
        <v>Custom</v>
      </c>
      <c r="N352" s="290">
        <v>19720</v>
      </c>
      <c r="O352" s="290">
        <v>19720</v>
      </c>
      <c r="P352" s="290">
        <v>19720</v>
      </c>
      <c r="Q352" s="290">
        <v>19720</v>
      </c>
      <c r="R352" s="291">
        <f>'Unit Savings Calculations'!$G348</f>
        <v>0.69</v>
      </c>
      <c r="S352" s="291">
        <f>'Unit Savings Calculations'!$G348</f>
        <v>0.69</v>
      </c>
      <c r="T352" s="291">
        <f>'Unit Savings Calculations'!$G348</f>
        <v>0.69</v>
      </c>
      <c r="U352" s="291">
        <f>'Unit Savings Calculations'!$G348</f>
        <v>0.69</v>
      </c>
      <c r="V352" s="292">
        <f t="shared" si="171"/>
        <v>312956.39999999997</v>
      </c>
      <c r="W352" s="292">
        <f t="shared" si="172"/>
        <v>312956.39999999997</v>
      </c>
      <c r="X352" s="292">
        <f t="shared" si="173"/>
        <v>312956.39999999997</v>
      </c>
      <c r="Y352" s="292">
        <f t="shared" si="174"/>
        <v>312956.39999999997</v>
      </c>
      <c r="Z352" s="292">
        <f t="shared" si="175"/>
        <v>1251825.5999999999</v>
      </c>
      <c r="AA352" s="364"/>
      <c r="AB352" s="364"/>
      <c r="AC352" s="365">
        <f>'Unit Savings Calculations'!N348</f>
        <v>19720</v>
      </c>
      <c r="AD352" s="364"/>
      <c r="AE352" s="366">
        <f t="shared" si="161"/>
        <v>312956.39999999997</v>
      </c>
      <c r="AF352" s="367">
        <f t="shared" si="162"/>
        <v>0</v>
      </c>
      <c r="AG352" s="364"/>
      <c r="AH352" s="364">
        <f t="shared" si="163"/>
        <v>0</v>
      </c>
      <c r="AI352" s="368">
        <f>'Unit Savings Calculations'!O348</f>
        <v>19720</v>
      </c>
      <c r="AJ352" s="364" t="s">
        <v>872</v>
      </c>
      <c r="AK352" s="366">
        <f t="shared" si="164"/>
        <v>312956.39999999997</v>
      </c>
      <c r="AL352" s="367">
        <f t="shared" si="165"/>
        <v>0</v>
      </c>
      <c r="AM352" s="364"/>
      <c r="AN352" s="364"/>
      <c r="AO352" s="368">
        <f>'Unit Savings Calculations'!P348</f>
        <v>19720</v>
      </c>
      <c r="AP352" s="364" t="s">
        <v>764</v>
      </c>
      <c r="AQ352" s="366">
        <f t="shared" si="166"/>
        <v>312956.39999999997</v>
      </c>
      <c r="AR352" s="367">
        <f t="shared" si="167"/>
        <v>0</v>
      </c>
      <c r="AS352" s="364"/>
      <c r="AT352" s="364"/>
      <c r="AU352" s="368">
        <f>'Unit Savings Calculations'!Q348</f>
        <v>19720</v>
      </c>
      <c r="AV352" s="364" t="str">
        <f t="shared" si="154"/>
        <v>n/a</v>
      </c>
      <c r="AW352" s="366">
        <f t="shared" si="168"/>
        <v>312956.39999999997</v>
      </c>
      <c r="AX352" s="367">
        <f t="shared" si="169"/>
        <v>0</v>
      </c>
      <c r="AY352" s="292">
        <f t="shared" si="155"/>
        <v>312956.39999999997</v>
      </c>
      <c r="AZ352" s="292">
        <f t="shared" si="156"/>
        <v>312956.39999999997</v>
      </c>
      <c r="BA352" s="292">
        <f t="shared" si="157"/>
        <v>312956.39999999997</v>
      </c>
      <c r="BB352" s="292">
        <f t="shared" si="158"/>
        <v>312956.39999999997</v>
      </c>
      <c r="BC352" s="294">
        <f t="shared" si="159"/>
        <v>1251825.5999999999</v>
      </c>
      <c r="BD352" s="287" t="s">
        <v>764</v>
      </c>
      <c r="BE352" s="295" t="str">
        <f t="shared" si="160"/>
        <v>Custom</v>
      </c>
      <c r="BF352" s="297"/>
    </row>
    <row r="353" spans="1:58" ht="13.5" customHeight="1">
      <c r="A353" s="287" t="str">
        <f>'Unit Savings Calculations'!C349</f>
        <v>Bus - Public Rebates</v>
      </c>
      <c r="B353" s="287" t="str">
        <f>'Unit Savings Calculations'!D349</f>
        <v>New Construction</v>
      </c>
      <c r="C353" s="288">
        <f t="shared" si="170"/>
        <v>0</v>
      </c>
      <c r="D353" s="287" t="str">
        <f>'Unit Savings Calculations'!T349</f>
        <v>Custom</v>
      </c>
      <c r="E353" s="287">
        <f>INDEX('Unit Savings Calculations'!$H$4:$H$421,MATCH('Measure-Level Adjustments Tab'!$A353&amp;"_"&amp;'Measure-Level Adjustments Tab'!$B353,'Unit Savings Calculations'!$A$4:$A$421,0))</f>
        <v>15</v>
      </c>
      <c r="F353" s="287">
        <f>INDEX('Unit Savings Calculations'!$I$4:$I$421,MATCH('Measure-Level Adjustments Tab'!A353&amp;"_"&amp;'Measure-Level Adjustments Tab'!B353,'Unit Savings Calculations'!$A$4:$A$421,0))</f>
        <v>15</v>
      </c>
      <c r="G353" s="287" t="str">
        <f>'Unit Savings Calculations'!E349</f>
        <v>each</v>
      </c>
      <c r="H353" s="289">
        <f>'Unit Savings Calculations'!$F349*'Unit Savings Calculations'!J349</f>
        <v>9</v>
      </c>
      <c r="I353" s="289">
        <f>'Unit Savings Calculations'!$F349*'Unit Savings Calculations'!K349</f>
        <v>9</v>
      </c>
      <c r="J353" s="289">
        <f>'Unit Savings Calculations'!$F349*'Unit Savings Calculations'!L349</f>
        <v>9</v>
      </c>
      <c r="K353" s="289">
        <f>'Unit Savings Calculations'!$F349*'Unit Savings Calculations'!M349</f>
        <v>9</v>
      </c>
      <c r="L353" s="287" t="str">
        <f>'Unit Savings Calculations'!U349</f>
        <v>Custom</v>
      </c>
      <c r="M353" s="287" t="str">
        <f>'Unit Savings Calculations'!S349</f>
        <v>Custom</v>
      </c>
      <c r="N353" s="290">
        <v>7600</v>
      </c>
      <c r="O353" s="290">
        <v>7600</v>
      </c>
      <c r="P353" s="290">
        <v>7600</v>
      </c>
      <c r="Q353" s="290">
        <v>7600</v>
      </c>
      <c r="R353" s="291">
        <f>'Unit Savings Calculations'!$G349</f>
        <v>0.77</v>
      </c>
      <c r="S353" s="291">
        <f>'Unit Savings Calculations'!$G349</f>
        <v>0.77</v>
      </c>
      <c r="T353" s="291">
        <f>'Unit Savings Calculations'!$G349</f>
        <v>0.77</v>
      </c>
      <c r="U353" s="291">
        <f>'Unit Savings Calculations'!$G349</f>
        <v>0.77</v>
      </c>
      <c r="V353" s="292">
        <f t="shared" si="171"/>
        <v>52668</v>
      </c>
      <c r="W353" s="292">
        <f t="shared" si="172"/>
        <v>52668</v>
      </c>
      <c r="X353" s="292">
        <f t="shared" si="173"/>
        <v>52668</v>
      </c>
      <c r="Y353" s="292">
        <f t="shared" si="174"/>
        <v>52668</v>
      </c>
      <c r="Z353" s="292">
        <f t="shared" si="175"/>
        <v>210672</v>
      </c>
      <c r="AA353" s="364"/>
      <c r="AB353" s="364"/>
      <c r="AC353" s="365">
        <f>'Unit Savings Calculations'!N349</f>
        <v>7600</v>
      </c>
      <c r="AD353" s="364"/>
      <c r="AE353" s="366">
        <f t="shared" si="161"/>
        <v>52668</v>
      </c>
      <c r="AF353" s="367">
        <f t="shared" si="162"/>
        <v>0</v>
      </c>
      <c r="AG353" s="364"/>
      <c r="AH353" s="364">
        <f t="shared" si="163"/>
        <v>0</v>
      </c>
      <c r="AI353" s="368">
        <f>'Unit Savings Calculations'!O349</f>
        <v>7600</v>
      </c>
      <c r="AJ353" s="364" t="s">
        <v>872</v>
      </c>
      <c r="AK353" s="366">
        <f t="shared" si="164"/>
        <v>52668</v>
      </c>
      <c r="AL353" s="367">
        <f t="shared" si="165"/>
        <v>0</v>
      </c>
      <c r="AM353" s="364"/>
      <c r="AN353" s="364"/>
      <c r="AO353" s="368">
        <f>'Unit Savings Calculations'!P349</f>
        <v>7600</v>
      </c>
      <c r="AP353" s="364" t="s">
        <v>764</v>
      </c>
      <c r="AQ353" s="366">
        <f t="shared" si="166"/>
        <v>52668</v>
      </c>
      <c r="AR353" s="367">
        <f t="shared" si="167"/>
        <v>0</v>
      </c>
      <c r="AS353" s="364"/>
      <c r="AT353" s="364"/>
      <c r="AU353" s="368">
        <f>'Unit Savings Calculations'!Q349</f>
        <v>7600</v>
      </c>
      <c r="AV353" s="364" t="str">
        <f t="shared" si="154"/>
        <v>n/a</v>
      </c>
      <c r="AW353" s="366">
        <f t="shared" si="168"/>
        <v>52668</v>
      </c>
      <c r="AX353" s="367">
        <f t="shared" si="169"/>
        <v>0</v>
      </c>
      <c r="AY353" s="292">
        <f t="shared" si="155"/>
        <v>52668</v>
      </c>
      <c r="AZ353" s="292">
        <f t="shared" si="156"/>
        <v>52668</v>
      </c>
      <c r="BA353" s="292">
        <f t="shared" si="157"/>
        <v>52668</v>
      </c>
      <c r="BB353" s="292">
        <f t="shared" si="158"/>
        <v>52668</v>
      </c>
      <c r="BC353" s="294">
        <f t="shared" si="159"/>
        <v>210672</v>
      </c>
      <c r="BD353" s="287" t="s">
        <v>764</v>
      </c>
      <c r="BE353" s="295" t="str">
        <f t="shared" si="160"/>
        <v>Custom</v>
      </c>
      <c r="BF353" s="297"/>
    </row>
    <row r="354" spans="1:58" ht="13.5" customHeight="1">
      <c r="A354" s="287" t="s">
        <v>713</v>
      </c>
      <c r="B354" s="287" t="str">
        <f>'Unit Savings Calculations'!D350</f>
        <v>Behavior 2018 1st Year</v>
      </c>
      <c r="C354" s="288">
        <f t="shared" si="170"/>
        <v>1</v>
      </c>
      <c r="D354" s="287" t="str">
        <f>'Unit Savings Calculations'!T350</f>
        <v>6.1.1</v>
      </c>
      <c r="E354" s="287">
        <f>INDEX('Unit Savings Calculations'!$H$4:$H$421,MATCH('Measure-Level Adjustments Tab'!$A354&amp;"_"&amp;'Measure-Level Adjustments Tab'!$B354,'Unit Savings Calculations'!$A$4:$A$421,0))</f>
        <v>1</v>
      </c>
      <c r="F354" s="287">
        <f>INDEX('Unit Savings Calculations'!$I$4:$I$421,MATCH('Measure-Level Adjustments Tab'!A354&amp;"_"&amp;'Measure-Level Adjustments Tab'!B354,'Unit Savings Calculations'!$A$4:$A$421,0))</f>
        <v>1</v>
      </c>
      <c r="G354" s="287" t="str">
        <f>'Unit Savings Calculations'!E350</f>
        <v>each</v>
      </c>
      <c r="H354" s="289">
        <f>'Unit Savings Calculations'!$F350*'Unit Savings Calculations'!J350</f>
        <v>0</v>
      </c>
      <c r="I354" s="289">
        <f>'Unit Savings Calculations'!$F350*'Unit Savings Calculations'!K350</f>
        <v>0</v>
      </c>
      <c r="J354" s="289">
        <f>'Unit Savings Calculations'!$F350*'Unit Savings Calculations'!L350</f>
        <v>0</v>
      </c>
      <c r="K354" s="289">
        <f>'Unit Savings Calculations'!$F350*'Unit Savings Calculations'!M350</f>
        <v>0</v>
      </c>
      <c r="L354" s="287" t="str">
        <f>'Unit Savings Calculations'!U350</f>
        <v>CC-BEH-BEHP-V02-16061</v>
      </c>
      <c r="M354" s="363" t="s">
        <v>826</v>
      </c>
      <c r="N354" s="290">
        <v>17.606837606837608</v>
      </c>
      <c r="O354" s="290">
        <v>0</v>
      </c>
      <c r="P354" s="290">
        <v>0</v>
      </c>
      <c r="Q354" s="290">
        <v>0</v>
      </c>
      <c r="R354" s="291">
        <f>'Unit Savings Calculations'!$G350</f>
        <v>1</v>
      </c>
      <c r="S354" s="291">
        <f>'Unit Savings Calculations'!$G350</f>
        <v>1</v>
      </c>
      <c r="T354" s="291">
        <f>'Unit Savings Calculations'!$G350</f>
        <v>1</v>
      </c>
      <c r="U354" s="291">
        <f>'Unit Savings Calculations'!$G350</f>
        <v>1</v>
      </c>
      <c r="V354" s="292">
        <f t="shared" si="171"/>
        <v>0</v>
      </c>
      <c r="W354" s="292">
        <f t="shared" si="172"/>
        <v>0</v>
      </c>
      <c r="X354" s="292">
        <f t="shared" si="173"/>
        <v>0</v>
      </c>
      <c r="Y354" s="292">
        <f t="shared" si="174"/>
        <v>0</v>
      </c>
      <c r="Z354" s="292">
        <f t="shared" si="175"/>
        <v>0</v>
      </c>
      <c r="AA354" s="287"/>
      <c r="AB354" s="287"/>
      <c r="AC354" s="293">
        <f>'Unit Savings Calculations'!N350</f>
        <v>17.606837606837608</v>
      </c>
      <c r="AD354" s="287"/>
      <c r="AE354" s="292">
        <f t="shared" si="161"/>
        <v>0</v>
      </c>
      <c r="AF354" s="289">
        <f t="shared" si="162"/>
        <v>0</v>
      </c>
      <c r="AG354" s="287"/>
      <c r="AH354" s="287">
        <f t="shared" si="163"/>
        <v>0</v>
      </c>
      <c r="AI354" s="290">
        <f>'Unit Savings Calculations'!O350</f>
        <v>0</v>
      </c>
      <c r="AJ354" s="287" t="s">
        <v>872</v>
      </c>
      <c r="AK354" s="292">
        <f t="shared" si="164"/>
        <v>0</v>
      </c>
      <c r="AL354" s="289">
        <f t="shared" si="165"/>
        <v>0</v>
      </c>
      <c r="AM354" s="287"/>
      <c r="AN354" s="287"/>
      <c r="AO354" s="290">
        <f>'Unit Savings Calculations'!P350</f>
        <v>0</v>
      </c>
      <c r="AP354" s="287" t="s">
        <v>764</v>
      </c>
      <c r="AQ354" s="292">
        <f t="shared" si="166"/>
        <v>0</v>
      </c>
      <c r="AR354" s="289">
        <f t="shared" si="167"/>
        <v>0</v>
      </c>
      <c r="AS354" s="287"/>
      <c r="AT354" s="287"/>
      <c r="AU354" s="290">
        <f>'Unit Savings Calculations'!Q350</f>
        <v>0</v>
      </c>
      <c r="AV354" s="287" t="str">
        <f t="shared" si="154"/>
        <v>n/a</v>
      </c>
      <c r="AW354" s="292">
        <f t="shared" si="168"/>
        <v>0</v>
      </c>
      <c r="AX354" s="289">
        <f t="shared" si="169"/>
        <v>0</v>
      </c>
      <c r="AY354" s="292">
        <f t="shared" si="155"/>
        <v>0</v>
      </c>
      <c r="AZ354" s="292">
        <f t="shared" si="156"/>
        <v>0</v>
      </c>
      <c r="BA354" s="292">
        <f t="shared" si="157"/>
        <v>0</v>
      </c>
      <c r="BB354" s="292">
        <f t="shared" si="158"/>
        <v>0</v>
      </c>
      <c r="BC354" s="294">
        <f t="shared" si="159"/>
        <v>0</v>
      </c>
      <c r="BD354" s="287" t="s">
        <v>764</v>
      </c>
      <c r="BE354" s="295" t="str">
        <f t="shared" si="160"/>
        <v>Exhibit 1.5B_R Peoples Gas EEPS_Adjustable_Savings_Goal_Template.xlsx, Behavior Tab</v>
      </c>
      <c r="BF354" s="297"/>
    </row>
    <row r="355" spans="1:58" ht="13.5" customHeight="1">
      <c r="A355" s="287" t="s">
        <v>713</v>
      </c>
      <c r="B355" s="287" t="str">
        <f>'Unit Savings Calculations'!D351</f>
        <v>Behavior 2019 1st Year</v>
      </c>
      <c r="C355" s="288">
        <f t="shared" si="170"/>
        <v>1</v>
      </c>
      <c r="D355" s="287" t="str">
        <f>'Unit Savings Calculations'!T351</f>
        <v>6.1.1</v>
      </c>
      <c r="E355" s="287">
        <f>INDEX('Unit Savings Calculations'!$H$4:$H$421,MATCH('Measure-Level Adjustments Tab'!$A355&amp;"_"&amp;'Measure-Level Adjustments Tab'!$B355,'Unit Savings Calculations'!$A$4:$A$421,0))</f>
        <v>1</v>
      </c>
      <c r="F355" s="287">
        <f>INDEX('Unit Savings Calculations'!$I$4:$I$421,MATCH('Measure-Level Adjustments Tab'!A355&amp;"_"&amp;'Measure-Level Adjustments Tab'!B355,'Unit Savings Calculations'!$A$4:$A$421,0))</f>
        <v>1</v>
      </c>
      <c r="G355" s="287" t="str">
        <f>'Unit Savings Calculations'!E351</f>
        <v>each</v>
      </c>
      <c r="H355" s="289">
        <f>'Unit Savings Calculations'!$F351*'Unit Savings Calculations'!J351</f>
        <v>0</v>
      </c>
      <c r="I355" s="289">
        <f>'Unit Savings Calculations'!$F351*'Unit Savings Calculations'!K351</f>
        <v>0</v>
      </c>
      <c r="J355" s="289">
        <f>'Unit Savings Calculations'!$F351*'Unit Savings Calculations'!L351</f>
        <v>0</v>
      </c>
      <c r="K355" s="289">
        <f>'Unit Savings Calculations'!$F351*'Unit Savings Calculations'!M351</f>
        <v>0</v>
      </c>
      <c r="L355" s="287" t="str">
        <f>'Unit Savings Calculations'!U351</f>
        <v>CC-BEH-BEHP-V02-16061</v>
      </c>
      <c r="M355" s="363" t="s">
        <v>826</v>
      </c>
      <c r="N355" s="290">
        <v>0</v>
      </c>
      <c r="O355" s="290">
        <v>10.03731923490032</v>
      </c>
      <c r="P355" s="290">
        <v>0</v>
      </c>
      <c r="Q355" s="290">
        <v>0</v>
      </c>
      <c r="R355" s="291">
        <f>'Unit Savings Calculations'!$G351</f>
        <v>1</v>
      </c>
      <c r="S355" s="291">
        <f>'Unit Savings Calculations'!$G351</f>
        <v>1</v>
      </c>
      <c r="T355" s="291">
        <f>'Unit Savings Calculations'!$G351</f>
        <v>1</v>
      </c>
      <c r="U355" s="291">
        <f>'Unit Savings Calculations'!$G351</f>
        <v>1</v>
      </c>
      <c r="V355" s="292">
        <f t="shared" si="171"/>
        <v>0</v>
      </c>
      <c r="W355" s="292">
        <f t="shared" si="172"/>
        <v>0</v>
      </c>
      <c r="X355" s="292">
        <f t="shared" si="173"/>
        <v>0</v>
      </c>
      <c r="Y355" s="292">
        <f t="shared" si="174"/>
        <v>0</v>
      </c>
      <c r="Z355" s="292">
        <f t="shared" si="175"/>
        <v>0</v>
      </c>
      <c r="AA355" s="287"/>
      <c r="AB355" s="287"/>
      <c r="AC355" s="293">
        <f>'Unit Savings Calculations'!N351</f>
        <v>0</v>
      </c>
      <c r="AD355" s="287"/>
      <c r="AE355" s="292">
        <f t="shared" si="161"/>
        <v>0</v>
      </c>
      <c r="AF355" s="289">
        <f t="shared" si="162"/>
        <v>0</v>
      </c>
      <c r="AG355" s="287"/>
      <c r="AH355" s="287">
        <f t="shared" si="163"/>
        <v>0</v>
      </c>
      <c r="AI355" s="290">
        <f>'Unit Savings Calculations'!O351</f>
        <v>10.03731923490032</v>
      </c>
      <c r="AJ355" s="287" t="s">
        <v>872</v>
      </c>
      <c r="AK355" s="292">
        <f t="shared" si="164"/>
        <v>0</v>
      </c>
      <c r="AL355" s="289">
        <f t="shared" si="165"/>
        <v>0</v>
      </c>
      <c r="AM355" s="287"/>
      <c r="AN355" s="287"/>
      <c r="AO355" s="290">
        <f>'Unit Savings Calculations'!P351</f>
        <v>0</v>
      </c>
      <c r="AP355" s="287" t="s">
        <v>764</v>
      </c>
      <c r="AQ355" s="292">
        <f t="shared" si="166"/>
        <v>0</v>
      </c>
      <c r="AR355" s="289">
        <f t="shared" si="167"/>
        <v>0</v>
      </c>
      <c r="AS355" s="287"/>
      <c r="AT355" s="287"/>
      <c r="AU355" s="290">
        <f>'Unit Savings Calculations'!Q351</f>
        <v>0</v>
      </c>
      <c r="AV355" s="287" t="str">
        <f t="shared" si="154"/>
        <v>n/a</v>
      </c>
      <c r="AW355" s="292">
        <f t="shared" si="168"/>
        <v>0</v>
      </c>
      <c r="AX355" s="289">
        <f t="shared" si="169"/>
        <v>0</v>
      </c>
      <c r="AY355" s="292">
        <f t="shared" si="155"/>
        <v>0</v>
      </c>
      <c r="AZ355" s="292">
        <f t="shared" si="156"/>
        <v>0</v>
      </c>
      <c r="BA355" s="292">
        <f t="shared" si="157"/>
        <v>0</v>
      </c>
      <c r="BB355" s="292">
        <f t="shared" si="158"/>
        <v>0</v>
      </c>
      <c r="BC355" s="294">
        <f t="shared" si="159"/>
        <v>0</v>
      </c>
      <c r="BD355" s="287" t="s">
        <v>764</v>
      </c>
      <c r="BE355" s="295" t="str">
        <f t="shared" si="160"/>
        <v>Exhibit 1.5B_R Peoples Gas EEPS_Adjustable_Savings_Goal_Template.xlsx, Behavior Tab</v>
      </c>
      <c r="BF355" s="297"/>
    </row>
    <row r="356" spans="1:58" ht="13.5" customHeight="1">
      <c r="A356" s="287" t="s">
        <v>713</v>
      </c>
      <c r="B356" s="287" t="str">
        <f>'Unit Savings Calculations'!D352</f>
        <v>Behavior 2020 1st Year</v>
      </c>
      <c r="C356" s="288">
        <f t="shared" si="170"/>
        <v>1</v>
      </c>
      <c r="D356" s="287" t="str">
        <f>'Unit Savings Calculations'!T352</f>
        <v>6.1.1</v>
      </c>
      <c r="E356" s="287">
        <f>INDEX('Unit Savings Calculations'!$H$4:$H$421,MATCH('Measure-Level Adjustments Tab'!$A356&amp;"_"&amp;'Measure-Level Adjustments Tab'!$B356,'Unit Savings Calculations'!$A$4:$A$421,0))</f>
        <v>1</v>
      </c>
      <c r="F356" s="287">
        <f>INDEX('Unit Savings Calculations'!$I$4:$I$421,MATCH('Measure-Level Adjustments Tab'!A356&amp;"_"&amp;'Measure-Level Adjustments Tab'!B356,'Unit Savings Calculations'!$A$4:$A$421,0))</f>
        <v>1</v>
      </c>
      <c r="G356" s="287" t="str">
        <f>'Unit Savings Calculations'!E352</f>
        <v>each</v>
      </c>
      <c r="H356" s="289">
        <f>'Unit Savings Calculations'!$F352*'Unit Savings Calculations'!J352</f>
        <v>0</v>
      </c>
      <c r="I356" s="289">
        <f>'Unit Savings Calculations'!$F352*'Unit Savings Calculations'!K352</f>
        <v>0</v>
      </c>
      <c r="J356" s="289">
        <f>'Unit Savings Calculations'!$F352*'Unit Savings Calculations'!L352</f>
        <v>0</v>
      </c>
      <c r="K356" s="289">
        <f>'Unit Savings Calculations'!$F352*'Unit Savings Calculations'!M352</f>
        <v>0</v>
      </c>
      <c r="L356" s="287" t="str">
        <f>'Unit Savings Calculations'!U352</f>
        <v>CC-BEH-BEHP-V02-16061</v>
      </c>
      <c r="M356" s="363" t="s">
        <v>826</v>
      </c>
      <c r="N356" s="290">
        <v>0</v>
      </c>
      <c r="O356" s="290">
        <v>0</v>
      </c>
      <c r="P356" s="290">
        <v>10.113623121804471</v>
      </c>
      <c r="Q356" s="290">
        <v>0</v>
      </c>
      <c r="R356" s="291">
        <f>'Unit Savings Calculations'!$G352</f>
        <v>1</v>
      </c>
      <c r="S356" s="291">
        <f>'Unit Savings Calculations'!$G352</f>
        <v>1</v>
      </c>
      <c r="T356" s="291">
        <f>'Unit Savings Calculations'!$G352</f>
        <v>1</v>
      </c>
      <c r="U356" s="291">
        <f>'Unit Savings Calculations'!$G352</f>
        <v>1</v>
      </c>
      <c r="V356" s="292">
        <f t="shared" si="171"/>
        <v>0</v>
      </c>
      <c r="W356" s="292">
        <f t="shared" si="172"/>
        <v>0</v>
      </c>
      <c r="X356" s="292">
        <f t="shared" si="173"/>
        <v>0</v>
      </c>
      <c r="Y356" s="292">
        <f t="shared" si="174"/>
        <v>0</v>
      </c>
      <c r="Z356" s="292">
        <f t="shared" si="175"/>
        <v>0</v>
      </c>
      <c r="AA356" s="287"/>
      <c r="AB356" s="287"/>
      <c r="AC356" s="293">
        <f>'Unit Savings Calculations'!N352</f>
        <v>0</v>
      </c>
      <c r="AD356" s="287"/>
      <c r="AE356" s="292">
        <f t="shared" si="161"/>
        <v>0</v>
      </c>
      <c r="AF356" s="289">
        <f t="shared" si="162"/>
        <v>0</v>
      </c>
      <c r="AG356" s="287"/>
      <c r="AH356" s="287">
        <f t="shared" si="163"/>
        <v>0</v>
      </c>
      <c r="AI356" s="290">
        <f>'Unit Savings Calculations'!O352</f>
        <v>0</v>
      </c>
      <c r="AJ356" s="287" t="s">
        <v>872</v>
      </c>
      <c r="AK356" s="292">
        <f t="shared" si="164"/>
        <v>0</v>
      </c>
      <c r="AL356" s="289">
        <f t="shared" si="165"/>
        <v>0</v>
      </c>
      <c r="AM356" s="287"/>
      <c r="AN356" s="287"/>
      <c r="AO356" s="290">
        <f>'Unit Savings Calculations'!P352</f>
        <v>10.113623121804471</v>
      </c>
      <c r="AP356" s="287" t="s">
        <v>764</v>
      </c>
      <c r="AQ356" s="292">
        <f t="shared" si="166"/>
        <v>0</v>
      </c>
      <c r="AR356" s="289">
        <f t="shared" si="167"/>
        <v>0</v>
      </c>
      <c r="AS356" s="287"/>
      <c r="AT356" s="287"/>
      <c r="AU356" s="290">
        <f>'Unit Savings Calculations'!Q352</f>
        <v>0</v>
      </c>
      <c r="AV356" s="287" t="str">
        <f t="shared" si="154"/>
        <v>n/a</v>
      </c>
      <c r="AW356" s="292">
        <f t="shared" si="168"/>
        <v>0</v>
      </c>
      <c r="AX356" s="289">
        <f t="shared" si="169"/>
        <v>0</v>
      </c>
      <c r="AY356" s="292">
        <f t="shared" si="155"/>
        <v>0</v>
      </c>
      <c r="AZ356" s="292">
        <f t="shared" si="156"/>
        <v>0</v>
      </c>
      <c r="BA356" s="292">
        <f t="shared" si="157"/>
        <v>0</v>
      </c>
      <c r="BB356" s="292">
        <f t="shared" si="158"/>
        <v>0</v>
      </c>
      <c r="BC356" s="294">
        <f t="shared" si="159"/>
        <v>0</v>
      </c>
      <c r="BD356" s="287" t="s">
        <v>764</v>
      </c>
      <c r="BE356" s="295" t="str">
        <f t="shared" si="160"/>
        <v>Exhibit 1.5B_R Peoples Gas EEPS_Adjustable_Savings_Goal_Template.xlsx, Behavior Tab</v>
      </c>
      <c r="BF356" s="297"/>
    </row>
    <row r="357" spans="1:58" ht="13.5" customHeight="1">
      <c r="A357" s="287" t="s">
        <v>713</v>
      </c>
      <c r="B357" s="287" t="str">
        <f>'Unit Savings Calculations'!D353</f>
        <v>Behavior 2021 1st Year</v>
      </c>
      <c r="C357" s="288">
        <f t="shared" si="170"/>
        <v>1</v>
      </c>
      <c r="D357" s="287" t="str">
        <f>'Unit Savings Calculations'!T353</f>
        <v>6.1.1</v>
      </c>
      <c r="E357" s="287">
        <f>INDEX('Unit Savings Calculations'!$H$4:$H$421,MATCH('Measure-Level Adjustments Tab'!$A357&amp;"_"&amp;'Measure-Level Adjustments Tab'!$B357,'Unit Savings Calculations'!$A$4:$A$421,0))</f>
        <v>1</v>
      </c>
      <c r="F357" s="287">
        <f>INDEX('Unit Savings Calculations'!$I$4:$I$421,MATCH('Measure-Level Adjustments Tab'!A357&amp;"_"&amp;'Measure-Level Adjustments Tab'!B357,'Unit Savings Calculations'!$A$4:$A$421,0))</f>
        <v>1</v>
      </c>
      <c r="G357" s="287" t="str">
        <f>'Unit Savings Calculations'!E353</f>
        <v>each</v>
      </c>
      <c r="H357" s="289">
        <f>'Unit Savings Calculations'!$F353*'Unit Savings Calculations'!J353</f>
        <v>0</v>
      </c>
      <c r="I357" s="289">
        <f>'Unit Savings Calculations'!$F353*'Unit Savings Calculations'!K353</f>
        <v>0</v>
      </c>
      <c r="J357" s="289">
        <f>'Unit Savings Calculations'!$F353*'Unit Savings Calculations'!L353</f>
        <v>0</v>
      </c>
      <c r="K357" s="289">
        <f>'Unit Savings Calculations'!$F353*'Unit Savings Calculations'!M353</f>
        <v>0</v>
      </c>
      <c r="L357" s="287" t="str">
        <f>'Unit Savings Calculations'!U353</f>
        <v>CC-BEH-BEHP-V02-16061</v>
      </c>
      <c r="M357" s="363" t="s">
        <v>826</v>
      </c>
      <c r="N357" s="290">
        <v>0</v>
      </c>
      <c r="O357" s="290">
        <v>0</v>
      </c>
      <c r="P357" s="290">
        <v>0</v>
      </c>
      <c r="Q357" s="290">
        <v>10.185900070979669</v>
      </c>
      <c r="R357" s="291">
        <f>'Unit Savings Calculations'!$G353</f>
        <v>1</v>
      </c>
      <c r="S357" s="291">
        <f>'Unit Savings Calculations'!$G353</f>
        <v>1</v>
      </c>
      <c r="T357" s="291">
        <f>'Unit Savings Calculations'!$G353</f>
        <v>1</v>
      </c>
      <c r="U357" s="291">
        <f>'Unit Savings Calculations'!$G353</f>
        <v>1</v>
      </c>
      <c r="V357" s="292">
        <f t="shared" si="171"/>
        <v>0</v>
      </c>
      <c r="W357" s="292">
        <f t="shared" si="172"/>
        <v>0</v>
      </c>
      <c r="X357" s="292">
        <f t="shared" si="173"/>
        <v>0</v>
      </c>
      <c r="Y357" s="292">
        <f t="shared" si="174"/>
        <v>0</v>
      </c>
      <c r="Z357" s="292">
        <f t="shared" si="175"/>
        <v>0</v>
      </c>
      <c r="AA357" s="287"/>
      <c r="AB357" s="287"/>
      <c r="AC357" s="293">
        <f>'Unit Savings Calculations'!N353</f>
        <v>0</v>
      </c>
      <c r="AD357" s="287"/>
      <c r="AE357" s="292">
        <f t="shared" si="161"/>
        <v>0</v>
      </c>
      <c r="AF357" s="289">
        <f t="shared" si="162"/>
        <v>0</v>
      </c>
      <c r="AG357" s="287"/>
      <c r="AH357" s="287">
        <f t="shared" si="163"/>
        <v>0</v>
      </c>
      <c r="AI357" s="290">
        <f>'Unit Savings Calculations'!O353</f>
        <v>0</v>
      </c>
      <c r="AJ357" s="287" t="s">
        <v>872</v>
      </c>
      <c r="AK357" s="292">
        <f t="shared" si="164"/>
        <v>0</v>
      </c>
      <c r="AL357" s="289">
        <f t="shared" si="165"/>
        <v>0</v>
      </c>
      <c r="AM357" s="287"/>
      <c r="AN357" s="287"/>
      <c r="AO357" s="290">
        <f>'Unit Savings Calculations'!P353</f>
        <v>0</v>
      </c>
      <c r="AP357" s="287" t="s">
        <v>764</v>
      </c>
      <c r="AQ357" s="292">
        <f t="shared" si="166"/>
        <v>0</v>
      </c>
      <c r="AR357" s="289">
        <f t="shared" si="167"/>
        <v>0</v>
      </c>
      <c r="AS357" s="287"/>
      <c r="AT357" s="287"/>
      <c r="AU357" s="290">
        <f>'Unit Savings Calculations'!Q353</f>
        <v>10.185900070979669</v>
      </c>
      <c r="AV357" s="287" t="str">
        <f t="shared" si="154"/>
        <v>n/a</v>
      </c>
      <c r="AW357" s="292">
        <f t="shared" si="168"/>
        <v>0</v>
      </c>
      <c r="AX357" s="289">
        <f t="shared" si="169"/>
        <v>0</v>
      </c>
      <c r="AY357" s="292">
        <f t="shared" si="155"/>
        <v>0</v>
      </c>
      <c r="AZ357" s="292">
        <f t="shared" si="156"/>
        <v>0</v>
      </c>
      <c r="BA357" s="292">
        <f t="shared" si="157"/>
        <v>0</v>
      </c>
      <c r="BB357" s="292">
        <f t="shared" si="158"/>
        <v>0</v>
      </c>
      <c r="BC357" s="294">
        <f t="shared" si="159"/>
        <v>0</v>
      </c>
      <c r="BD357" s="287" t="s">
        <v>764</v>
      </c>
      <c r="BE357" s="295" t="str">
        <f t="shared" si="160"/>
        <v>Exhibit 1.5B_R Peoples Gas EEPS_Adjustable_Savings_Goal_Template.xlsx, Behavior Tab</v>
      </c>
      <c r="BF357" s="297"/>
    </row>
    <row r="358" spans="1:58" ht="13.5" customHeight="1">
      <c r="A358" s="287" t="s">
        <v>713</v>
      </c>
      <c r="B358" s="287" t="str">
        <f>'Unit Savings Calculations'!D354</f>
        <v>Behavior 2018 Y1 Persistence</v>
      </c>
      <c r="C358" s="288">
        <f t="shared" si="170"/>
        <v>1</v>
      </c>
      <c r="D358" s="287" t="str">
        <f>'Unit Savings Calculations'!T354</f>
        <v>6.1.1</v>
      </c>
      <c r="E358" s="287">
        <f>INDEX('Unit Savings Calculations'!$H$4:$H$421,MATCH('Measure-Level Adjustments Tab'!$A358&amp;"_"&amp;'Measure-Level Adjustments Tab'!$B358,'Unit Savings Calculations'!$A$4:$A$421,0))</f>
        <v>0</v>
      </c>
      <c r="F358" s="287">
        <f>INDEX('Unit Savings Calculations'!$I$4:$I$421,MATCH('Measure-Level Adjustments Tab'!A358&amp;"_"&amp;'Measure-Level Adjustments Tab'!B358,'Unit Savings Calculations'!$A$4:$A$421,0))</f>
        <v>0</v>
      </c>
      <c r="G358" s="287" t="str">
        <f>'Unit Savings Calculations'!E354</f>
        <v>each</v>
      </c>
      <c r="H358" s="289">
        <v>0</v>
      </c>
      <c r="I358" s="289">
        <v>0</v>
      </c>
      <c r="J358" s="289">
        <v>0</v>
      </c>
      <c r="K358" s="289">
        <f>'Unit Savings Calculations'!$F354*'Unit Savings Calculations'!M354</f>
        <v>0</v>
      </c>
      <c r="L358" s="287" t="str">
        <f>'Unit Savings Calculations'!U354</f>
        <v>CC-BEH-BEHP-V02-16061</v>
      </c>
      <c r="M358" s="363" t="s">
        <v>826</v>
      </c>
      <c r="N358" s="290">
        <v>7.741557072016807</v>
      </c>
      <c r="O358" s="290">
        <v>0</v>
      </c>
      <c r="P358" s="290">
        <v>0</v>
      </c>
      <c r="Q358" s="290">
        <v>0</v>
      </c>
      <c r="R358" s="291">
        <f>'Unit Savings Calculations'!$G354</f>
        <v>1</v>
      </c>
      <c r="S358" s="291">
        <f>'Unit Savings Calculations'!$G354</f>
        <v>1</v>
      </c>
      <c r="T358" s="291">
        <f>'Unit Savings Calculations'!$G354</f>
        <v>1</v>
      </c>
      <c r="U358" s="291">
        <f>'Unit Savings Calculations'!$G354</f>
        <v>1</v>
      </c>
      <c r="V358" s="292">
        <v>0</v>
      </c>
      <c r="W358" s="292">
        <v>0</v>
      </c>
      <c r="X358" s="292">
        <v>0</v>
      </c>
      <c r="Y358" s="292">
        <f t="shared" si="174"/>
        <v>0</v>
      </c>
      <c r="Z358" s="292">
        <f t="shared" si="175"/>
        <v>0</v>
      </c>
      <c r="AA358" s="287"/>
      <c r="AB358" s="287"/>
      <c r="AC358" s="293">
        <f>'Unit Savings Calculations'!N354</f>
        <v>7.741557072016807</v>
      </c>
      <c r="AD358" s="287"/>
      <c r="AE358" s="292">
        <f t="shared" si="161"/>
        <v>0</v>
      </c>
      <c r="AF358" s="289">
        <f t="shared" si="162"/>
        <v>0</v>
      </c>
      <c r="AG358" s="287"/>
      <c r="AH358" s="287">
        <f t="shared" si="163"/>
        <v>0</v>
      </c>
      <c r="AI358" s="290">
        <f>'Unit Savings Calculations'!O354</f>
        <v>0</v>
      </c>
      <c r="AJ358" s="287" t="s">
        <v>872</v>
      </c>
      <c r="AK358" s="292">
        <f t="shared" si="164"/>
        <v>0</v>
      </c>
      <c r="AL358" s="289">
        <f t="shared" si="165"/>
        <v>0</v>
      </c>
      <c r="AM358" s="287"/>
      <c r="AN358" s="287"/>
      <c r="AO358" s="290">
        <f>'Unit Savings Calculations'!P354</f>
        <v>0</v>
      </c>
      <c r="AP358" s="287" t="s">
        <v>764</v>
      </c>
      <c r="AQ358" s="292">
        <f t="shared" si="166"/>
        <v>0</v>
      </c>
      <c r="AR358" s="289">
        <f t="shared" si="167"/>
        <v>0</v>
      </c>
      <c r="AS358" s="287"/>
      <c r="AT358" s="287"/>
      <c r="AU358" s="290">
        <f>'Unit Savings Calculations'!Q354</f>
        <v>0</v>
      </c>
      <c r="AV358" s="287" t="str">
        <f t="shared" si="154"/>
        <v>n/a</v>
      </c>
      <c r="AW358" s="292">
        <f t="shared" si="168"/>
        <v>0</v>
      </c>
      <c r="AX358" s="289">
        <f t="shared" si="169"/>
        <v>0</v>
      </c>
      <c r="AY358" s="292">
        <f t="shared" si="155"/>
        <v>0</v>
      </c>
      <c r="AZ358" s="292">
        <f t="shared" si="156"/>
        <v>0</v>
      </c>
      <c r="BA358" s="292">
        <f t="shared" si="157"/>
        <v>0</v>
      </c>
      <c r="BB358" s="292">
        <f t="shared" si="158"/>
        <v>0</v>
      </c>
      <c r="BC358" s="294">
        <f t="shared" si="159"/>
        <v>0</v>
      </c>
      <c r="BD358" s="287" t="s">
        <v>764</v>
      </c>
      <c r="BE358" s="295" t="str">
        <f t="shared" si="160"/>
        <v>Exhibit 1.5B_R Peoples Gas EEPS_Adjustable_Savings_Goal_Template.xlsx, Behavior Tab</v>
      </c>
      <c r="BF358" s="297"/>
    </row>
    <row r="359" spans="1:58" ht="13.5" customHeight="1">
      <c r="A359" s="287" t="s">
        <v>713</v>
      </c>
      <c r="B359" s="287" t="str">
        <f>'Unit Savings Calculations'!D355</f>
        <v>Behavior 2018 Y2 Persistence</v>
      </c>
      <c r="C359" s="288">
        <f t="shared" si="170"/>
        <v>1</v>
      </c>
      <c r="D359" s="287" t="str">
        <f>'Unit Savings Calculations'!T355</f>
        <v>6.1.1</v>
      </c>
      <c r="E359" s="287">
        <f>INDEX('Unit Savings Calculations'!$H$4:$H$421,MATCH('Measure-Level Adjustments Tab'!$A359&amp;"_"&amp;'Measure-Level Adjustments Tab'!$B359,'Unit Savings Calculations'!$A$4:$A$421,0))</f>
        <v>0</v>
      </c>
      <c r="F359" s="287">
        <f>INDEX('Unit Savings Calculations'!$I$4:$I$421,MATCH('Measure-Level Adjustments Tab'!A359&amp;"_"&amp;'Measure-Level Adjustments Tab'!B359,'Unit Savings Calculations'!$A$4:$A$421,0))</f>
        <v>0</v>
      </c>
      <c r="G359" s="287" t="str">
        <f>'Unit Savings Calculations'!E355</f>
        <v>each</v>
      </c>
      <c r="H359" s="289">
        <v>0</v>
      </c>
      <c r="I359" s="289">
        <v>0</v>
      </c>
      <c r="J359" s="289">
        <v>0</v>
      </c>
      <c r="K359" s="289">
        <f>'Unit Savings Calculations'!$F355*'Unit Savings Calculations'!M355</f>
        <v>0</v>
      </c>
      <c r="L359" s="287" t="str">
        <f>'Unit Savings Calculations'!U355</f>
        <v>CC-BEH-BEHP-V02-16061</v>
      </c>
      <c r="M359" s="363" t="s">
        <v>826</v>
      </c>
      <c r="N359" s="290">
        <v>3.3618648400898157</v>
      </c>
      <c r="O359" s="290">
        <v>0</v>
      </c>
      <c r="P359" s="290">
        <v>0</v>
      </c>
      <c r="Q359" s="290">
        <v>0</v>
      </c>
      <c r="R359" s="291">
        <f>'Unit Savings Calculations'!$G355</f>
        <v>1</v>
      </c>
      <c r="S359" s="291">
        <f>'Unit Savings Calculations'!$G355</f>
        <v>1</v>
      </c>
      <c r="T359" s="291">
        <f>'Unit Savings Calculations'!$G355</f>
        <v>1</v>
      </c>
      <c r="U359" s="291">
        <f>'Unit Savings Calculations'!$G355</f>
        <v>1</v>
      </c>
      <c r="V359" s="292">
        <v>0</v>
      </c>
      <c r="W359" s="292">
        <v>0</v>
      </c>
      <c r="X359" s="292">
        <v>0</v>
      </c>
      <c r="Y359" s="292">
        <f t="shared" si="174"/>
        <v>0</v>
      </c>
      <c r="Z359" s="292">
        <f t="shared" si="175"/>
        <v>0</v>
      </c>
      <c r="AA359" s="287"/>
      <c r="AB359" s="287"/>
      <c r="AC359" s="293">
        <f>'Unit Savings Calculations'!N355</f>
        <v>3.3618648400898157</v>
      </c>
      <c r="AD359" s="287"/>
      <c r="AE359" s="292">
        <f t="shared" si="161"/>
        <v>0</v>
      </c>
      <c r="AF359" s="289">
        <f t="shared" si="162"/>
        <v>0</v>
      </c>
      <c r="AG359" s="287"/>
      <c r="AH359" s="287">
        <f t="shared" si="163"/>
        <v>0</v>
      </c>
      <c r="AI359" s="290">
        <f>'Unit Savings Calculations'!O355</f>
        <v>0</v>
      </c>
      <c r="AJ359" s="287" t="s">
        <v>872</v>
      </c>
      <c r="AK359" s="292">
        <f t="shared" si="164"/>
        <v>0</v>
      </c>
      <c r="AL359" s="289">
        <f t="shared" si="165"/>
        <v>0</v>
      </c>
      <c r="AM359" s="287"/>
      <c r="AN359" s="287"/>
      <c r="AO359" s="290">
        <f>'Unit Savings Calculations'!P355</f>
        <v>0</v>
      </c>
      <c r="AP359" s="287" t="s">
        <v>764</v>
      </c>
      <c r="AQ359" s="292">
        <f t="shared" si="166"/>
        <v>0</v>
      </c>
      <c r="AR359" s="289">
        <f t="shared" si="167"/>
        <v>0</v>
      </c>
      <c r="AS359" s="287"/>
      <c r="AT359" s="287"/>
      <c r="AU359" s="290">
        <f>'Unit Savings Calculations'!Q355</f>
        <v>0</v>
      </c>
      <c r="AV359" s="287" t="str">
        <f t="shared" si="154"/>
        <v>n/a</v>
      </c>
      <c r="AW359" s="292">
        <f t="shared" si="168"/>
        <v>0</v>
      </c>
      <c r="AX359" s="289">
        <f t="shared" si="169"/>
        <v>0</v>
      </c>
      <c r="AY359" s="292">
        <f t="shared" si="155"/>
        <v>0</v>
      </c>
      <c r="AZ359" s="292">
        <f t="shared" si="156"/>
        <v>0</v>
      </c>
      <c r="BA359" s="292">
        <f t="shared" si="157"/>
        <v>0</v>
      </c>
      <c r="BB359" s="292">
        <f t="shared" si="158"/>
        <v>0</v>
      </c>
      <c r="BC359" s="294">
        <f t="shared" si="159"/>
        <v>0</v>
      </c>
      <c r="BD359" s="287" t="s">
        <v>764</v>
      </c>
      <c r="BE359" s="295" t="str">
        <f t="shared" si="160"/>
        <v>Exhibit 1.5B_R Peoples Gas EEPS_Adjustable_Savings_Goal_Template.xlsx, Behavior Tab</v>
      </c>
      <c r="BF359" s="297"/>
    </row>
    <row r="360" spans="1:58" ht="13.5" customHeight="1">
      <c r="A360" s="287" t="s">
        <v>713</v>
      </c>
      <c r="B360" s="287" t="str">
        <f>'Unit Savings Calculations'!D356</f>
        <v>Behavior 2018 Y3 Persistence</v>
      </c>
      <c r="C360" s="288">
        <f t="shared" si="170"/>
        <v>1</v>
      </c>
      <c r="D360" s="287" t="str">
        <f>'Unit Savings Calculations'!T356</f>
        <v>6.1.1</v>
      </c>
      <c r="E360" s="287">
        <f>INDEX('Unit Savings Calculations'!$H$4:$H$421,MATCH('Measure-Level Adjustments Tab'!$A360&amp;"_"&amp;'Measure-Level Adjustments Tab'!$B360,'Unit Savings Calculations'!$A$4:$A$421,0))</f>
        <v>0</v>
      </c>
      <c r="F360" s="287">
        <f>INDEX('Unit Savings Calculations'!$I$4:$I$421,MATCH('Measure-Level Adjustments Tab'!A360&amp;"_"&amp;'Measure-Level Adjustments Tab'!B360,'Unit Savings Calculations'!$A$4:$A$421,0))</f>
        <v>0</v>
      </c>
      <c r="G360" s="287" t="str">
        <f>'Unit Savings Calculations'!E356</f>
        <v>each</v>
      </c>
      <c r="H360" s="289">
        <v>0</v>
      </c>
      <c r="I360" s="289">
        <v>0</v>
      </c>
      <c r="J360" s="289">
        <v>0</v>
      </c>
      <c r="K360" s="289">
        <f>'Unit Savings Calculations'!$F356*'Unit Savings Calculations'!M356</f>
        <v>0</v>
      </c>
      <c r="L360" s="287" t="str">
        <f>'Unit Savings Calculations'!U356</f>
        <v>CC-BEH-BEHP-V02-16061</v>
      </c>
      <c r="M360" s="363" t="s">
        <v>826</v>
      </c>
      <c r="N360" s="290">
        <v>1.4781796202774511</v>
      </c>
      <c r="O360" s="290">
        <v>0</v>
      </c>
      <c r="P360" s="290">
        <v>0</v>
      </c>
      <c r="Q360" s="290">
        <v>0</v>
      </c>
      <c r="R360" s="291">
        <f>'Unit Savings Calculations'!$G356</f>
        <v>1</v>
      </c>
      <c r="S360" s="291">
        <f>'Unit Savings Calculations'!$G356</f>
        <v>1</v>
      </c>
      <c r="T360" s="291">
        <f>'Unit Savings Calculations'!$G356</f>
        <v>1</v>
      </c>
      <c r="U360" s="291">
        <f>'Unit Savings Calculations'!$G356</f>
        <v>1</v>
      </c>
      <c r="V360" s="292">
        <v>0</v>
      </c>
      <c r="W360" s="292">
        <v>0</v>
      </c>
      <c r="X360" s="292">
        <v>0</v>
      </c>
      <c r="Y360" s="292">
        <f t="shared" si="174"/>
        <v>0</v>
      </c>
      <c r="Z360" s="292">
        <f t="shared" si="175"/>
        <v>0</v>
      </c>
      <c r="AA360" s="287"/>
      <c r="AB360" s="287"/>
      <c r="AC360" s="293">
        <f>'Unit Savings Calculations'!N356</f>
        <v>1.4781796202774511</v>
      </c>
      <c r="AD360" s="287"/>
      <c r="AE360" s="292">
        <f t="shared" si="161"/>
        <v>0</v>
      </c>
      <c r="AF360" s="289">
        <f t="shared" si="162"/>
        <v>0</v>
      </c>
      <c r="AG360" s="287"/>
      <c r="AH360" s="287">
        <f t="shared" si="163"/>
        <v>0</v>
      </c>
      <c r="AI360" s="290">
        <f>'Unit Savings Calculations'!O356</f>
        <v>0</v>
      </c>
      <c r="AJ360" s="287" t="s">
        <v>872</v>
      </c>
      <c r="AK360" s="292">
        <f t="shared" si="164"/>
        <v>0</v>
      </c>
      <c r="AL360" s="289">
        <f t="shared" si="165"/>
        <v>0</v>
      </c>
      <c r="AM360" s="287"/>
      <c r="AN360" s="287"/>
      <c r="AO360" s="290">
        <f>'Unit Savings Calculations'!P356</f>
        <v>0</v>
      </c>
      <c r="AP360" s="287" t="s">
        <v>764</v>
      </c>
      <c r="AQ360" s="292">
        <f t="shared" si="166"/>
        <v>0</v>
      </c>
      <c r="AR360" s="289">
        <f t="shared" si="167"/>
        <v>0</v>
      </c>
      <c r="AS360" s="287"/>
      <c r="AT360" s="287"/>
      <c r="AU360" s="290">
        <f>'Unit Savings Calculations'!Q356</f>
        <v>0</v>
      </c>
      <c r="AV360" s="287" t="str">
        <f t="shared" si="154"/>
        <v>n/a</v>
      </c>
      <c r="AW360" s="292">
        <f t="shared" si="168"/>
        <v>0</v>
      </c>
      <c r="AX360" s="289">
        <f t="shared" si="169"/>
        <v>0</v>
      </c>
      <c r="AY360" s="292">
        <f t="shared" si="155"/>
        <v>0</v>
      </c>
      <c r="AZ360" s="292">
        <f t="shared" si="156"/>
        <v>0</v>
      </c>
      <c r="BA360" s="292">
        <f t="shared" si="157"/>
        <v>0</v>
      </c>
      <c r="BB360" s="292">
        <f t="shared" si="158"/>
        <v>0</v>
      </c>
      <c r="BC360" s="294">
        <f t="shared" si="159"/>
        <v>0</v>
      </c>
      <c r="BD360" s="287" t="s">
        <v>764</v>
      </c>
      <c r="BE360" s="295" t="str">
        <f t="shared" si="160"/>
        <v>Exhibit 1.5B_R Peoples Gas EEPS_Adjustable_Savings_Goal_Template.xlsx, Behavior Tab</v>
      </c>
      <c r="BF360" s="297"/>
    </row>
    <row r="361" spans="1:58" ht="13.5" customHeight="1">
      <c r="A361" s="287" t="s">
        <v>713</v>
      </c>
      <c r="B361" s="287" t="str">
        <f>'Unit Savings Calculations'!D357</f>
        <v>Behavior 2018 Y4 Persistence</v>
      </c>
      <c r="C361" s="288">
        <f t="shared" si="170"/>
        <v>1</v>
      </c>
      <c r="D361" s="287" t="str">
        <f>'Unit Savings Calculations'!T357</f>
        <v>6.1.1</v>
      </c>
      <c r="E361" s="287">
        <f>INDEX('Unit Savings Calculations'!$H$4:$H$421,MATCH('Measure-Level Adjustments Tab'!$A361&amp;"_"&amp;'Measure-Level Adjustments Tab'!$B361,'Unit Savings Calculations'!$A$4:$A$421,0))</f>
        <v>0</v>
      </c>
      <c r="F361" s="287">
        <f>INDEX('Unit Savings Calculations'!$I$4:$I$421,MATCH('Measure-Level Adjustments Tab'!A361&amp;"_"&amp;'Measure-Level Adjustments Tab'!B361,'Unit Savings Calculations'!$A$4:$A$421,0))</f>
        <v>0</v>
      </c>
      <c r="G361" s="287" t="str">
        <f>'Unit Savings Calculations'!E357</f>
        <v>each</v>
      </c>
      <c r="H361" s="289">
        <v>0</v>
      </c>
      <c r="I361" s="289">
        <v>0</v>
      </c>
      <c r="J361" s="289">
        <v>0</v>
      </c>
      <c r="K361" s="289">
        <f>'Unit Savings Calculations'!$F357*'Unit Savings Calculations'!M357</f>
        <v>0</v>
      </c>
      <c r="L361" s="287" t="str">
        <f>'Unit Savings Calculations'!U357</f>
        <v>CC-BEH-BEHP-V02-16061</v>
      </c>
      <c r="M361" s="363" t="s">
        <v>826</v>
      </c>
      <c r="N361" s="290">
        <v>0.64191738774502805</v>
      </c>
      <c r="O361" s="290">
        <v>0</v>
      </c>
      <c r="P361" s="290">
        <v>0</v>
      </c>
      <c r="Q361" s="290">
        <v>0</v>
      </c>
      <c r="R361" s="291">
        <f>'Unit Savings Calculations'!$G357</f>
        <v>1</v>
      </c>
      <c r="S361" s="291">
        <f>'Unit Savings Calculations'!$G357</f>
        <v>1</v>
      </c>
      <c r="T361" s="291">
        <f>'Unit Savings Calculations'!$G357</f>
        <v>1</v>
      </c>
      <c r="U361" s="291">
        <f>'Unit Savings Calculations'!$G357</f>
        <v>1</v>
      </c>
      <c r="V361" s="292">
        <v>0</v>
      </c>
      <c r="W361" s="292">
        <v>0</v>
      </c>
      <c r="X361" s="292">
        <v>0</v>
      </c>
      <c r="Y361" s="292">
        <f t="shared" si="174"/>
        <v>0</v>
      </c>
      <c r="Z361" s="292">
        <f t="shared" si="175"/>
        <v>0</v>
      </c>
      <c r="AA361" s="287"/>
      <c r="AB361" s="287"/>
      <c r="AC361" s="293">
        <f>'Unit Savings Calculations'!N357</f>
        <v>0.64191738774502805</v>
      </c>
      <c r="AD361" s="287"/>
      <c r="AE361" s="292">
        <f t="shared" si="161"/>
        <v>0</v>
      </c>
      <c r="AF361" s="289">
        <f t="shared" si="162"/>
        <v>0</v>
      </c>
      <c r="AG361" s="287"/>
      <c r="AH361" s="287">
        <f t="shared" si="163"/>
        <v>0</v>
      </c>
      <c r="AI361" s="290">
        <f>'Unit Savings Calculations'!O357</f>
        <v>0</v>
      </c>
      <c r="AJ361" s="287" t="s">
        <v>872</v>
      </c>
      <c r="AK361" s="292">
        <f t="shared" si="164"/>
        <v>0</v>
      </c>
      <c r="AL361" s="289">
        <f t="shared" si="165"/>
        <v>0</v>
      </c>
      <c r="AM361" s="287"/>
      <c r="AN361" s="287"/>
      <c r="AO361" s="290">
        <f>'Unit Savings Calculations'!P357</f>
        <v>0</v>
      </c>
      <c r="AP361" s="287" t="s">
        <v>764</v>
      </c>
      <c r="AQ361" s="292">
        <f t="shared" si="166"/>
        <v>0</v>
      </c>
      <c r="AR361" s="289">
        <f t="shared" si="167"/>
        <v>0</v>
      </c>
      <c r="AS361" s="287"/>
      <c r="AT361" s="287"/>
      <c r="AU361" s="290">
        <f>'Unit Savings Calculations'!Q357</f>
        <v>0</v>
      </c>
      <c r="AV361" s="287" t="str">
        <f t="shared" si="154"/>
        <v>n/a</v>
      </c>
      <c r="AW361" s="292">
        <f t="shared" si="168"/>
        <v>0</v>
      </c>
      <c r="AX361" s="289">
        <f t="shared" si="169"/>
        <v>0</v>
      </c>
      <c r="AY361" s="292">
        <f t="shared" si="155"/>
        <v>0</v>
      </c>
      <c r="AZ361" s="292">
        <f t="shared" si="156"/>
        <v>0</v>
      </c>
      <c r="BA361" s="292">
        <f t="shared" si="157"/>
        <v>0</v>
      </c>
      <c r="BB361" s="292">
        <f t="shared" si="158"/>
        <v>0</v>
      </c>
      <c r="BC361" s="294">
        <f t="shared" si="159"/>
        <v>0</v>
      </c>
      <c r="BD361" s="287" t="s">
        <v>764</v>
      </c>
      <c r="BE361" s="295" t="str">
        <f t="shared" si="160"/>
        <v>Exhibit 1.5B_R Peoples Gas EEPS_Adjustable_Savings_Goal_Template.xlsx, Behavior Tab</v>
      </c>
      <c r="BF361" s="297"/>
    </row>
    <row r="362" spans="1:58" ht="13.5" customHeight="1">
      <c r="A362" s="287" t="s">
        <v>713</v>
      </c>
      <c r="B362" s="287" t="str">
        <f>'Unit Savings Calculations'!D358</f>
        <v>Behavior 2019 Y1 Persistence</v>
      </c>
      <c r="C362" s="288">
        <f t="shared" si="170"/>
        <v>1</v>
      </c>
      <c r="D362" s="287" t="str">
        <f>'Unit Savings Calculations'!T358</f>
        <v>6.1.1</v>
      </c>
      <c r="E362" s="287">
        <f>INDEX('Unit Savings Calculations'!$H$4:$H$421,MATCH('Measure-Level Adjustments Tab'!$A362&amp;"_"&amp;'Measure-Level Adjustments Tab'!$B362,'Unit Savings Calculations'!$A$4:$A$421,0))</f>
        <v>0</v>
      </c>
      <c r="F362" s="287">
        <f>INDEX('Unit Savings Calculations'!$I$4:$I$421,MATCH('Measure-Level Adjustments Tab'!A362&amp;"_"&amp;'Measure-Level Adjustments Tab'!B362,'Unit Savings Calculations'!$A$4:$A$421,0))</f>
        <v>0</v>
      </c>
      <c r="G362" s="287" t="str">
        <f>'Unit Savings Calculations'!E358</f>
        <v>each</v>
      </c>
      <c r="H362" s="289">
        <v>0</v>
      </c>
      <c r="I362" s="289">
        <v>0</v>
      </c>
      <c r="J362" s="289">
        <v>0</v>
      </c>
      <c r="K362" s="289">
        <f>'Unit Savings Calculations'!$F358*'Unit Savings Calculations'!M358</f>
        <v>0</v>
      </c>
      <c r="L362" s="287" t="str">
        <f>'Unit Savings Calculations'!U358</f>
        <v>CC-BEH-BEHP-V02-16061</v>
      </c>
      <c r="M362" s="363" t="s">
        <v>826</v>
      </c>
      <c r="N362" s="290">
        <v>0</v>
      </c>
      <c r="O362" s="290">
        <v>4.4133126823897326</v>
      </c>
      <c r="P362" s="290">
        <v>0</v>
      </c>
      <c r="Q362" s="290">
        <v>0</v>
      </c>
      <c r="R362" s="291">
        <f>'Unit Savings Calculations'!$G358</f>
        <v>1</v>
      </c>
      <c r="S362" s="291">
        <f>'Unit Savings Calculations'!$G358</f>
        <v>1</v>
      </c>
      <c r="T362" s="291">
        <f>'Unit Savings Calculations'!$G358</f>
        <v>1</v>
      </c>
      <c r="U362" s="291">
        <f>'Unit Savings Calculations'!$G358</f>
        <v>1</v>
      </c>
      <c r="V362" s="292">
        <v>0</v>
      </c>
      <c r="W362" s="292">
        <v>0</v>
      </c>
      <c r="X362" s="292">
        <v>0</v>
      </c>
      <c r="Y362" s="292">
        <f t="shared" si="174"/>
        <v>0</v>
      </c>
      <c r="Z362" s="292">
        <f t="shared" si="175"/>
        <v>0</v>
      </c>
      <c r="AA362" s="287"/>
      <c r="AB362" s="287"/>
      <c r="AC362" s="293">
        <f>'Unit Savings Calculations'!N358</f>
        <v>0</v>
      </c>
      <c r="AD362" s="287"/>
      <c r="AE362" s="292">
        <f t="shared" si="161"/>
        <v>0</v>
      </c>
      <c r="AF362" s="289">
        <f t="shared" si="162"/>
        <v>0</v>
      </c>
      <c r="AG362" s="287"/>
      <c r="AH362" s="287">
        <f t="shared" si="163"/>
        <v>0</v>
      </c>
      <c r="AI362" s="290">
        <f>'Unit Savings Calculations'!O358</f>
        <v>4.4133126823897326</v>
      </c>
      <c r="AJ362" s="287" t="s">
        <v>872</v>
      </c>
      <c r="AK362" s="292">
        <f t="shared" si="164"/>
        <v>0</v>
      </c>
      <c r="AL362" s="289">
        <f t="shared" si="165"/>
        <v>0</v>
      </c>
      <c r="AM362" s="287"/>
      <c r="AN362" s="287"/>
      <c r="AO362" s="290">
        <f>'Unit Savings Calculations'!P358</f>
        <v>0</v>
      </c>
      <c r="AP362" s="287" t="s">
        <v>764</v>
      </c>
      <c r="AQ362" s="292">
        <f t="shared" si="166"/>
        <v>0</v>
      </c>
      <c r="AR362" s="289">
        <f t="shared" si="167"/>
        <v>0</v>
      </c>
      <c r="AS362" s="287"/>
      <c r="AT362" s="287"/>
      <c r="AU362" s="290">
        <f>'Unit Savings Calculations'!Q358</f>
        <v>0</v>
      </c>
      <c r="AV362" s="287" t="str">
        <f t="shared" si="154"/>
        <v>n/a</v>
      </c>
      <c r="AW362" s="292">
        <f t="shared" si="168"/>
        <v>0</v>
      </c>
      <c r="AX362" s="289">
        <f t="shared" si="169"/>
        <v>0</v>
      </c>
      <c r="AY362" s="292">
        <f t="shared" si="155"/>
        <v>0</v>
      </c>
      <c r="AZ362" s="292">
        <f t="shared" si="156"/>
        <v>0</v>
      </c>
      <c r="BA362" s="292">
        <f t="shared" si="157"/>
        <v>0</v>
      </c>
      <c r="BB362" s="292">
        <f t="shared" si="158"/>
        <v>0</v>
      </c>
      <c r="BC362" s="294">
        <f t="shared" si="159"/>
        <v>0</v>
      </c>
      <c r="BD362" s="287" t="s">
        <v>764</v>
      </c>
      <c r="BE362" s="295" t="str">
        <f t="shared" si="160"/>
        <v>Exhibit 1.5B_R Peoples Gas EEPS_Adjustable_Savings_Goal_Template.xlsx, Behavior Tab</v>
      </c>
      <c r="BF362" s="297"/>
    </row>
    <row r="363" spans="1:58" ht="13.5" customHeight="1">
      <c r="A363" s="287" t="s">
        <v>713</v>
      </c>
      <c r="B363" s="287" t="str">
        <f>'Unit Savings Calculations'!D359</f>
        <v>Behavior 2019 Y2 Persistence</v>
      </c>
      <c r="C363" s="288">
        <f t="shared" si="170"/>
        <v>1</v>
      </c>
      <c r="D363" s="287" t="str">
        <f>'Unit Savings Calculations'!T359</f>
        <v>6.1.1</v>
      </c>
      <c r="E363" s="287">
        <f>INDEX('Unit Savings Calculations'!$H$4:$H$421,MATCH('Measure-Level Adjustments Tab'!$A363&amp;"_"&amp;'Measure-Level Adjustments Tab'!$B363,'Unit Savings Calculations'!$A$4:$A$421,0))</f>
        <v>0</v>
      </c>
      <c r="F363" s="287">
        <f>INDEX('Unit Savings Calculations'!$I$4:$I$421,MATCH('Measure-Level Adjustments Tab'!A363&amp;"_"&amp;'Measure-Level Adjustments Tab'!B363,'Unit Savings Calculations'!$A$4:$A$421,0))</f>
        <v>0</v>
      </c>
      <c r="G363" s="287" t="str">
        <f>'Unit Savings Calculations'!E359</f>
        <v>each</v>
      </c>
      <c r="H363" s="289">
        <v>0</v>
      </c>
      <c r="I363" s="289">
        <v>0</v>
      </c>
      <c r="J363" s="289">
        <v>0</v>
      </c>
      <c r="K363" s="289">
        <f>'Unit Savings Calculations'!$F359*'Unit Savings Calculations'!M359</f>
        <v>0</v>
      </c>
      <c r="L363" s="287" t="str">
        <f>'Unit Savings Calculations'!U359</f>
        <v>CC-BEH-BEHP-V02-16061</v>
      </c>
      <c r="M363" s="363" t="s">
        <v>826</v>
      </c>
      <c r="N363" s="290">
        <v>0</v>
      </c>
      <c r="O363" s="290">
        <v>1.9165344383856917</v>
      </c>
      <c r="P363" s="290">
        <v>0</v>
      </c>
      <c r="Q363" s="290">
        <v>0</v>
      </c>
      <c r="R363" s="291">
        <f>'Unit Savings Calculations'!$G359</f>
        <v>1</v>
      </c>
      <c r="S363" s="291">
        <f>'Unit Savings Calculations'!$G359</f>
        <v>1</v>
      </c>
      <c r="T363" s="291">
        <f>'Unit Savings Calculations'!$G359</f>
        <v>1</v>
      </c>
      <c r="U363" s="291">
        <f>'Unit Savings Calculations'!$G359</f>
        <v>1</v>
      </c>
      <c r="V363" s="292">
        <v>0</v>
      </c>
      <c r="W363" s="292">
        <v>0</v>
      </c>
      <c r="X363" s="292">
        <v>0</v>
      </c>
      <c r="Y363" s="292">
        <f t="shared" si="174"/>
        <v>0</v>
      </c>
      <c r="Z363" s="292">
        <f t="shared" si="175"/>
        <v>0</v>
      </c>
      <c r="AA363" s="287"/>
      <c r="AB363" s="287"/>
      <c r="AC363" s="293">
        <f>'Unit Savings Calculations'!N359</f>
        <v>0</v>
      </c>
      <c r="AD363" s="287"/>
      <c r="AE363" s="292">
        <f t="shared" si="161"/>
        <v>0</v>
      </c>
      <c r="AF363" s="289">
        <f t="shared" si="162"/>
        <v>0</v>
      </c>
      <c r="AG363" s="287"/>
      <c r="AH363" s="287">
        <f t="shared" si="163"/>
        <v>0</v>
      </c>
      <c r="AI363" s="290">
        <f>'Unit Savings Calculations'!O359</f>
        <v>1.9165344383856917</v>
      </c>
      <c r="AJ363" s="287" t="s">
        <v>872</v>
      </c>
      <c r="AK363" s="292">
        <f t="shared" si="164"/>
        <v>0</v>
      </c>
      <c r="AL363" s="289">
        <f t="shared" si="165"/>
        <v>0</v>
      </c>
      <c r="AM363" s="287"/>
      <c r="AN363" s="287"/>
      <c r="AO363" s="290">
        <f>'Unit Savings Calculations'!P359</f>
        <v>0</v>
      </c>
      <c r="AP363" s="287" t="s">
        <v>764</v>
      </c>
      <c r="AQ363" s="292">
        <f t="shared" si="166"/>
        <v>0</v>
      </c>
      <c r="AR363" s="289">
        <f t="shared" si="167"/>
        <v>0</v>
      </c>
      <c r="AS363" s="287"/>
      <c r="AT363" s="287"/>
      <c r="AU363" s="290">
        <f>'Unit Savings Calculations'!Q359</f>
        <v>0</v>
      </c>
      <c r="AV363" s="287" t="str">
        <f t="shared" si="154"/>
        <v>n/a</v>
      </c>
      <c r="AW363" s="292">
        <f t="shared" si="168"/>
        <v>0</v>
      </c>
      <c r="AX363" s="289">
        <f t="shared" si="169"/>
        <v>0</v>
      </c>
      <c r="AY363" s="292">
        <f t="shared" si="155"/>
        <v>0</v>
      </c>
      <c r="AZ363" s="292">
        <f t="shared" si="156"/>
        <v>0</v>
      </c>
      <c r="BA363" s="292">
        <f t="shared" si="157"/>
        <v>0</v>
      </c>
      <c r="BB363" s="292">
        <f t="shared" si="158"/>
        <v>0</v>
      </c>
      <c r="BC363" s="294">
        <f t="shared" si="159"/>
        <v>0</v>
      </c>
      <c r="BD363" s="287" t="s">
        <v>764</v>
      </c>
      <c r="BE363" s="295" t="str">
        <f t="shared" si="160"/>
        <v>Exhibit 1.5B_R Peoples Gas EEPS_Adjustable_Savings_Goal_Template.xlsx, Behavior Tab</v>
      </c>
      <c r="BF363" s="297"/>
    </row>
    <row r="364" spans="1:58" ht="13.5" customHeight="1">
      <c r="A364" s="287" t="s">
        <v>713</v>
      </c>
      <c r="B364" s="287" t="str">
        <f>'Unit Savings Calculations'!D360</f>
        <v>Behavior 2019 Y3 Persistence</v>
      </c>
      <c r="C364" s="288">
        <f t="shared" si="170"/>
        <v>1</v>
      </c>
      <c r="D364" s="287" t="str">
        <f>'Unit Savings Calculations'!T360</f>
        <v>6.1.1</v>
      </c>
      <c r="E364" s="287">
        <f>INDEX('Unit Savings Calculations'!$H$4:$H$421,MATCH('Measure-Level Adjustments Tab'!$A364&amp;"_"&amp;'Measure-Level Adjustments Tab'!$B364,'Unit Savings Calculations'!$A$4:$A$421,0))</f>
        <v>0</v>
      </c>
      <c r="F364" s="287">
        <f>INDEX('Unit Savings Calculations'!$I$4:$I$421,MATCH('Measure-Level Adjustments Tab'!A364&amp;"_"&amp;'Measure-Level Adjustments Tab'!B364,'Unit Savings Calculations'!$A$4:$A$421,0))</f>
        <v>0</v>
      </c>
      <c r="G364" s="287" t="str">
        <f>'Unit Savings Calculations'!E360</f>
        <v>each</v>
      </c>
      <c r="H364" s="289">
        <v>0</v>
      </c>
      <c r="I364" s="289">
        <v>0</v>
      </c>
      <c r="J364" s="289">
        <v>0</v>
      </c>
      <c r="K364" s="289">
        <f>'Unit Savings Calculations'!$F360*'Unit Savings Calculations'!M360</f>
        <v>0</v>
      </c>
      <c r="L364" s="287" t="str">
        <f>'Unit Savings Calculations'!U360</f>
        <v>CC-BEH-BEHP-V02-16061</v>
      </c>
      <c r="M364" s="363" t="s">
        <v>826</v>
      </c>
      <c r="N364" s="290">
        <v>0</v>
      </c>
      <c r="O364" s="290">
        <v>0.84268175049712424</v>
      </c>
      <c r="P364" s="290">
        <v>0</v>
      </c>
      <c r="Q364" s="290">
        <v>0</v>
      </c>
      <c r="R364" s="291">
        <f>'Unit Savings Calculations'!$G360</f>
        <v>1</v>
      </c>
      <c r="S364" s="291">
        <f>'Unit Savings Calculations'!$G360</f>
        <v>1</v>
      </c>
      <c r="T364" s="291">
        <f>'Unit Savings Calculations'!$G360</f>
        <v>1</v>
      </c>
      <c r="U364" s="291">
        <f>'Unit Savings Calculations'!$G360</f>
        <v>1</v>
      </c>
      <c r="V364" s="292">
        <v>0</v>
      </c>
      <c r="W364" s="292">
        <v>0</v>
      </c>
      <c r="X364" s="292">
        <v>0</v>
      </c>
      <c r="Y364" s="292">
        <f t="shared" si="174"/>
        <v>0</v>
      </c>
      <c r="Z364" s="292">
        <f t="shared" si="175"/>
        <v>0</v>
      </c>
      <c r="AA364" s="287"/>
      <c r="AB364" s="287"/>
      <c r="AC364" s="293">
        <f>'Unit Savings Calculations'!N360</f>
        <v>0</v>
      </c>
      <c r="AD364" s="287"/>
      <c r="AE364" s="292">
        <f t="shared" si="161"/>
        <v>0</v>
      </c>
      <c r="AF364" s="289">
        <f t="shared" si="162"/>
        <v>0</v>
      </c>
      <c r="AG364" s="287"/>
      <c r="AH364" s="287">
        <f t="shared" si="163"/>
        <v>0</v>
      </c>
      <c r="AI364" s="290">
        <f>'Unit Savings Calculations'!O360</f>
        <v>0.84268175049712424</v>
      </c>
      <c r="AJ364" s="287" t="s">
        <v>872</v>
      </c>
      <c r="AK364" s="292">
        <f t="shared" si="164"/>
        <v>0</v>
      </c>
      <c r="AL364" s="289">
        <f t="shared" si="165"/>
        <v>0</v>
      </c>
      <c r="AM364" s="287"/>
      <c r="AN364" s="287"/>
      <c r="AO364" s="290">
        <f>'Unit Savings Calculations'!P360</f>
        <v>0</v>
      </c>
      <c r="AP364" s="287" t="s">
        <v>764</v>
      </c>
      <c r="AQ364" s="292">
        <f t="shared" si="166"/>
        <v>0</v>
      </c>
      <c r="AR364" s="289">
        <f t="shared" si="167"/>
        <v>0</v>
      </c>
      <c r="AS364" s="287"/>
      <c r="AT364" s="287"/>
      <c r="AU364" s="290">
        <f>'Unit Savings Calculations'!Q360</f>
        <v>0</v>
      </c>
      <c r="AV364" s="287" t="str">
        <f t="shared" si="154"/>
        <v>n/a</v>
      </c>
      <c r="AW364" s="292">
        <f t="shared" si="168"/>
        <v>0</v>
      </c>
      <c r="AX364" s="289">
        <f t="shared" si="169"/>
        <v>0</v>
      </c>
      <c r="AY364" s="292">
        <f t="shared" si="155"/>
        <v>0</v>
      </c>
      <c r="AZ364" s="292">
        <f t="shared" si="156"/>
        <v>0</v>
      </c>
      <c r="BA364" s="292">
        <f t="shared" si="157"/>
        <v>0</v>
      </c>
      <c r="BB364" s="292">
        <f t="shared" si="158"/>
        <v>0</v>
      </c>
      <c r="BC364" s="294">
        <f t="shared" si="159"/>
        <v>0</v>
      </c>
      <c r="BD364" s="287" t="s">
        <v>764</v>
      </c>
      <c r="BE364" s="295" t="str">
        <f t="shared" si="160"/>
        <v>Exhibit 1.5B_R Peoples Gas EEPS_Adjustable_Savings_Goal_Template.xlsx, Behavior Tab</v>
      </c>
      <c r="BF364" s="297"/>
    </row>
    <row r="365" spans="1:58" ht="13.5" customHeight="1">
      <c r="A365" s="287" t="s">
        <v>713</v>
      </c>
      <c r="B365" s="287" t="str">
        <f>'Unit Savings Calculations'!D361</f>
        <v>Behavior 2019 Y4 Persistence</v>
      </c>
      <c r="C365" s="288">
        <f t="shared" si="170"/>
        <v>1</v>
      </c>
      <c r="D365" s="287" t="str">
        <f>'Unit Savings Calculations'!T361</f>
        <v>6.1.1</v>
      </c>
      <c r="E365" s="287">
        <f>INDEX('Unit Savings Calculations'!$H$4:$H$421,MATCH('Measure-Level Adjustments Tab'!$A365&amp;"_"&amp;'Measure-Level Adjustments Tab'!$B365,'Unit Savings Calculations'!$A$4:$A$421,0))</f>
        <v>0</v>
      </c>
      <c r="F365" s="287">
        <f>INDEX('Unit Savings Calculations'!$I$4:$I$421,MATCH('Measure-Level Adjustments Tab'!A365&amp;"_"&amp;'Measure-Level Adjustments Tab'!B365,'Unit Savings Calculations'!$A$4:$A$421,0))</f>
        <v>0</v>
      </c>
      <c r="G365" s="287" t="str">
        <f>'Unit Savings Calculations'!E361</f>
        <v>each</v>
      </c>
      <c r="H365" s="289">
        <v>0</v>
      </c>
      <c r="I365" s="289">
        <v>0</v>
      </c>
      <c r="J365" s="289">
        <v>0</v>
      </c>
      <c r="K365" s="289">
        <f>'Unit Savings Calculations'!$F361*'Unit Savings Calculations'!M361</f>
        <v>0</v>
      </c>
      <c r="L365" s="287" t="str">
        <f>'Unit Savings Calculations'!U361</f>
        <v>CC-BEH-BEHP-V02-16061</v>
      </c>
      <c r="M365" s="363" t="s">
        <v>826</v>
      </c>
      <c r="N365" s="290">
        <v>0</v>
      </c>
      <c r="O365" s="290">
        <v>0.36594474755239126</v>
      </c>
      <c r="P365" s="290">
        <v>0</v>
      </c>
      <c r="Q365" s="290">
        <v>0</v>
      </c>
      <c r="R365" s="291">
        <f>'Unit Savings Calculations'!$G361</f>
        <v>1</v>
      </c>
      <c r="S365" s="291">
        <f>'Unit Savings Calculations'!$G361</f>
        <v>1</v>
      </c>
      <c r="T365" s="291">
        <f>'Unit Savings Calculations'!$G361</f>
        <v>1</v>
      </c>
      <c r="U365" s="291">
        <f>'Unit Savings Calculations'!$G361</f>
        <v>1</v>
      </c>
      <c r="V365" s="292">
        <v>0</v>
      </c>
      <c r="W365" s="292">
        <v>0</v>
      </c>
      <c r="X365" s="292">
        <v>0</v>
      </c>
      <c r="Y365" s="292">
        <f t="shared" si="174"/>
        <v>0</v>
      </c>
      <c r="Z365" s="292">
        <f t="shared" si="175"/>
        <v>0</v>
      </c>
      <c r="AA365" s="287"/>
      <c r="AB365" s="287"/>
      <c r="AC365" s="293">
        <f>'Unit Savings Calculations'!N361</f>
        <v>0</v>
      </c>
      <c r="AD365" s="287"/>
      <c r="AE365" s="292">
        <f t="shared" si="161"/>
        <v>0</v>
      </c>
      <c r="AF365" s="289">
        <f t="shared" si="162"/>
        <v>0</v>
      </c>
      <c r="AG365" s="287"/>
      <c r="AH365" s="287">
        <f t="shared" si="163"/>
        <v>0</v>
      </c>
      <c r="AI365" s="290">
        <f>'Unit Savings Calculations'!O361</f>
        <v>0.36594474755239126</v>
      </c>
      <c r="AJ365" s="287" t="s">
        <v>872</v>
      </c>
      <c r="AK365" s="292">
        <f t="shared" si="164"/>
        <v>0</v>
      </c>
      <c r="AL365" s="289">
        <f t="shared" si="165"/>
        <v>0</v>
      </c>
      <c r="AM365" s="287"/>
      <c r="AN365" s="287"/>
      <c r="AO365" s="290">
        <f>'Unit Savings Calculations'!P361</f>
        <v>0</v>
      </c>
      <c r="AP365" s="287" t="s">
        <v>764</v>
      </c>
      <c r="AQ365" s="292">
        <f t="shared" si="166"/>
        <v>0</v>
      </c>
      <c r="AR365" s="289">
        <f t="shared" si="167"/>
        <v>0</v>
      </c>
      <c r="AS365" s="287"/>
      <c r="AT365" s="287"/>
      <c r="AU365" s="290">
        <f>'Unit Savings Calculations'!Q361</f>
        <v>0</v>
      </c>
      <c r="AV365" s="287" t="str">
        <f t="shared" si="154"/>
        <v>n/a</v>
      </c>
      <c r="AW365" s="292">
        <f t="shared" si="168"/>
        <v>0</v>
      </c>
      <c r="AX365" s="289">
        <f t="shared" si="169"/>
        <v>0</v>
      </c>
      <c r="AY365" s="292">
        <f t="shared" si="155"/>
        <v>0</v>
      </c>
      <c r="AZ365" s="292">
        <f t="shared" si="156"/>
        <v>0</v>
      </c>
      <c r="BA365" s="292">
        <f t="shared" si="157"/>
        <v>0</v>
      </c>
      <c r="BB365" s="292">
        <f t="shared" si="158"/>
        <v>0</v>
      </c>
      <c r="BC365" s="294">
        <f t="shared" si="159"/>
        <v>0</v>
      </c>
      <c r="BD365" s="287" t="s">
        <v>764</v>
      </c>
      <c r="BE365" s="295" t="str">
        <f t="shared" si="160"/>
        <v>Exhibit 1.5B_R Peoples Gas EEPS_Adjustable_Savings_Goal_Template.xlsx, Behavior Tab</v>
      </c>
      <c r="BF365" s="297"/>
    </row>
    <row r="366" spans="1:58" ht="13.5" customHeight="1">
      <c r="A366" s="287" t="s">
        <v>713</v>
      </c>
      <c r="B366" s="287" t="str">
        <f>'Unit Savings Calculations'!D362</f>
        <v>Behavior 2020 Y1 Persistence</v>
      </c>
      <c r="C366" s="288">
        <f t="shared" si="170"/>
        <v>1</v>
      </c>
      <c r="D366" s="287" t="str">
        <f>'Unit Savings Calculations'!T362</f>
        <v>6.1.1</v>
      </c>
      <c r="E366" s="287">
        <f>INDEX('Unit Savings Calculations'!$H$4:$H$421,MATCH('Measure-Level Adjustments Tab'!$A366&amp;"_"&amp;'Measure-Level Adjustments Tab'!$B366,'Unit Savings Calculations'!$A$4:$A$421,0))</f>
        <v>0</v>
      </c>
      <c r="F366" s="287">
        <f>INDEX('Unit Savings Calculations'!$I$4:$I$421,MATCH('Measure-Level Adjustments Tab'!A366&amp;"_"&amp;'Measure-Level Adjustments Tab'!B366,'Unit Savings Calculations'!$A$4:$A$421,0))</f>
        <v>0</v>
      </c>
      <c r="G366" s="287" t="str">
        <f>'Unit Savings Calculations'!E362</f>
        <v>each</v>
      </c>
      <c r="H366" s="289">
        <v>0</v>
      </c>
      <c r="I366" s="289">
        <v>0</v>
      </c>
      <c r="J366" s="289">
        <v>0</v>
      </c>
      <c r="K366" s="289">
        <f>'Unit Savings Calculations'!$F362*'Unit Savings Calculations'!M362</f>
        <v>0</v>
      </c>
      <c r="L366" s="287" t="str">
        <f>'Unit Savings Calculations'!U362</f>
        <v>CC-BEH-BEHP-V02-16061</v>
      </c>
      <c r="M366" s="363" t="s">
        <v>826</v>
      </c>
      <c r="N366" s="290">
        <v>0</v>
      </c>
      <c r="O366" s="290">
        <v>0</v>
      </c>
      <c r="P366" s="290">
        <v>4.4468627672190371</v>
      </c>
      <c r="Q366" s="290">
        <v>0</v>
      </c>
      <c r="R366" s="291">
        <f>'Unit Savings Calculations'!$G362</f>
        <v>1</v>
      </c>
      <c r="S366" s="291">
        <f>'Unit Savings Calculations'!$G362</f>
        <v>1</v>
      </c>
      <c r="T366" s="291">
        <f>'Unit Savings Calculations'!$G362</f>
        <v>1</v>
      </c>
      <c r="U366" s="291">
        <f>'Unit Savings Calculations'!$G362</f>
        <v>1</v>
      </c>
      <c r="V366" s="292">
        <v>0</v>
      </c>
      <c r="W366" s="292">
        <v>0</v>
      </c>
      <c r="X366" s="292">
        <v>0</v>
      </c>
      <c r="Y366" s="292">
        <f t="shared" si="174"/>
        <v>0</v>
      </c>
      <c r="Z366" s="292">
        <f t="shared" si="175"/>
        <v>0</v>
      </c>
      <c r="AA366" s="287"/>
      <c r="AB366" s="287"/>
      <c r="AC366" s="293">
        <f>'Unit Savings Calculations'!N362</f>
        <v>0</v>
      </c>
      <c r="AD366" s="287"/>
      <c r="AE366" s="292">
        <f t="shared" si="161"/>
        <v>0</v>
      </c>
      <c r="AF366" s="289">
        <f t="shared" si="162"/>
        <v>0</v>
      </c>
      <c r="AG366" s="287"/>
      <c r="AH366" s="287">
        <f t="shared" si="163"/>
        <v>0</v>
      </c>
      <c r="AI366" s="290">
        <f>'Unit Savings Calculations'!O362</f>
        <v>0</v>
      </c>
      <c r="AJ366" s="287" t="s">
        <v>872</v>
      </c>
      <c r="AK366" s="292">
        <f t="shared" si="164"/>
        <v>0</v>
      </c>
      <c r="AL366" s="289">
        <f t="shared" si="165"/>
        <v>0</v>
      </c>
      <c r="AM366" s="287"/>
      <c r="AN366" s="287"/>
      <c r="AO366" s="290">
        <f>'Unit Savings Calculations'!P362</f>
        <v>4.4468627672190371</v>
      </c>
      <c r="AP366" s="287" t="s">
        <v>764</v>
      </c>
      <c r="AQ366" s="292">
        <f t="shared" si="166"/>
        <v>0</v>
      </c>
      <c r="AR366" s="289">
        <f t="shared" si="167"/>
        <v>0</v>
      </c>
      <c r="AS366" s="287"/>
      <c r="AT366" s="287"/>
      <c r="AU366" s="290">
        <f>'Unit Savings Calculations'!Q362</f>
        <v>0</v>
      </c>
      <c r="AV366" s="287" t="str">
        <f t="shared" si="154"/>
        <v>n/a</v>
      </c>
      <c r="AW366" s="292">
        <f t="shared" si="168"/>
        <v>0</v>
      </c>
      <c r="AX366" s="289">
        <f t="shared" si="169"/>
        <v>0</v>
      </c>
      <c r="AY366" s="292">
        <f t="shared" si="155"/>
        <v>0</v>
      </c>
      <c r="AZ366" s="292">
        <f t="shared" si="156"/>
        <v>0</v>
      </c>
      <c r="BA366" s="292">
        <f t="shared" si="157"/>
        <v>0</v>
      </c>
      <c r="BB366" s="292">
        <f t="shared" si="158"/>
        <v>0</v>
      </c>
      <c r="BC366" s="294">
        <f t="shared" si="159"/>
        <v>0</v>
      </c>
      <c r="BD366" s="287" t="s">
        <v>764</v>
      </c>
      <c r="BE366" s="295" t="str">
        <f t="shared" si="160"/>
        <v>Exhibit 1.5B_R Peoples Gas EEPS_Adjustable_Savings_Goal_Template.xlsx, Behavior Tab</v>
      </c>
      <c r="BF366" s="297"/>
    </row>
    <row r="367" spans="1:58" ht="13.5" customHeight="1">
      <c r="A367" s="287" t="s">
        <v>713</v>
      </c>
      <c r="B367" s="287" t="str">
        <f>'Unit Savings Calculations'!D363</f>
        <v>Behavior 2020 Y2 Persistence</v>
      </c>
      <c r="C367" s="288">
        <f t="shared" si="170"/>
        <v>1</v>
      </c>
      <c r="D367" s="287" t="str">
        <f>'Unit Savings Calculations'!T363</f>
        <v>6.1.1</v>
      </c>
      <c r="E367" s="287">
        <f>INDEX('Unit Savings Calculations'!$H$4:$H$421,MATCH('Measure-Level Adjustments Tab'!$A367&amp;"_"&amp;'Measure-Level Adjustments Tab'!$B367,'Unit Savings Calculations'!$A$4:$A$421,0))</f>
        <v>0</v>
      </c>
      <c r="F367" s="287">
        <f>INDEX('Unit Savings Calculations'!$I$4:$I$421,MATCH('Measure-Level Adjustments Tab'!A367&amp;"_"&amp;'Measure-Level Adjustments Tab'!B367,'Unit Savings Calculations'!$A$4:$A$421,0))</f>
        <v>0</v>
      </c>
      <c r="G367" s="287" t="str">
        <f>'Unit Savings Calculations'!E363</f>
        <v>each</v>
      </c>
      <c r="H367" s="289">
        <v>0</v>
      </c>
      <c r="I367" s="289">
        <v>0</v>
      </c>
      <c r="J367" s="289">
        <v>0</v>
      </c>
      <c r="K367" s="289">
        <f>'Unit Savings Calculations'!$F363*'Unit Savings Calculations'!M363</f>
        <v>0</v>
      </c>
      <c r="L367" s="287" t="str">
        <f>'Unit Savings Calculations'!U363</f>
        <v>CC-BEH-BEHP-V02-16061</v>
      </c>
      <c r="M367" s="363" t="s">
        <v>826</v>
      </c>
      <c r="N367" s="290">
        <v>0</v>
      </c>
      <c r="O367" s="290">
        <v>0</v>
      </c>
      <c r="P367" s="290">
        <v>1.93110396871666</v>
      </c>
      <c r="Q367" s="290">
        <v>0</v>
      </c>
      <c r="R367" s="291">
        <f>'Unit Savings Calculations'!$G363</f>
        <v>1</v>
      </c>
      <c r="S367" s="291">
        <f>'Unit Savings Calculations'!$G363</f>
        <v>1</v>
      </c>
      <c r="T367" s="291">
        <f>'Unit Savings Calculations'!$G363</f>
        <v>1</v>
      </c>
      <c r="U367" s="291">
        <f>'Unit Savings Calculations'!$G363</f>
        <v>1</v>
      </c>
      <c r="V367" s="292">
        <v>0</v>
      </c>
      <c r="W367" s="292">
        <v>0</v>
      </c>
      <c r="X367" s="292">
        <v>0</v>
      </c>
      <c r="Y367" s="292">
        <f t="shared" si="174"/>
        <v>0</v>
      </c>
      <c r="Z367" s="292">
        <f t="shared" si="175"/>
        <v>0</v>
      </c>
      <c r="AA367" s="287"/>
      <c r="AB367" s="287"/>
      <c r="AC367" s="293">
        <f>'Unit Savings Calculations'!N363</f>
        <v>0</v>
      </c>
      <c r="AD367" s="287"/>
      <c r="AE367" s="292">
        <f t="shared" si="161"/>
        <v>0</v>
      </c>
      <c r="AF367" s="289">
        <f t="shared" si="162"/>
        <v>0</v>
      </c>
      <c r="AG367" s="287"/>
      <c r="AH367" s="287">
        <f t="shared" si="163"/>
        <v>0</v>
      </c>
      <c r="AI367" s="290">
        <f>'Unit Savings Calculations'!O363</f>
        <v>0</v>
      </c>
      <c r="AJ367" s="287" t="s">
        <v>872</v>
      </c>
      <c r="AK367" s="292">
        <f t="shared" si="164"/>
        <v>0</v>
      </c>
      <c r="AL367" s="289">
        <f t="shared" si="165"/>
        <v>0</v>
      </c>
      <c r="AM367" s="287"/>
      <c r="AN367" s="287"/>
      <c r="AO367" s="290">
        <f>'Unit Savings Calculations'!P363</f>
        <v>1.93110396871666</v>
      </c>
      <c r="AP367" s="287" t="s">
        <v>764</v>
      </c>
      <c r="AQ367" s="292">
        <f t="shared" si="166"/>
        <v>0</v>
      </c>
      <c r="AR367" s="289">
        <f t="shared" si="167"/>
        <v>0</v>
      </c>
      <c r="AS367" s="287"/>
      <c r="AT367" s="287"/>
      <c r="AU367" s="290">
        <f>'Unit Savings Calculations'!Q363</f>
        <v>0</v>
      </c>
      <c r="AV367" s="287" t="str">
        <f t="shared" si="154"/>
        <v>n/a</v>
      </c>
      <c r="AW367" s="292">
        <f t="shared" si="168"/>
        <v>0</v>
      </c>
      <c r="AX367" s="289">
        <f t="shared" si="169"/>
        <v>0</v>
      </c>
      <c r="AY367" s="292">
        <f t="shared" si="155"/>
        <v>0</v>
      </c>
      <c r="AZ367" s="292">
        <f t="shared" si="156"/>
        <v>0</v>
      </c>
      <c r="BA367" s="292">
        <f t="shared" si="157"/>
        <v>0</v>
      </c>
      <c r="BB367" s="292">
        <f t="shared" si="158"/>
        <v>0</v>
      </c>
      <c r="BC367" s="294">
        <f t="shared" si="159"/>
        <v>0</v>
      </c>
      <c r="BD367" s="287" t="s">
        <v>764</v>
      </c>
      <c r="BE367" s="295" t="str">
        <f t="shared" si="160"/>
        <v>Exhibit 1.5B_R Peoples Gas EEPS_Adjustable_Savings_Goal_Template.xlsx, Behavior Tab</v>
      </c>
      <c r="BF367" s="297"/>
    </row>
    <row r="368" spans="1:58" ht="13.5" customHeight="1">
      <c r="A368" s="287" t="s">
        <v>713</v>
      </c>
      <c r="B368" s="287" t="str">
        <f>'Unit Savings Calculations'!D364</f>
        <v>Behavior 2020 Y3 Persistence</v>
      </c>
      <c r="C368" s="288">
        <f t="shared" si="170"/>
        <v>1</v>
      </c>
      <c r="D368" s="287" t="str">
        <f>'Unit Savings Calculations'!T364</f>
        <v>6.1.1</v>
      </c>
      <c r="E368" s="287">
        <f>INDEX('Unit Savings Calculations'!$H$4:$H$421,MATCH('Measure-Level Adjustments Tab'!$A368&amp;"_"&amp;'Measure-Level Adjustments Tab'!$B368,'Unit Savings Calculations'!$A$4:$A$421,0))</f>
        <v>0</v>
      </c>
      <c r="F368" s="287">
        <f>INDEX('Unit Savings Calculations'!$I$4:$I$421,MATCH('Measure-Level Adjustments Tab'!A368&amp;"_"&amp;'Measure-Level Adjustments Tab'!B368,'Unit Savings Calculations'!$A$4:$A$421,0))</f>
        <v>0</v>
      </c>
      <c r="G368" s="287" t="str">
        <f>'Unit Savings Calculations'!E364</f>
        <v>each</v>
      </c>
      <c r="H368" s="289">
        <v>0</v>
      </c>
      <c r="I368" s="289">
        <v>0</v>
      </c>
      <c r="J368" s="289">
        <v>0</v>
      </c>
      <c r="K368" s="289">
        <f>'Unit Savings Calculations'!$F364*'Unit Savings Calculations'!M364</f>
        <v>0</v>
      </c>
      <c r="L368" s="287" t="str">
        <f>'Unit Savings Calculations'!U364</f>
        <v>CC-BEH-BEHP-V02-16061</v>
      </c>
      <c r="M368" s="363" t="s">
        <v>826</v>
      </c>
      <c r="N368" s="290">
        <v>0</v>
      </c>
      <c r="O368" s="290">
        <v>0</v>
      </c>
      <c r="P368" s="290">
        <v>0.84908783278676081</v>
      </c>
      <c r="Q368" s="290">
        <v>0</v>
      </c>
      <c r="R368" s="291">
        <f>'Unit Savings Calculations'!$G364</f>
        <v>1</v>
      </c>
      <c r="S368" s="291">
        <f>'Unit Savings Calculations'!$G364</f>
        <v>1</v>
      </c>
      <c r="T368" s="291">
        <f>'Unit Savings Calculations'!$G364</f>
        <v>1</v>
      </c>
      <c r="U368" s="291">
        <f>'Unit Savings Calculations'!$G364</f>
        <v>1</v>
      </c>
      <c r="V368" s="292">
        <v>0</v>
      </c>
      <c r="W368" s="292">
        <v>0</v>
      </c>
      <c r="X368" s="292">
        <v>0</v>
      </c>
      <c r="Y368" s="292">
        <f t="shared" si="174"/>
        <v>0</v>
      </c>
      <c r="Z368" s="292">
        <f t="shared" si="175"/>
        <v>0</v>
      </c>
      <c r="AA368" s="287"/>
      <c r="AB368" s="287"/>
      <c r="AC368" s="293">
        <f>'Unit Savings Calculations'!N364</f>
        <v>0</v>
      </c>
      <c r="AD368" s="287"/>
      <c r="AE368" s="292">
        <f t="shared" si="161"/>
        <v>0</v>
      </c>
      <c r="AF368" s="289">
        <f t="shared" si="162"/>
        <v>0</v>
      </c>
      <c r="AG368" s="287"/>
      <c r="AH368" s="287">
        <f t="shared" si="163"/>
        <v>0</v>
      </c>
      <c r="AI368" s="290">
        <f>'Unit Savings Calculations'!O364</f>
        <v>0</v>
      </c>
      <c r="AJ368" s="287" t="s">
        <v>872</v>
      </c>
      <c r="AK368" s="292">
        <f t="shared" si="164"/>
        <v>0</v>
      </c>
      <c r="AL368" s="289">
        <f t="shared" si="165"/>
        <v>0</v>
      </c>
      <c r="AM368" s="287"/>
      <c r="AN368" s="287"/>
      <c r="AO368" s="290">
        <f>'Unit Savings Calculations'!P364</f>
        <v>0.84908783278676081</v>
      </c>
      <c r="AP368" s="287" t="s">
        <v>764</v>
      </c>
      <c r="AQ368" s="292">
        <f t="shared" si="166"/>
        <v>0</v>
      </c>
      <c r="AR368" s="289">
        <f t="shared" si="167"/>
        <v>0</v>
      </c>
      <c r="AS368" s="287"/>
      <c r="AT368" s="287"/>
      <c r="AU368" s="290">
        <f>'Unit Savings Calculations'!Q364</f>
        <v>0</v>
      </c>
      <c r="AV368" s="287" t="str">
        <f t="shared" si="154"/>
        <v>n/a</v>
      </c>
      <c r="AW368" s="292">
        <f t="shared" si="168"/>
        <v>0</v>
      </c>
      <c r="AX368" s="289">
        <f t="shared" si="169"/>
        <v>0</v>
      </c>
      <c r="AY368" s="292">
        <f t="shared" si="155"/>
        <v>0</v>
      </c>
      <c r="AZ368" s="292">
        <f t="shared" si="156"/>
        <v>0</v>
      </c>
      <c r="BA368" s="292">
        <f t="shared" si="157"/>
        <v>0</v>
      </c>
      <c r="BB368" s="292">
        <f t="shared" si="158"/>
        <v>0</v>
      </c>
      <c r="BC368" s="294">
        <f t="shared" si="159"/>
        <v>0</v>
      </c>
      <c r="BD368" s="287" t="s">
        <v>764</v>
      </c>
      <c r="BE368" s="295" t="str">
        <f t="shared" si="160"/>
        <v>Exhibit 1.5B_R Peoples Gas EEPS_Adjustable_Savings_Goal_Template.xlsx, Behavior Tab</v>
      </c>
      <c r="BF368" s="297"/>
    </row>
    <row r="369" spans="1:58" ht="13.5" customHeight="1">
      <c r="A369" s="287" t="s">
        <v>713</v>
      </c>
      <c r="B369" s="287" t="str">
        <f>'Unit Savings Calculations'!D365</f>
        <v>Behavior 2020 Y4 Persistence</v>
      </c>
      <c r="C369" s="288">
        <f t="shared" si="170"/>
        <v>1</v>
      </c>
      <c r="D369" s="287" t="str">
        <f>'Unit Savings Calculations'!T365</f>
        <v>6.1.1</v>
      </c>
      <c r="E369" s="287">
        <f>INDEX('Unit Savings Calculations'!$H$4:$H$421,MATCH('Measure-Level Adjustments Tab'!$A369&amp;"_"&amp;'Measure-Level Adjustments Tab'!$B369,'Unit Savings Calculations'!$A$4:$A$421,0))</f>
        <v>0</v>
      </c>
      <c r="F369" s="287">
        <f>INDEX('Unit Savings Calculations'!$I$4:$I$421,MATCH('Measure-Level Adjustments Tab'!A369&amp;"_"&amp;'Measure-Level Adjustments Tab'!B369,'Unit Savings Calculations'!$A$4:$A$421,0))</f>
        <v>0</v>
      </c>
      <c r="G369" s="287" t="str">
        <f>'Unit Savings Calculations'!E365</f>
        <v>each</v>
      </c>
      <c r="H369" s="289">
        <v>0</v>
      </c>
      <c r="I369" s="289">
        <v>0</v>
      </c>
      <c r="J369" s="289">
        <v>0</v>
      </c>
      <c r="K369" s="289">
        <f>'Unit Savings Calculations'!$F365*'Unit Savings Calculations'!M365</f>
        <v>0</v>
      </c>
      <c r="L369" s="287" t="str">
        <f>'Unit Savings Calculations'!U365</f>
        <v>CC-BEH-BEHP-V02-16061</v>
      </c>
      <c r="M369" s="363" t="s">
        <v>826</v>
      </c>
      <c r="N369" s="290">
        <v>0</v>
      </c>
      <c r="O369" s="290">
        <v>0</v>
      </c>
      <c r="P369" s="290">
        <v>0.3687266663074823</v>
      </c>
      <c r="Q369" s="290">
        <v>0</v>
      </c>
      <c r="R369" s="291">
        <f>'Unit Savings Calculations'!$G365</f>
        <v>1</v>
      </c>
      <c r="S369" s="291">
        <f>'Unit Savings Calculations'!$G365</f>
        <v>1</v>
      </c>
      <c r="T369" s="291">
        <f>'Unit Savings Calculations'!$G365</f>
        <v>1</v>
      </c>
      <c r="U369" s="291">
        <f>'Unit Savings Calculations'!$G365</f>
        <v>1</v>
      </c>
      <c r="V369" s="292">
        <v>0</v>
      </c>
      <c r="W369" s="292">
        <v>0</v>
      </c>
      <c r="X369" s="292">
        <v>0</v>
      </c>
      <c r="Y369" s="292">
        <f t="shared" si="174"/>
        <v>0</v>
      </c>
      <c r="Z369" s="292">
        <f t="shared" si="175"/>
        <v>0</v>
      </c>
      <c r="AA369" s="287"/>
      <c r="AB369" s="287"/>
      <c r="AC369" s="293">
        <f>'Unit Savings Calculations'!N365</f>
        <v>0</v>
      </c>
      <c r="AD369" s="287"/>
      <c r="AE369" s="292">
        <f t="shared" si="161"/>
        <v>0</v>
      </c>
      <c r="AF369" s="289">
        <f t="shared" si="162"/>
        <v>0</v>
      </c>
      <c r="AG369" s="287"/>
      <c r="AH369" s="287">
        <f t="shared" si="163"/>
        <v>0</v>
      </c>
      <c r="AI369" s="290">
        <f>'Unit Savings Calculations'!O365</f>
        <v>0</v>
      </c>
      <c r="AJ369" s="287" t="s">
        <v>872</v>
      </c>
      <c r="AK369" s="292">
        <f t="shared" si="164"/>
        <v>0</v>
      </c>
      <c r="AL369" s="289">
        <f t="shared" si="165"/>
        <v>0</v>
      </c>
      <c r="AM369" s="287"/>
      <c r="AN369" s="287"/>
      <c r="AO369" s="290">
        <f>'Unit Savings Calculations'!P365</f>
        <v>0.3687266663074823</v>
      </c>
      <c r="AP369" s="287" t="s">
        <v>764</v>
      </c>
      <c r="AQ369" s="292">
        <f t="shared" si="166"/>
        <v>0</v>
      </c>
      <c r="AR369" s="289">
        <f t="shared" si="167"/>
        <v>0</v>
      </c>
      <c r="AS369" s="287"/>
      <c r="AT369" s="287"/>
      <c r="AU369" s="290">
        <f>'Unit Savings Calculations'!Q365</f>
        <v>0</v>
      </c>
      <c r="AV369" s="287" t="str">
        <f t="shared" si="154"/>
        <v>n/a</v>
      </c>
      <c r="AW369" s="292">
        <f t="shared" si="168"/>
        <v>0</v>
      </c>
      <c r="AX369" s="289">
        <f t="shared" si="169"/>
        <v>0</v>
      </c>
      <c r="AY369" s="292">
        <f t="shared" si="155"/>
        <v>0</v>
      </c>
      <c r="AZ369" s="292">
        <f t="shared" si="156"/>
        <v>0</v>
      </c>
      <c r="BA369" s="292">
        <f t="shared" si="157"/>
        <v>0</v>
      </c>
      <c r="BB369" s="292">
        <f t="shared" si="158"/>
        <v>0</v>
      </c>
      <c r="BC369" s="294">
        <f t="shared" si="159"/>
        <v>0</v>
      </c>
      <c r="BD369" s="287" t="s">
        <v>764</v>
      </c>
      <c r="BE369" s="295" t="str">
        <f t="shared" si="160"/>
        <v>Exhibit 1.5B_R Peoples Gas EEPS_Adjustable_Savings_Goal_Template.xlsx, Behavior Tab</v>
      </c>
      <c r="BF369" s="297"/>
    </row>
    <row r="370" spans="1:58" ht="13.5" customHeight="1">
      <c r="A370" s="287" t="s">
        <v>713</v>
      </c>
      <c r="B370" s="287" t="str">
        <f>'Unit Savings Calculations'!D366</f>
        <v>Behavior 2021 Y1 Persistence</v>
      </c>
      <c r="C370" s="288">
        <f t="shared" si="170"/>
        <v>1</v>
      </c>
      <c r="D370" s="287" t="str">
        <f>'Unit Savings Calculations'!T366</f>
        <v>6.1.1</v>
      </c>
      <c r="E370" s="287">
        <f>INDEX('Unit Savings Calculations'!$H$4:$H$421,MATCH('Measure-Level Adjustments Tab'!$A370&amp;"_"&amp;'Measure-Level Adjustments Tab'!$B370,'Unit Savings Calculations'!$A$4:$A$421,0))</f>
        <v>0</v>
      </c>
      <c r="F370" s="287">
        <f>INDEX('Unit Savings Calculations'!$I$4:$I$421,MATCH('Measure-Level Adjustments Tab'!A370&amp;"_"&amp;'Measure-Level Adjustments Tab'!B370,'Unit Savings Calculations'!$A$4:$A$421,0))</f>
        <v>0</v>
      </c>
      <c r="G370" s="287" t="str">
        <f>'Unit Savings Calculations'!E366</f>
        <v>each</v>
      </c>
      <c r="H370" s="289">
        <v>0</v>
      </c>
      <c r="I370" s="289">
        <v>0</v>
      </c>
      <c r="J370" s="289">
        <v>0</v>
      </c>
      <c r="K370" s="289">
        <f>'Unit Savings Calculations'!$F366*'Unit Savings Calculations'!M366</f>
        <v>0</v>
      </c>
      <c r="L370" s="287" t="str">
        <f>'Unit Savings Calculations'!U366</f>
        <v>CC-BEH-BEHP-V02-16061</v>
      </c>
      <c r="M370" s="363" t="s">
        <v>826</v>
      </c>
      <c r="N370" s="290">
        <v>0</v>
      </c>
      <c r="O370" s="290">
        <v>0</v>
      </c>
      <c r="P370" s="290">
        <v>0</v>
      </c>
      <c r="Q370" s="290">
        <v>4.4786422462785671</v>
      </c>
      <c r="R370" s="291">
        <f>'Unit Savings Calculations'!$G366</f>
        <v>1</v>
      </c>
      <c r="S370" s="291">
        <f>'Unit Savings Calculations'!$G366</f>
        <v>1</v>
      </c>
      <c r="T370" s="291">
        <f>'Unit Savings Calculations'!$G366</f>
        <v>1</v>
      </c>
      <c r="U370" s="291">
        <f>'Unit Savings Calculations'!$G366</f>
        <v>1</v>
      </c>
      <c r="V370" s="292">
        <f t="shared" si="171"/>
        <v>0</v>
      </c>
      <c r="W370" s="292">
        <f t="shared" si="172"/>
        <v>0</v>
      </c>
      <c r="X370" s="292">
        <f t="shared" si="173"/>
        <v>0</v>
      </c>
      <c r="Y370" s="292">
        <f t="shared" si="174"/>
        <v>0</v>
      </c>
      <c r="Z370" s="292">
        <f t="shared" si="175"/>
        <v>0</v>
      </c>
      <c r="AA370" s="287"/>
      <c r="AB370" s="287"/>
      <c r="AC370" s="293">
        <f>'Unit Savings Calculations'!N366</f>
        <v>0</v>
      </c>
      <c r="AD370" s="287"/>
      <c r="AE370" s="292">
        <f t="shared" si="161"/>
        <v>0</v>
      </c>
      <c r="AF370" s="289">
        <f t="shared" si="162"/>
        <v>0</v>
      </c>
      <c r="AG370" s="287"/>
      <c r="AH370" s="287">
        <f t="shared" si="163"/>
        <v>0</v>
      </c>
      <c r="AI370" s="290">
        <f>'Unit Savings Calculations'!O366</f>
        <v>0</v>
      </c>
      <c r="AJ370" s="287" t="s">
        <v>872</v>
      </c>
      <c r="AK370" s="292">
        <f t="shared" si="164"/>
        <v>0</v>
      </c>
      <c r="AL370" s="289">
        <f t="shared" si="165"/>
        <v>0</v>
      </c>
      <c r="AM370" s="287"/>
      <c r="AN370" s="287"/>
      <c r="AO370" s="290">
        <f>'Unit Savings Calculations'!P366</f>
        <v>0</v>
      </c>
      <c r="AP370" s="287" t="s">
        <v>764</v>
      </c>
      <c r="AQ370" s="292">
        <f t="shared" si="166"/>
        <v>0</v>
      </c>
      <c r="AR370" s="289">
        <f t="shared" si="167"/>
        <v>0</v>
      </c>
      <c r="AS370" s="287"/>
      <c r="AT370" s="287"/>
      <c r="AU370" s="290">
        <f>'Unit Savings Calculations'!Q366</f>
        <v>4.4786422462785671</v>
      </c>
      <c r="AV370" s="287" t="str">
        <f t="shared" si="154"/>
        <v>n/a</v>
      </c>
      <c r="AW370" s="292">
        <f t="shared" si="168"/>
        <v>0</v>
      </c>
      <c r="AX370" s="289">
        <f t="shared" si="169"/>
        <v>0</v>
      </c>
      <c r="AY370" s="292">
        <f t="shared" si="155"/>
        <v>0</v>
      </c>
      <c r="AZ370" s="292">
        <f t="shared" si="156"/>
        <v>0</v>
      </c>
      <c r="BA370" s="292">
        <f t="shared" si="157"/>
        <v>0</v>
      </c>
      <c r="BB370" s="292">
        <f t="shared" si="158"/>
        <v>0</v>
      </c>
      <c r="BC370" s="294">
        <f t="shared" si="159"/>
        <v>0</v>
      </c>
      <c r="BD370" s="287" t="s">
        <v>764</v>
      </c>
      <c r="BE370" s="295" t="str">
        <f t="shared" si="160"/>
        <v>Exhibit 1.5B_R Peoples Gas EEPS_Adjustable_Savings_Goal_Template.xlsx, Behavior Tab</v>
      </c>
      <c r="BF370" s="297"/>
    </row>
    <row r="371" spans="1:58" ht="13.5" customHeight="1">
      <c r="A371" s="287" t="s">
        <v>713</v>
      </c>
      <c r="B371" s="287" t="str">
        <f>'Unit Savings Calculations'!D367</f>
        <v>Behavior 2021 Y2 Persistence</v>
      </c>
      <c r="C371" s="288">
        <f t="shared" si="170"/>
        <v>1</v>
      </c>
      <c r="D371" s="287" t="str">
        <f>'Unit Savings Calculations'!T367</f>
        <v>6.1.1</v>
      </c>
      <c r="E371" s="287">
        <f>INDEX('Unit Savings Calculations'!$H$4:$H$421,MATCH('Measure-Level Adjustments Tab'!$A371&amp;"_"&amp;'Measure-Level Adjustments Tab'!$B371,'Unit Savings Calculations'!$A$4:$A$421,0))</f>
        <v>0</v>
      </c>
      <c r="F371" s="287">
        <f>INDEX('Unit Savings Calculations'!$I$4:$I$421,MATCH('Measure-Level Adjustments Tab'!A371&amp;"_"&amp;'Measure-Level Adjustments Tab'!B371,'Unit Savings Calculations'!$A$4:$A$421,0))</f>
        <v>0</v>
      </c>
      <c r="G371" s="287" t="str">
        <f>'Unit Savings Calculations'!E367</f>
        <v>each</v>
      </c>
      <c r="H371" s="289">
        <v>0</v>
      </c>
      <c r="I371" s="289">
        <v>0</v>
      </c>
      <c r="J371" s="289">
        <v>0</v>
      </c>
      <c r="K371" s="289">
        <f>'Unit Savings Calculations'!$F367*'Unit Savings Calculations'!M367</f>
        <v>0</v>
      </c>
      <c r="L371" s="287" t="str">
        <f>'Unit Savings Calculations'!U367</f>
        <v>CC-BEH-BEHP-V02-16061</v>
      </c>
      <c r="M371" s="363" t="s">
        <v>826</v>
      </c>
      <c r="N371" s="290">
        <v>0</v>
      </c>
      <c r="O371" s="290">
        <v>0</v>
      </c>
      <c r="P371" s="290">
        <v>0</v>
      </c>
      <c r="Q371" s="290">
        <v>1.9449045920657781</v>
      </c>
      <c r="R371" s="291">
        <f>'Unit Savings Calculations'!$G367</f>
        <v>1</v>
      </c>
      <c r="S371" s="291">
        <f>'Unit Savings Calculations'!$G367</f>
        <v>1</v>
      </c>
      <c r="T371" s="291">
        <f>'Unit Savings Calculations'!$G367</f>
        <v>1</v>
      </c>
      <c r="U371" s="291">
        <f>'Unit Savings Calculations'!$G367</f>
        <v>1</v>
      </c>
      <c r="V371" s="292">
        <f t="shared" si="171"/>
        <v>0</v>
      </c>
      <c r="W371" s="292">
        <f t="shared" si="172"/>
        <v>0</v>
      </c>
      <c r="X371" s="292">
        <f t="shared" si="173"/>
        <v>0</v>
      </c>
      <c r="Y371" s="292">
        <f t="shared" si="174"/>
        <v>0</v>
      </c>
      <c r="Z371" s="292">
        <f t="shared" si="175"/>
        <v>0</v>
      </c>
      <c r="AA371" s="287"/>
      <c r="AB371" s="287"/>
      <c r="AC371" s="293">
        <f>'Unit Savings Calculations'!N367</f>
        <v>0</v>
      </c>
      <c r="AD371" s="287"/>
      <c r="AE371" s="292">
        <f t="shared" si="161"/>
        <v>0</v>
      </c>
      <c r="AF371" s="289">
        <f t="shared" si="162"/>
        <v>0</v>
      </c>
      <c r="AG371" s="287"/>
      <c r="AH371" s="287">
        <f t="shared" si="163"/>
        <v>0</v>
      </c>
      <c r="AI371" s="290">
        <f>'Unit Savings Calculations'!O367</f>
        <v>0</v>
      </c>
      <c r="AJ371" s="287" t="s">
        <v>872</v>
      </c>
      <c r="AK371" s="292">
        <f t="shared" si="164"/>
        <v>0</v>
      </c>
      <c r="AL371" s="289">
        <f t="shared" si="165"/>
        <v>0</v>
      </c>
      <c r="AM371" s="287"/>
      <c r="AN371" s="287"/>
      <c r="AO371" s="290">
        <f>'Unit Savings Calculations'!P367</f>
        <v>0</v>
      </c>
      <c r="AP371" s="287" t="s">
        <v>764</v>
      </c>
      <c r="AQ371" s="292">
        <f t="shared" si="166"/>
        <v>0</v>
      </c>
      <c r="AR371" s="289">
        <f t="shared" si="167"/>
        <v>0</v>
      </c>
      <c r="AS371" s="287"/>
      <c r="AT371" s="287"/>
      <c r="AU371" s="290">
        <f>'Unit Savings Calculations'!Q367</f>
        <v>1.9449045920657781</v>
      </c>
      <c r="AV371" s="287" t="str">
        <f t="shared" si="154"/>
        <v>n/a</v>
      </c>
      <c r="AW371" s="292">
        <f t="shared" si="168"/>
        <v>0</v>
      </c>
      <c r="AX371" s="289">
        <f t="shared" si="169"/>
        <v>0</v>
      </c>
      <c r="AY371" s="292">
        <f t="shared" si="155"/>
        <v>0</v>
      </c>
      <c r="AZ371" s="292">
        <f t="shared" si="156"/>
        <v>0</v>
      </c>
      <c r="BA371" s="292">
        <f t="shared" si="157"/>
        <v>0</v>
      </c>
      <c r="BB371" s="292">
        <f t="shared" si="158"/>
        <v>0</v>
      </c>
      <c r="BC371" s="294">
        <f t="shared" si="159"/>
        <v>0</v>
      </c>
      <c r="BD371" s="287" t="s">
        <v>764</v>
      </c>
      <c r="BE371" s="295" t="str">
        <f t="shared" si="160"/>
        <v>Exhibit 1.5B_R Peoples Gas EEPS_Adjustable_Savings_Goal_Template.xlsx, Behavior Tab</v>
      </c>
      <c r="BF371" s="297"/>
    </row>
    <row r="372" spans="1:58" ht="13.5" customHeight="1">
      <c r="A372" s="287" t="s">
        <v>713</v>
      </c>
      <c r="B372" s="287" t="str">
        <f>'Unit Savings Calculations'!D368</f>
        <v>Behavior 2021 Y3 Persistence</v>
      </c>
      <c r="C372" s="288">
        <f t="shared" si="170"/>
        <v>1</v>
      </c>
      <c r="D372" s="287" t="str">
        <f>'Unit Savings Calculations'!T368</f>
        <v>6.1.1</v>
      </c>
      <c r="E372" s="287">
        <f>INDEX('Unit Savings Calculations'!$H$4:$H$421,MATCH('Measure-Level Adjustments Tab'!$A372&amp;"_"&amp;'Measure-Level Adjustments Tab'!$B372,'Unit Savings Calculations'!$A$4:$A$421,0))</f>
        <v>0</v>
      </c>
      <c r="F372" s="287">
        <f>INDEX('Unit Savings Calculations'!$I$4:$I$421,MATCH('Measure-Level Adjustments Tab'!A372&amp;"_"&amp;'Measure-Level Adjustments Tab'!B372,'Unit Savings Calculations'!$A$4:$A$421,0))</f>
        <v>0</v>
      </c>
      <c r="G372" s="287" t="str">
        <f>'Unit Savings Calculations'!E368</f>
        <v>each</v>
      </c>
      <c r="H372" s="289">
        <v>0</v>
      </c>
      <c r="I372" s="289">
        <v>0</v>
      </c>
      <c r="J372" s="289">
        <v>0</v>
      </c>
      <c r="K372" s="289">
        <f>'Unit Savings Calculations'!$F368*'Unit Savings Calculations'!M368</f>
        <v>0</v>
      </c>
      <c r="L372" s="287" t="str">
        <f>'Unit Savings Calculations'!U368</f>
        <v>CC-BEH-BEHP-V02-16061</v>
      </c>
      <c r="M372" s="363" t="s">
        <v>826</v>
      </c>
      <c r="N372" s="290">
        <v>0</v>
      </c>
      <c r="O372" s="290">
        <v>0</v>
      </c>
      <c r="P372" s="290">
        <v>0</v>
      </c>
      <c r="Q372" s="290">
        <v>0.85515583407536899</v>
      </c>
      <c r="R372" s="291">
        <f>'Unit Savings Calculations'!$G368</f>
        <v>1</v>
      </c>
      <c r="S372" s="291">
        <f>'Unit Savings Calculations'!$G368</f>
        <v>1</v>
      </c>
      <c r="T372" s="291">
        <f>'Unit Savings Calculations'!$G368</f>
        <v>1</v>
      </c>
      <c r="U372" s="291">
        <f>'Unit Savings Calculations'!$G368</f>
        <v>1</v>
      </c>
      <c r="V372" s="292">
        <f t="shared" si="171"/>
        <v>0</v>
      </c>
      <c r="W372" s="292">
        <f t="shared" si="172"/>
        <v>0</v>
      </c>
      <c r="X372" s="292">
        <f t="shared" si="173"/>
        <v>0</v>
      </c>
      <c r="Y372" s="292">
        <f t="shared" si="174"/>
        <v>0</v>
      </c>
      <c r="Z372" s="292">
        <f t="shared" si="175"/>
        <v>0</v>
      </c>
      <c r="AA372" s="287"/>
      <c r="AB372" s="287"/>
      <c r="AC372" s="293">
        <f>'Unit Savings Calculations'!N368</f>
        <v>0</v>
      </c>
      <c r="AD372" s="287"/>
      <c r="AE372" s="292">
        <f t="shared" si="161"/>
        <v>0</v>
      </c>
      <c r="AF372" s="289">
        <f t="shared" si="162"/>
        <v>0</v>
      </c>
      <c r="AG372" s="287"/>
      <c r="AH372" s="287">
        <f t="shared" si="163"/>
        <v>0</v>
      </c>
      <c r="AI372" s="290">
        <f>'Unit Savings Calculations'!O368</f>
        <v>0</v>
      </c>
      <c r="AJ372" s="287" t="s">
        <v>872</v>
      </c>
      <c r="AK372" s="292">
        <f t="shared" si="164"/>
        <v>0</v>
      </c>
      <c r="AL372" s="289">
        <f t="shared" si="165"/>
        <v>0</v>
      </c>
      <c r="AM372" s="287"/>
      <c r="AN372" s="287"/>
      <c r="AO372" s="290">
        <f>'Unit Savings Calculations'!P368</f>
        <v>0</v>
      </c>
      <c r="AP372" s="287" t="s">
        <v>764</v>
      </c>
      <c r="AQ372" s="292">
        <f t="shared" si="166"/>
        <v>0</v>
      </c>
      <c r="AR372" s="289">
        <f t="shared" si="167"/>
        <v>0</v>
      </c>
      <c r="AS372" s="287"/>
      <c r="AT372" s="287"/>
      <c r="AU372" s="290">
        <f>'Unit Savings Calculations'!Q368</f>
        <v>0.85515583407536899</v>
      </c>
      <c r="AV372" s="287" t="str">
        <f t="shared" si="154"/>
        <v>n/a</v>
      </c>
      <c r="AW372" s="292">
        <f t="shared" si="168"/>
        <v>0</v>
      </c>
      <c r="AX372" s="289">
        <f t="shared" si="169"/>
        <v>0</v>
      </c>
      <c r="AY372" s="292">
        <f t="shared" si="155"/>
        <v>0</v>
      </c>
      <c r="AZ372" s="292">
        <f t="shared" si="156"/>
        <v>0</v>
      </c>
      <c r="BA372" s="292">
        <f t="shared" si="157"/>
        <v>0</v>
      </c>
      <c r="BB372" s="292">
        <f t="shared" si="158"/>
        <v>0</v>
      </c>
      <c r="BC372" s="294">
        <f t="shared" si="159"/>
        <v>0</v>
      </c>
      <c r="BD372" s="287" t="s">
        <v>764</v>
      </c>
      <c r="BE372" s="295" t="str">
        <f t="shared" si="160"/>
        <v>Exhibit 1.5B_R Peoples Gas EEPS_Adjustable_Savings_Goal_Template.xlsx, Behavior Tab</v>
      </c>
      <c r="BF372" s="297"/>
    </row>
    <row r="373" spans="1:58" ht="13.5" customHeight="1">
      <c r="A373" s="287" t="s">
        <v>713</v>
      </c>
      <c r="B373" s="287" t="str">
        <f>'Unit Savings Calculations'!D369</f>
        <v>Behavior 2021 Y4 Persistence</v>
      </c>
      <c r="C373" s="288">
        <f t="shared" si="170"/>
        <v>1</v>
      </c>
      <c r="D373" s="287" t="str">
        <f>'Unit Savings Calculations'!T369</f>
        <v>6.1.1</v>
      </c>
      <c r="E373" s="287">
        <f>INDEX('Unit Savings Calculations'!$H$4:$H$421,MATCH('Measure-Level Adjustments Tab'!$A373&amp;"_"&amp;'Measure-Level Adjustments Tab'!$B373,'Unit Savings Calculations'!$A$4:$A$421,0))</f>
        <v>0</v>
      </c>
      <c r="F373" s="287">
        <f>INDEX('Unit Savings Calculations'!$I$4:$I$421,MATCH('Measure-Level Adjustments Tab'!A373&amp;"_"&amp;'Measure-Level Adjustments Tab'!B373,'Unit Savings Calculations'!$A$4:$A$421,0))</f>
        <v>0</v>
      </c>
      <c r="G373" s="287" t="str">
        <f>'Unit Savings Calculations'!E369</f>
        <v>each</v>
      </c>
      <c r="H373" s="289">
        <v>0</v>
      </c>
      <c r="I373" s="289">
        <v>0</v>
      </c>
      <c r="J373" s="289">
        <v>0</v>
      </c>
      <c r="K373" s="289">
        <f>'Unit Savings Calculations'!$F369*'Unit Savings Calculations'!M369</f>
        <v>0</v>
      </c>
      <c r="L373" s="287" t="str">
        <f>'Unit Savings Calculations'!U369</f>
        <v>CC-BEH-BEHP-V02-16061</v>
      </c>
      <c r="M373" s="363" t="s">
        <v>826</v>
      </c>
      <c r="N373" s="290">
        <v>0</v>
      </c>
      <c r="O373" s="290">
        <v>0</v>
      </c>
      <c r="P373" s="290">
        <v>0</v>
      </c>
      <c r="Q373" s="290">
        <v>0.37136176929671566</v>
      </c>
      <c r="R373" s="291">
        <f>'Unit Savings Calculations'!$G369</f>
        <v>1</v>
      </c>
      <c r="S373" s="291">
        <f>'Unit Savings Calculations'!$G369</f>
        <v>1</v>
      </c>
      <c r="T373" s="291">
        <f>'Unit Savings Calculations'!$G369</f>
        <v>1</v>
      </c>
      <c r="U373" s="291">
        <f>'Unit Savings Calculations'!$G369</f>
        <v>1</v>
      </c>
      <c r="V373" s="292">
        <f t="shared" si="171"/>
        <v>0</v>
      </c>
      <c r="W373" s="292">
        <f t="shared" si="172"/>
        <v>0</v>
      </c>
      <c r="X373" s="292">
        <f t="shared" si="173"/>
        <v>0</v>
      </c>
      <c r="Y373" s="292">
        <f t="shared" si="174"/>
        <v>0</v>
      </c>
      <c r="Z373" s="292">
        <f t="shared" si="175"/>
        <v>0</v>
      </c>
      <c r="AA373" s="287"/>
      <c r="AB373" s="287"/>
      <c r="AC373" s="293">
        <f>'Unit Savings Calculations'!N369</f>
        <v>0</v>
      </c>
      <c r="AD373" s="287"/>
      <c r="AE373" s="292">
        <f t="shared" si="161"/>
        <v>0</v>
      </c>
      <c r="AF373" s="289">
        <f t="shared" si="162"/>
        <v>0</v>
      </c>
      <c r="AG373" s="287"/>
      <c r="AH373" s="287">
        <f t="shared" si="163"/>
        <v>0</v>
      </c>
      <c r="AI373" s="290">
        <f>'Unit Savings Calculations'!O369</f>
        <v>0</v>
      </c>
      <c r="AJ373" s="287" t="s">
        <v>872</v>
      </c>
      <c r="AK373" s="292">
        <f t="shared" si="164"/>
        <v>0</v>
      </c>
      <c r="AL373" s="289">
        <f t="shared" si="165"/>
        <v>0</v>
      </c>
      <c r="AM373" s="287"/>
      <c r="AN373" s="287"/>
      <c r="AO373" s="290">
        <f>'Unit Savings Calculations'!P369</f>
        <v>0</v>
      </c>
      <c r="AP373" s="287" t="s">
        <v>764</v>
      </c>
      <c r="AQ373" s="292">
        <f t="shared" si="166"/>
        <v>0</v>
      </c>
      <c r="AR373" s="289">
        <f t="shared" si="167"/>
        <v>0</v>
      </c>
      <c r="AS373" s="287"/>
      <c r="AT373" s="287"/>
      <c r="AU373" s="290">
        <f>'Unit Savings Calculations'!Q369</f>
        <v>0.37136176929671566</v>
      </c>
      <c r="AV373" s="287" t="str">
        <f t="shared" si="154"/>
        <v>n/a</v>
      </c>
      <c r="AW373" s="292">
        <f t="shared" si="168"/>
        <v>0</v>
      </c>
      <c r="AX373" s="289">
        <f t="shared" si="169"/>
        <v>0</v>
      </c>
      <c r="AY373" s="292">
        <f t="shared" si="155"/>
        <v>0</v>
      </c>
      <c r="AZ373" s="292">
        <f t="shared" si="156"/>
        <v>0</v>
      </c>
      <c r="BA373" s="292">
        <f t="shared" si="157"/>
        <v>0</v>
      </c>
      <c r="BB373" s="292">
        <f t="shared" si="158"/>
        <v>0</v>
      </c>
      <c r="BC373" s="294">
        <f t="shared" si="159"/>
        <v>0</v>
      </c>
      <c r="BD373" s="287" t="s">
        <v>764</v>
      </c>
      <c r="BE373" s="295" t="str">
        <f t="shared" si="160"/>
        <v>Exhibit 1.5B_R Peoples Gas EEPS_Adjustable_Savings_Goal_Template.xlsx, Behavior Tab</v>
      </c>
      <c r="BF373" s="297"/>
    </row>
    <row r="374" spans="1:58" ht="13.5" customHeight="1">
      <c r="A374" s="287" t="s">
        <v>713</v>
      </c>
      <c r="B374" s="287" t="str">
        <f>'Unit Savings Calculations'!D370</f>
        <v>Energy Education</v>
      </c>
      <c r="C374" s="288">
        <f t="shared" si="170"/>
        <v>0</v>
      </c>
      <c r="D374" s="287" t="str">
        <f>'Unit Savings Calculations'!T370</f>
        <v>Custom</v>
      </c>
      <c r="E374" s="287">
        <f>INDEX('Unit Savings Calculations'!$H$4:$H$421,MATCH('Measure-Level Adjustments Tab'!$A374&amp;"_"&amp;'Measure-Level Adjustments Tab'!$B374,'Unit Savings Calculations'!$A$4:$A$421,0))</f>
        <v>4</v>
      </c>
      <c r="F374" s="287">
        <f>INDEX('Unit Savings Calculations'!$I$4:$I$421,MATCH('Measure-Level Adjustments Tab'!A374&amp;"_"&amp;'Measure-Level Adjustments Tab'!B374,'Unit Savings Calculations'!$A$4:$A$421,0))</f>
        <v>4</v>
      </c>
      <c r="G374" s="287" t="str">
        <f>'Unit Savings Calculations'!E370</f>
        <v>each</v>
      </c>
      <c r="H374" s="289">
        <f>'Unit Savings Calculations'!$F370*'Unit Savings Calculations'!J370</f>
        <v>0</v>
      </c>
      <c r="I374" s="289">
        <f>'Unit Savings Calculations'!$F370*'Unit Savings Calculations'!K370</f>
        <v>0</v>
      </c>
      <c r="J374" s="289">
        <f>'Unit Savings Calculations'!$F370*'Unit Savings Calculations'!L370</f>
        <v>0</v>
      </c>
      <c r="K374" s="289">
        <f>'Unit Savings Calculations'!$F370*'Unit Savings Calculations'!M370</f>
        <v>0</v>
      </c>
      <c r="L374" s="287" t="str">
        <f>'Unit Savings Calculations'!U370</f>
        <v>Custom</v>
      </c>
      <c r="M374" s="287" t="str">
        <f>'Unit Savings Calculations'!S370</f>
        <v>Custom</v>
      </c>
      <c r="N374" s="290">
        <v>10</v>
      </c>
      <c r="O374" s="290">
        <v>10</v>
      </c>
      <c r="P374" s="290">
        <v>10</v>
      </c>
      <c r="Q374" s="290">
        <v>10</v>
      </c>
      <c r="R374" s="291">
        <f>'Unit Savings Calculations'!$G370</f>
        <v>1</v>
      </c>
      <c r="S374" s="291">
        <f>'Unit Savings Calculations'!$G370</f>
        <v>1</v>
      </c>
      <c r="T374" s="291">
        <f>'Unit Savings Calculations'!$G370</f>
        <v>1</v>
      </c>
      <c r="U374" s="291">
        <f>'Unit Savings Calculations'!$G370</f>
        <v>1</v>
      </c>
      <c r="V374" s="292">
        <f t="shared" si="171"/>
        <v>0</v>
      </c>
      <c r="W374" s="292">
        <f t="shared" si="172"/>
        <v>0</v>
      </c>
      <c r="X374" s="292">
        <f t="shared" si="173"/>
        <v>0</v>
      </c>
      <c r="Y374" s="292">
        <f t="shared" si="174"/>
        <v>0</v>
      </c>
      <c r="Z374" s="292">
        <f t="shared" si="175"/>
        <v>0</v>
      </c>
      <c r="AA374" s="364"/>
      <c r="AB374" s="364"/>
      <c r="AC374" s="365">
        <f>'Unit Savings Calculations'!N370</f>
        <v>10</v>
      </c>
      <c r="AD374" s="364"/>
      <c r="AE374" s="366">
        <f t="shared" si="161"/>
        <v>0</v>
      </c>
      <c r="AF374" s="367">
        <f t="shared" si="162"/>
        <v>0</v>
      </c>
      <c r="AG374" s="364"/>
      <c r="AH374" s="364">
        <f t="shared" si="163"/>
        <v>0</v>
      </c>
      <c r="AI374" s="368">
        <f>'Unit Savings Calculations'!O370</f>
        <v>10</v>
      </c>
      <c r="AJ374" s="364" t="s">
        <v>872</v>
      </c>
      <c r="AK374" s="366">
        <f t="shared" si="164"/>
        <v>0</v>
      </c>
      <c r="AL374" s="367">
        <f t="shared" si="165"/>
        <v>0</v>
      </c>
      <c r="AM374" s="364"/>
      <c r="AN374" s="364"/>
      <c r="AO374" s="368">
        <f>'Unit Savings Calculations'!P370</f>
        <v>10</v>
      </c>
      <c r="AP374" s="364" t="s">
        <v>764</v>
      </c>
      <c r="AQ374" s="366">
        <f t="shared" si="166"/>
        <v>0</v>
      </c>
      <c r="AR374" s="367">
        <f t="shared" si="167"/>
        <v>0</v>
      </c>
      <c r="AS374" s="364"/>
      <c r="AT374" s="364"/>
      <c r="AU374" s="368">
        <f>'Unit Savings Calculations'!Q370</f>
        <v>10</v>
      </c>
      <c r="AV374" s="364" t="str">
        <f t="shared" si="154"/>
        <v>n/a</v>
      </c>
      <c r="AW374" s="366">
        <f t="shared" si="168"/>
        <v>0</v>
      </c>
      <c r="AX374" s="367">
        <f t="shared" si="169"/>
        <v>0</v>
      </c>
      <c r="AY374" s="292">
        <f t="shared" si="155"/>
        <v>0</v>
      </c>
      <c r="AZ374" s="292">
        <f t="shared" si="156"/>
        <v>0</v>
      </c>
      <c r="BA374" s="292">
        <f t="shared" si="157"/>
        <v>0</v>
      </c>
      <c r="BB374" s="292">
        <f t="shared" si="158"/>
        <v>0</v>
      </c>
      <c r="BC374" s="294">
        <f t="shared" si="159"/>
        <v>0</v>
      </c>
      <c r="BD374" s="287" t="s">
        <v>764</v>
      </c>
      <c r="BE374" s="295" t="str">
        <f t="shared" si="160"/>
        <v>Custom</v>
      </c>
      <c r="BF374" s="297"/>
    </row>
    <row r="375" spans="1:58" ht="13.5" customHeight="1">
      <c r="A375" s="287" t="str">
        <f>'Unit Savings Calculations'!C371</f>
        <v>Low Income - SF Retrofit</v>
      </c>
      <c r="B375" s="287" t="str">
        <f>'Unit Savings Calculations'!D371</f>
        <v>Bathroom Aerator</v>
      </c>
      <c r="C375" s="288">
        <f t="shared" si="170"/>
        <v>1</v>
      </c>
      <c r="D375" s="287" t="str">
        <f>'Unit Savings Calculations'!T371</f>
        <v>5.4.4</v>
      </c>
      <c r="E375" s="287">
        <f>INDEX('Unit Savings Calculations'!$H$4:$H$421,MATCH('Measure-Level Adjustments Tab'!$A375&amp;"_"&amp;'Measure-Level Adjustments Tab'!$B375,'Unit Savings Calculations'!$A$4:$A$421,0))</f>
        <v>9</v>
      </c>
      <c r="F375" s="287">
        <f>INDEX('Unit Savings Calculations'!$I$4:$I$421,MATCH('Measure-Level Adjustments Tab'!A375&amp;"_"&amp;'Measure-Level Adjustments Tab'!B375,'Unit Savings Calculations'!$A$4:$A$421,0))</f>
        <v>10</v>
      </c>
      <c r="G375" s="287" t="str">
        <f>'Unit Savings Calculations'!E371</f>
        <v>each</v>
      </c>
      <c r="H375" s="289">
        <f>'Unit Savings Calculations'!$F371*'Unit Savings Calculations'!J371</f>
        <v>1493</v>
      </c>
      <c r="I375" s="289">
        <f>'Unit Savings Calculations'!$F371*'Unit Savings Calculations'!K371</f>
        <v>1493</v>
      </c>
      <c r="J375" s="289">
        <f>'Unit Savings Calculations'!$F371*'Unit Savings Calculations'!L371</f>
        <v>1493</v>
      </c>
      <c r="K375" s="289">
        <f>'Unit Savings Calculations'!$F371*'Unit Savings Calculations'!M371</f>
        <v>1493</v>
      </c>
      <c r="L375" s="287" t="str">
        <f>'Unit Savings Calculations'!U371</f>
        <v>RS-HWE-LFFA-V06-180101</v>
      </c>
      <c r="M375" s="363" t="s">
        <v>830</v>
      </c>
      <c r="N375" s="290">
        <v>0.69292055940766484</v>
      </c>
      <c r="O375" s="290">
        <v>0.69292055940766484</v>
      </c>
      <c r="P375" s="290">
        <v>0.69292055940766484</v>
      </c>
      <c r="Q375" s="290">
        <v>0.69292055940766484</v>
      </c>
      <c r="R375" s="291">
        <f>'Unit Savings Calculations'!$G371</f>
        <v>1</v>
      </c>
      <c r="S375" s="291">
        <f>'Unit Savings Calculations'!$G371</f>
        <v>1</v>
      </c>
      <c r="T375" s="291">
        <f>'Unit Savings Calculations'!$G371</f>
        <v>1</v>
      </c>
      <c r="U375" s="291">
        <f>'Unit Savings Calculations'!$G371</f>
        <v>1</v>
      </c>
      <c r="V375" s="292">
        <f t="shared" si="171"/>
        <v>1034.5303951956437</v>
      </c>
      <c r="W375" s="292">
        <f t="shared" si="172"/>
        <v>1034.5303951956437</v>
      </c>
      <c r="X375" s="292">
        <f t="shared" si="173"/>
        <v>1034.5303951956437</v>
      </c>
      <c r="Y375" s="292">
        <f t="shared" si="174"/>
        <v>1034.5303951956437</v>
      </c>
      <c r="Z375" s="292">
        <f t="shared" si="175"/>
        <v>4138.1215807825747</v>
      </c>
      <c r="AA375" s="287"/>
      <c r="AB375" s="287"/>
      <c r="AC375" s="293">
        <f>'Unit Savings Calculations'!N371</f>
        <v>0.90849584455671673</v>
      </c>
      <c r="AD375" s="287"/>
      <c r="AE375" s="292">
        <f t="shared" si="161"/>
        <v>1356.3842959231781</v>
      </c>
      <c r="AF375" s="289">
        <f t="shared" si="162"/>
        <v>321.85390072753444</v>
      </c>
      <c r="AG375" s="287"/>
      <c r="AH375" s="287">
        <f t="shared" si="163"/>
        <v>0</v>
      </c>
      <c r="AI375" s="290">
        <f>'Unit Savings Calculations'!O371</f>
        <v>0.90849584455671673</v>
      </c>
      <c r="AJ375" s="287" t="s">
        <v>1010</v>
      </c>
      <c r="AK375" s="292">
        <f t="shared" si="164"/>
        <v>1356.3842959231781</v>
      </c>
      <c r="AL375" s="289">
        <f t="shared" si="165"/>
        <v>321.85390072753444</v>
      </c>
      <c r="AM375" s="287"/>
      <c r="AN375" s="287"/>
      <c r="AO375" s="290">
        <f>'Unit Savings Calculations'!P371</f>
        <v>0.90849584455671673</v>
      </c>
      <c r="AP375" s="287" t="s">
        <v>764</v>
      </c>
      <c r="AQ375" s="292">
        <f t="shared" si="166"/>
        <v>1356.3842959231781</v>
      </c>
      <c r="AR375" s="289">
        <f t="shared" si="167"/>
        <v>321.85390072753444</v>
      </c>
      <c r="AS375" s="287"/>
      <c r="AT375" s="287"/>
      <c r="AU375" s="290">
        <f>'Unit Savings Calculations'!Q371</f>
        <v>0.90849584455671673</v>
      </c>
      <c r="AV375" s="287" t="str">
        <f t="shared" si="154"/>
        <v>n/a</v>
      </c>
      <c r="AW375" s="292">
        <f t="shared" si="168"/>
        <v>1356.3842959231781</v>
      </c>
      <c r="AX375" s="289">
        <f t="shared" si="169"/>
        <v>321.85390072753444</v>
      </c>
      <c r="AY375" s="292">
        <f t="shared" si="155"/>
        <v>1356.3842959231781</v>
      </c>
      <c r="AZ375" s="292">
        <f t="shared" si="156"/>
        <v>1356.3842959231781</v>
      </c>
      <c r="BA375" s="292">
        <f t="shared" si="157"/>
        <v>1356.3842959231781</v>
      </c>
      <c r="BB375" s="292">
        <f t="shared" si="158"/>
        <v>1356.3842959231781</v>
      </c>
      <c r="BC375" s="294">
        <f t="shared" si="159"/>
        <v>5425.5371836927125</v>
      </c>
      <c r="BD375" s="287" t="s">
        <v>764</v>
      </c>
      <c r="BE375" s="295" t="str">
        <f t="shared" si="160"/>
        <v>Exhibit 1.5B_R Peoples Gas EEPS_Adjustable_Savings_Goal_Template.xlsx, Unit Savings Calculations Tab</v>
      </c>
      <c r="BF375" s="297"/>
    </row>
    <row r="376" spans="1:58" ht="13.5" customHeight="1">
      <c r="A376" s="287" t="str">
        <f>'Unit Savings Calculations'!C372</f>
        <v>Low Income - SF Retrofit</v>
      </c>
      <c r="B376" s="287" t="str">
        <f>'Unit Savings Calculations'!D372</f>
        <v>Kitchen Aerator</v>
      </c>
      <c r="C376" s="288">
        <f t="shared" si="170"/>
        <v>1</v>
      </c>
      <c r="D376" s="287" t="str">
        <f>'Unit Savings Calculations'!T372</f>
        <v>5.4.4</v>
      </c>
      <c r="E376" s="287">
        <f>INDEX('Unit Savings Calculations'!$H$4:$H$421,MATCH('Measure-Level Adjustments Tab'!$A376&amp;"_"&amp;'Measure-Level Adjustments Tab'!$B376,'Unit Savings Calculations'!$A$4:$A$421,0))</f>
        <v>9</v>
      </c>
      <c r="F376" s="287">
        <f>INDEX('Unit Savings Calculations'!$I$4:$I$421,MATCH('Measure-Level Adjustments Tab'!A376&amp;"_"&amp;'Measure-Level Adjustments Tab'!B376,'Unit Savings Calculations'!$A$4:$A$421,0))</f>
        <v>10</v>
      </c>
      <c r="G376" s="287" t="str">
        <f>'Unit Savings Calculations'!E372</f>
        <v>each</v>
      </c>
      <c r="H376" s="289">
        <f>'Unit Savings Calculations'!$F372*'Unit Savings Calculations'!J372</f>
        <v>746</v>
      </c>
      <c r="I376" s="289">
        <f>'Unit Savings Calculations'!$F372*'Unit Savings Calculations'!K372</f>
        <v>746</v>
      </c>
      <c r="J376" s="289">
        <f>'Unit Savings Calculations'!$F372*'Unit Savings Calculations'!L372</f>
        <v>746</v>
      </c>
      <c r="K376" s="289">
        <f>'Unit Savings Calculations'!$F372*'Unit Savings Calculations'!M372</f>
        <v>746</v>
      </c>
      <c r="L376" s="287" t="str">
        <f>'Unit Savings Calculations'!U372</f>
        <v>RS-HWE-LFFA-V06-180101</v>
      </c>
      <c r="M376" s="363" t="s">
        <v>830</v>
      </c>
      <c r="N376" s="290">
        <v>5.6045414594076925</v>
      </c>
      <c r="O376" s="290">
        <v>5.6045414594076925</v>
      </c>
      <c r="P376" s="290">
        <v>5.6045414594076925</v>
      </c>
      <c r="Q376" s="290">
        <v>5.6045414594076925</v>
      </c>
      <c r="R376" s="291">
        <f>'Unit Savings Calculations'!$G372</f>
        <v>1</v>
      </c>
      <c r="S376" s="291">
        <f>'Unit Savings Calculations'!$G372</f>
        <v>1</v>
      </c>
      <c r="T376" s="291">
        <f>'Unit Savings Calculations'!$G372</f>
        <v>1</v>
      </c>
      <c r="U376" s="291">
        <f>'Unit Savings Calculations'!$G372</f>
        <v>1</v>
      </c>
      <c r="V376" s="292">
        <f t="shared" si="171"/>
        <v>4180.9879287181384</v>
      </c>
      <c r="W376" s="292">
        <f t="shared" si="172"/>
        <v>4180.9879287181384</v>
      </c>
      <c r="X376" s="292">
        <f t="shared" si="173"/>
        <v>4180.9879287181384</v>
      </c>
      <c r="Y376" s="292">
        <f t="shared" si="174"/>
        <v>4180.9879287181384</v>
      </c>
      <c r="Z376" s="292">
        <f t="shared" si="175"/>
        <v>16723.951714872554</v>
      </c>
      <c r="AA376" s="287"/>
      <c r="AB376" s="287"/>
      <c r="AC376" s="293">
        <f>'Unit Savings Calculations'!N372</f>
        <v>8.5936302377584592</v>
      </c>
      <c r="AD376" s="287"/>
      <c r="AE376" s="292">
        <f t="shared" si="161"/>
        <v>6410.8481573678109</v>
      </c>
      <c r="AF376" s="289">
        <f t="shared" si="162"/>
        <v>2229.8602286496725</v>
      </c>
      <c r="AG376" s="287"/>
      <c r="AH376" s="287">
        <f t="shared" si="163"/>
        <v>0</v>
      </c>
      <c r="AI376" s="290">
        <f>'Unit Savings Calculations'!O372</f>
        <v>8.5936302377584592</v>
      </c>
      <c r="AJ376" s="287" t="s">
        <v>1010</v>
      </c>
      <c r="AK376" s="292">
        <f t="shared" si="164"/>
        <v>6410.8481573678109</v>
      </c>
      <c r="AL376" s="289">
        <f t="shared" si="165"/>
        <v>2229.8602286496725</v>
      </c>
      <c r="AM376" s="287"/>
      <c r="AN376" s="287"/>
      <c r="AO376" s="290">
        <f>'Unit Savings Calculations'!P372</f>
        <v>8.5936302377584592</v>
      </c>
      <c r="AP376" s="287" t="s">
        <v>764</v>
      </c>
      <c r="AQ376" s="292">
        <f t="shared" si="166"/>
        <v>6410.8481573678109</v>
      </c>
      <c r="AR376" s="289">
        <f t="shared" si="167"/>
        <v>2229.8602286496725</v>
      </c>
      <c r="AS376" s="287"/>
      <c r="AT376" s="287"/>
      <c r="AU376" s="290">
        <f>'Unit Savings Calculations'!Q372</f>
        <v>8.5936302377584592</v>
      </c>
      <c r="AV376" s="287" t="str">
        <f t="shared" si="154"/>
        <v>n/a</v>
      </c>
      <c r="AW376" s="292">
        <f t="shared" si="168"/>
        <v>6410.8481573678109</v>
      </c>
      <c r="AX376" s="289">
        <f t="shared" si="169"/>
        <v>2229.8602286496725</v>
      </c>
      <c r="AY376" s="292">
        <f t="shared" si="155"/>
        <v>6410.8481573678109</v>
      </c>
      <c r="AZ376" s="292">
        <f t="shared" si="156"/>
        <v>6410.8481573678109</v>
      </c>
      <c r="BA376" s="292">
        <f t="shared" si="157"/>
        <v>6410.8481573678109</v>
      </c>
      <c r="BB376" s="292">
        <f t="shared" si="158"/>
        <v>6410.8481573678109</v>
      </c>
      <c r="BC376" s="294">
        <f t="shared" si="159"/>
        <v>25643.392629471244</v>
      </c>
      <c r="BD376" s="287" t="s">
        <v>764</v>
      </c>
      <c r="BE376" s="295" t="str">
        <f t="shared" si="160"/>
        <v>Exhibit 1.5B_R Peoples Gas EEPS_Adjustable_Savings_Goal_Template.xlsx, Unit Savings Calculations Tab</v>
      </c>
      <c r="BF376" s="297"/>
    </row>
    <row r="377" spans="1:58" ht="13.5" customHeight="1">
      <c r="A377" s="287" t="str">
        <f>'Unit Savings Calculations'!C373</f>
        <v>Low Income - SF Retrofit</v>
      </c>
      <c r="B377" s="287" t="str">
        <f>'Unit Savings Calculations'!D373</f>
        <v>Showerhead</v>
      </c>
      <c r="C377" s="288">
        <f t="shared" si="170"/>
        <v>1</v>
      </c>
      <c r="D377" s="287" t="str">
        <f>'Unit Savings Calculations'!T373</f>
        <v>5.4.5</v>
      </c>
      <c r="E377" s="287">
        <f>INDEX('Unit Savings Calculations'!$H$4:$H$421,MATCH('Measure-Level Adjustments Tab'!$A377&amp;"_"&amp;'Measure-Level Adjustments Tab'!$B377,'Unit Savings Calculations'!$A$4:$A$421,0))</f>
        <v>10</v>
      </c>
      <c r="F377" s="287">
        <f>INDEX('Unit Savings Calculations'!$I$4:$I$421,MATCH('Measure-Level Adjustments Tab'!A377&amp;"_"&amp;'Measure-Level Adjustments Tab'!B377,'Unit Savings Calculations'!$A$4:$A$421,0))</f>
        <v>10</v>
      </c>
      <c r="G377" s="287" t="str">
        <f>'Unit Savings Calculations'!E373</f>
        <v>each</v>
      </c>
      <c r="H377" s="289">
        <f>'Unit Savings Calculations'!$F373*'Unit Savings Calculations'!J373</f>
        <v>896</v>
      </c>
      <c r="I377" s="289">
        <f>'Unit Savings Calculations'!$F373*'Unit Savings Calculations'!K373</f>
        <v>896</v>
      </c>
      <c r="J377" s="289">
        <f>'Unit Savings Calculations'!$F373*'Unit Savings Calculations'!L373</f>
        <v>896</v>
      </c>
      <c r="K377" s="289">
        <f>'Unit Savings Calculations'!$F373*'Unit Savings Calculations'!M373</f>
        <v>896</v>
      </c>
      <c r="L377" s="287" t="str">
        <f>'Unit Savings Calculations'!U373</f>
        <v>RS-HWE-LFSH-V05-180101</v>
      </c>
      <c r="M377" s="363" t="s">
        <v>830</v>
      </c>
      <c r="N377" s="290">
        <v>14.03971173442217</v>
      </c>
      <c r="O377" s="290">
        <v>14.03971173442217</v>
      </c>
      <c r="P377" s="290">
        <v>14.03971173442217</v>
      </c>
      <c r="Q377" s="290">
        <v>14.03971173442217</v>
      </c>
      <c r="R377" s="291">
        <f>'Unit Savings Calculations'!$G373</f>
        <v>1</v>
      </c>
      <c r="S377" s="291">
        <f>'Unit Savings Calculations'!$G373</f>
        <v>1</v>
      </c>
      <c r="T377" s="291">
        <f>'Unit Savings Calculations'!$G373</f>
        <v>1</v>
      </c>
      <c r="U377" s="291">
        <f>'Unit Savings Calculations'!$G373</f>
        <v>1</v>
      </c>
      <c r="V377" s="292">
        <f t="shared" si="171"/>
        <v>12579.581714042264</v>
      </c>
      <c r="W377" s="292">
        <f t="shared" si="172"/>
        <v>12579.581714042264</v>
      </c>
      <c r="X377" s="292">
        <f t="shared" si="173"/>
        <v>12579.581714042264</v>
      </c>
      <c r="Y377" s="292">
        <f t="shared" si="174"/>
        <v>12579.581714042264</v>
      </c>
      <c r="Z377" s="292">
        <f t="shared" si="175"/>
        <v>50318.326856169057</v>
      </c>
      <c r="AA377" s="287"/>
      <c r="AB377" s="287"/>
      <c r="AC377" s="293">
        <f>'Unit Savings Calculations'!N373</f>
        <v>8.7892072937103034</v>
      </c>
      <c r="AD377" s="287"/>
      <c r="AE377" s="292">
        <f t="shared" si="161"/>
        <v>7875.1297351644316</v>
      </c>
      <c r="AF377" s="289">
        <f t="shared" si="162"/>
        <v>-4704.4519788778325</v>
      </c>
      <c r="AG377" s="287"/>
      <c r="AH377" s="287">
        <f t="shared" si="163"/>
        <v>0</v>
      </c>
      <c r="AI377" s="290">
        <f>'Unit Savings Calculations'!O373</f>
        <v>8.7892072937103034</v>
      </c>
      <c r="AJ377" s="287" t="s">
        <v>1010</v>
      </c>
      <c r="AK377" s="292">
        <f t="shared" si="164"/>
        <v>7875.1297351644316</v>
      </c>
      <c r="AL377" s="289">
        <f t="shared" si="165"/>
        <v>-4704.4519788778325</v>
      </c>
      <c r="AM377" s="287"/>
      <c r="AN377" s="287"/>
      <c r="AO377" s="290">
        <f>'Unit Savings Calculations'!P373</f>
        <v>8.7892072937103034</v>
      </c>
      <c r="AP377" s="287" t="s">
        <v>1442</v>
      </c>
      <c r="AQ377" s="292">
        <f t="shared" si="166"/>
        <v>7875.1297351644316</v>
      </c>
      <c r="AR377" s="289">
        <f t="shared" si="167"/>
        <v>-4704.4519788778325</v>
      </c>
      <c r="AS377" s="287"/>
      <c r="AT377" s="287"/>
      <c r="AU377" s="290">
        <f>'Unit Savings Calculations'!Q373</f>
        <v>8.7892072937103034</v>
      </c>
      <c r="AV377" s="287" t="str">
        <f t="shared" si="154"/>
        <v>Updated SF ISR</v>
      </c>
      <c r="AW377" s="292">
        <f t="shared" si="168"/>
        <v>7875.1297351644316</v>
      </c>
      <c r="AX377" s="289">
        <f t="shared" si="169"/>
        <v>-4704.4519788778325</v>
      </c>
      <c r="AY377" s="292">
        <f t="shared" si="155"/>
        <v>7875.1297351644316</v>
      </c>
      <c r="AZ377" s="292">
        <f t="shared" si="156"/>
        <v>7875.1297351644316</v>
      </c>
      <c r="BA377" s="292">
        <f t="shared" si="157"/>
        <v>7875.1297351644316</v>
      </c>
      <c r="BB377" s="292">
        <f t="shared" si="158"/>
        <v>7875.1297351644316</v>
      </c>
      <c r="BC377" s="294">
        <f t="shared" si="159"/>
        <v>31500.518940657726</v>
      </c>
      <c r="BD377" s="287" t="s">
        <v>764</v>
      </c>
      <c r="BE377" s="295" t="str">
        <f t="shared" si="160"/>
        <v>Exhibit 1.5B_R Peoples Gas EEPS_Adjustable_Savings_Goal_Template.xlsx, Unit Savings Calculations Tab</v>
      </c>
      <c r="BF377" s="297"/>
    </row>
    <row r="378" spans="1:58" ht="13.5" customHeight="1">
      <c r="A378" s="287" t="str">
        <f>'Unit Savings Calculations'!C374</f>
        <v>Low Income - SF Retrofit</v>
      </c>
      <c r="B378" s="287" t="str">
        <f>'Unit Savings Calculations'!D374</f>
        <v>Pipe Insulation (DHW)</v>
      </c>
      <c r="C378" s="288">
        <f t="shared" si="170"/>
        <v>1</v>
      </c>
      <c r="D378" s="287" t="str">
        <f>'Unit Savings Calculations'!T374</f>
        <v>5.4.1</v>
      </c>
      <c r="E378" s="287">
        <f>INDEX('Unit Savings Calculations'!$H$4:$H$421,MATCH('Measure-Level Adjustments Tab'!$A378&amp;"_"&amp;'Measure-Level Adjustments Tab'!$B378,'Unit Savings Calculations'!$A$4:$A$421,0))</f>
        <v>15</v>
      </c>
      <c r="F378" s="287">
        <f>INDEX('Unit Savings Calculations'!$I$4:$I$421,MATCH('Measure-Level Adjustments Tab'!A378&amp;"_"&amp;'Measure-Level Adjustments Tab'!B378,'Unit Savings Calculations'!$A$4:$A$421,0))</f>
        <v>15</v>
      </c>
      <c r="G378" s="287" t="str">
        <f>'Unit Savings Calculations'!E374</f>
        <v>ft</v>
      </c>
      <c r="H378" s="289">
        <f>'Unit Savings Calculations'!$F374*'Unit Savings Calculations'!J374</f>
        <v>3303</v>
      </c>
      <c r="I378" s="289">
        <f>'Unit Savings Calculations'!$F374*'Unit Savings Calculations'!K374</f>
        <v>3303</v>
      </c>
      <c r="J378" s="289">
        <f>'Unit Savings Calculations'!$F374*'Unit Savings Calculations'!L374</f>
        <v>3303</v>
      </c>
      <c r="K378" s="289">
        <f>'Unit Savings Calculations'!$F374*'Unit Savings Calculations'!M374</f>
        <v>3303</v>
      </c>
      <c r="L378" s="287" t="str">
        <f>'Unit Savings Calculations'!U374</f>
        <v>RS-HVC-PINS-V02-150601</v>
      </c>
      <c r="M378" s="363" t="s">
        <v>830</v>
      </c>
      <c r="N378" s="290">
        <v>0.99123230769230763</v>
      </c>
      <c r="O378" s="290">
        <v>0.99123230769230763</v>
      </c>
      <c r="P378" s="290">
        <v>0.99123230769230763</v>
      </c>
      <c r="Q378" s="290">
        <v>0.99123230769230763</v>
      </c>
      <c r="R378" s="291">
        <f>'Unit Savings Calculations'!$G374</f>
        <v>1</v>
      </c>
      <c r="S378" s="291">
        <f>'Unit Savings Calculations'!$G374</f>
        <v>1</v>
      </c>
      <c r="T378" s="291">
        <f>'Unit Savings Calculations'!$G374</f>
        <v>1</v>
      </c>
      <c r="U378" s="291">
        <f>'Unit Savings Calculations'!$G374</f>
        <v>1</v>
      </c>
      <c r="V378" s="292">
        <f t="shared" si="171"/>
        <v>3274.0403123076921</v>
      </c>
      <c r="W378" s="292">
        <f t="shared" si="172"/>
        <v>3274.0403123076921</v>
      </c>
      <c r="X378" s="292">
        <f t="shared" si="173"/>
        <v>3274.0403123076921</v>
      </c>
      <c r="Y378" s="292">
        <f t="shared" si="174"/>
        <v>3274.0403123076921</v>
      </c>
      <c r="Z378" s="292">
        <f t="shared" si="175"/>
        <v>13096.161249230769</v>
      </c>
      <c r="AA378" s="287"/>
      <c r="AB378" s="287"/>
      <c r="AC378" s="293">
        <f>'Unit Savings Calculations'!N374</f>
        <v>0.77039653846153844</v>
      </c>
      <c r="AD378" s="287"/>
      <c r="AE378" s="292">
        <f t="shared" si="161"/>
        <v>2544.6197665384616</v>
      </c>
      <c r="AF378" s="289">
        <f t="shared" si="162"/>
        <v>-729.42054576923056</v>
      </c>
      <c r="AG378" s="287"/>
      <c r="AH378" s="287">
        <f t="shared" si="163"/>
        <v>0</v>
      </c>
      <c r="AI378" s="290">
        <f>'Unit Savings Calculations'!O374</f>
        <v>0.77039653846153844</v>
      </c>
      <c r="AJ378" s="287" t="s">
        <v>1005</v>
      </c>
      <c r="AK378" s="292">
        <f t="shared" si="164"/>
        <v>2544.6197665384616</v>
      </c>
      <c r="AL378" s="289">
        <f t="shared" si="165"/>
        <v>-729.42054576923056</v>
      </c>
      <c r="AM378" s="287"/>
      <c r="AN378" s="287"/>
      <c r="AO378" s="290">
        <f>'Unit Savings Calculations'!P374</f>
        <v>0.77039653846153844</v>
      </c>
      <c r="AP378" s="287" t="s">
        <v>764</v>
      </c>
      <c r="AQ378" s="292">
        <f t="shared" si="166"/>
        <v>2544.6197665384616</v>
      </c>
      <c r="AR378" s="289">
        <f t="shared" si="167"/>
        <v>-729.42054576923056</v>
      </c>
      <c r="AS378" s="287"/>
      <c r="AT378" s="287"/>
      <c r="AU378" s="290">
        <f>'Unit Savings Calculations'!Q374</f>
        <v>0.77039653846153844</v>
      </c>
      <c r="AV378" s="287" t="str">
        <f t="shared" si="154"/>
        <v>n/a</v>
      </c>
      <c r="AW378" s="292">
        <f t="shared" si="168"/>
        <v>2544.6197665384616</v>
      </c>
      <c r="AX378" s="289">
        <f t="shared" si="169"/>
        <v>-729.42054576923056</v>
      </c>
      <c r="AY378" s="292">
        <f t="shared" si="155"/>
        <v>2544.6197665384616</v>
      </c>
      <c r="AZ378" s="292">
        <f t="shared" si="156"/>
        <v>2544.6197665384616</v>
      </c>
      <c r="BA378" s="292">
        <f t="shared" si="157"/>
        <v>2544.6197665384616</v>
      </c>
      <c r="BB378" s="292">
        <f t="shared" si="158"/>
        <v>2544.6197665384616</v>
      </c>
      <c r="BC378" s="294">
        <f t="shared" si="159"/>
        <v>10178.479066153846</v>
      </c>
      <c r="BD378" s="287" t="s">
        <v>764</v>
      </c>
      <c r="BE378" s="295" t="str">
        <f t="shared" si="160"/>
        <v>Exhibit 1.5B_R Peoples Gas EEPS_Adjustable_Savings_Goal_Template.xlsx, Unit Savings Calculations Tab</v>
      </c>
      <c r="BF378" s="297"/>
    </row>
    <row r="379" spans="1:58" ht="13.5" customHeight="1">
      <c r="A379" s="287" t="str">
        <f>'Unit Savings Calculations'!C375</f>
        <v>Low Income - SF Retrofit</v>
      </c>
      <c r="B379" s="287" t="str">
        <f>'Unit Savings Calculations'!D375</f>
        <v>Pipe Insulation (Boiler)</v>
      </c>
      <c r="C379" s="288">
        <f t="shared" si="170"/>
        <v>1</v>
      </c>
      <c r="D379" s="287" t="str">
        <f>'Unit Savings Calculations'!T375</f>
        <v>5.3.2</v>
      </c>
      <c r="E379" s="287">
        <f>INDEX('Unit Savings Calculations'!$H$4:$H$421,MATCH('Measure-Level Adjustments Tab'!$A379&amp;"_"&amp;'Measure-Level Adjustments Tab'!$B379,'Unit Savings Calculations'!$A$4:$A$421,0))</f>
        <v>15</v>
      </c>
      <c r="F379" s="287">
        <f>INDEX('Unit Savings Calculations'!$I$4:$I$421,MATCH('Measure-Level Adjustments Tab'!A379&amp;"_"&amp;'Measure-Level Adjustments Tab'!B379,'Unit Savings Calculations'!$A$4:$A$421,0))</f>
        <v>15</v>
      </c>
      <c r="G379" s="287" t="str">
        <f>'Unit Savings Calculations'!E375</f>
        <v>ft</v>
      </c>
      <c r="H379" s="289">
        <f>'Unit Savings Calculations'!$F375*'Unit Savings Calculations'!J375</f>
        <v>1611</v>
      </c>
      <c r="I379" s="289">
        <f>'Unit Savings Calculations'!$F375*'Unit Savings Calculations'!K375</f>
        <v>1611</v>
      </c>
      <c r="J379" s="289">
        <f>'Unit Savings Calculations'!$F375*'Unit Savings Calculations'!L375</f>
        <v>1611</v>
      </c>
      <c r="K379" s="289">
        <f>'Unit Savings Calculations'!$F375*'Unit Savings Calculations'!M375</f>
        <v>1611</v>
      </c>
      <c r="L379" s="287" t="str">
        <f>'Unit Savings Calculations'!U375</f>
        <v>RS-HVC-PINS-V02-160601</v>
      </c>
      <c r="M379" s="363" t="s">
        <v>830</v>
      </c>
      <c r="N379" s="290">
        <v>0.41554055468341189</v>
      </c>
      <c r="O379" s="290">
        <v>0.41554055468341189</v>
      </c>
      <c r="P379" s="290">
        <v>0.41554055468341189</v>
      </c>
      <c r="Q379" s="290">
        <v>0.41554055468341189</v>
      </c>
      <c r="R379" s="291">
        <f>'Unit Savings Calculations'!$G375</f>
        <v>1</v>
      </c>
      <c r="S379" s="291">
        <f>'Unit Savings Calculations'!$G375</f>
        <v>1</v>
      </c>
      <c r="T379" s="291">
        <f>'Unit Savings Calculations'!$G375</f>
        <v>1</v>
      </c>
      <c r="U379" s="291">
        <f>'Unit Savings Calculations'!$G375</f>
        <v>1</v>
      </c>
      <c r="V379" s="292">
        <f t="shared" si="171"/>
        <v>669.43583359497654</v>
      </c>
      <c r="W379" s="292">
        <f t="shared" si="172"/>
        <v>669.43583359497654</v>
      </c>
      <c r="X379" s="292">
        <f t="shared" si="173"/>
        <v>669.43583359497654</v>
      </c>
      <c r="Y379" s="292">
        <f t="shared" si="174"/>
        <v>669.43583359497654</v>
      </c>
      <c r="Z379" s="292">
        <f t="shared" si="175"/>
        <v>2677.7433343799062</v>
      </c>
      <c r="AA379" s="287"/>
      <c r="AB379" s="287"/>
      <c r="AC379" s="293">
        <f>'Unit Savings Calculations'!N375</f>
        <v>0.41554055468341189</v>
      </c>
      <c r="AD379" s="287"/>
      <c r="AE379" s="292">
        <f t="shared" si="161"/>
        <v>669.43583359497654</v>
      </c>
      <c r="AF379" s="289">
        <f t="shared" si="162"/>
        <v>0</v>
      </c>
      <c r="AG379" s="287"/>
      <c r="AH379" s="287">
        <f t="shared" si="163"/>
        <v>0</v>
      </c>
      <c r="AI379" s="290">
        <f>'Unit Savings Calculations'!O375</f>
        <v>0.41554055468341189</v>
      </c>
      <c r="AJ379" s="287" t="s">
        <v>872</v>
      </c>
      <c r="AK379" s="292">
        <f t="shared" si="164"/>
        <v>669.43583359497654</v>
      </c>
      <c r="AL379" s="289">
        <f t="shared" si="165"/>
        <v>0</v>
      </c>
      <c r="AM379" s="287"/>
      <c r="AN379" s="287"/>
      <c r="AO379" s="290">
        <f>'Unit Savings Calculations'!P375</f>
        <v>0.41554055468341189</v>
      </c>
      <c r="AP379" s="287" t="s">
        <v>764</v>
      </c>
      <c r="AQ379" s="292">
        <f t="shared" si="166"/>
        <v>669.43583359497654</v>
      </c>
      <c r="AR379" s="289">
        <f t="shared" si="167"/>
        <v>0</v>
      </c>
      <c r="AS379" s="287"/>
      <c r="AT379" s="287"/>
      <c r="AU379" s="290">
        <f>'Unit Savings Calculations'!Q375</f>
        <v>0.41554055468341189</v>
      </c>
      <c r="AV379" s="287" t="str">
        <f t="shared" si="154"/>
        <v>n/a</v>
      </c>
      <c r="AW379" s="292">
        <f t="shared" si="168"/>
        <v>669.43583359497654</v>
      </c>
      <c r="AX379" s="289">
        <f t="shared" si="169"/>
        <v>0</v>
      </c>
      <c r="AY379" s="292">
        <f t="shared" si="155"/>
        <v>669.43583359497654</v>
      </c>
      <c r="AZ379" s="292">
        <f t="shared" si="156"/>
        <v>669.43583359497654</v>
      </c>
      <c r="BA379" s="292">
        <f t="shared" si="157"/>
        <v>669.43583359497654</v>
      </c>
      <c r="BB379" s="292">
        <f t="shared" si="158"/>
        <v>669.43583359497654</v>
      </c>
      <c r="BC379" s="294">
        <f t="shared" si="159"/>
        <v>2677.7433343799062</v>
      </c>
      <c r="BD379" s="287" t="s">
        <v>764</v>
      </c>
      <c r="BE379" s="295" t="str">
        <f t="shared" si="160"/>
        <v>Exhibit 1.5B_R Peoples Gas EEPS_Adjustable_Savings_Goal_Template.xlsx, Unit Savings Calculations Tab</v>
      </c>
      <c r="BF379" s="297"/>
    </row>
    <row r="380" spans="1:58" ht="13.5" customHeight="1">
      <c r="A380" s="287" t="str">
        <f>'Unit Savings Calculations'!C376</f>
        <v>Low Income - SF Retrofit</v>
      </c>
      <c r="B380" s="287" t="str">
        <f>'Unit Savings Calculations'!D376</f>
        <v>Programmable Thermostat - Furnace</v>
      </c>
      <c r="C380" s="288">
        <f t="shared" si="170"/>
        <v>1</v>
      </c>
      <c r="D380" s="287" t="str">
        <f>'Unit Savings Calculations'!T376</f>
        <v>5.3.11</v>
      </c>
      <c r="E380" s="287">
        <f>INDEX('Unit Savings Calculations'!$H$4:$H$421,MATCH('Measure-Level Adjustments Tab'!$A380&amp;"_"&amp;'Measure-Level Adjustments Tab'!$B380,'Unit Savings Calculations'!$A$4:$A$421,0))</f>
        <v>5</v>
      </c>
      <c r="F380" s="287">
        <f>INDEX('Unit Savings Calculations'!$I$4:$I$421,MATCH('Measure-Level Adjustments Tab'!A380&amp;"_"&amp;'Measure-Level Adjustments Tab'!B380,'Unit Savings Calculations'!$A$4:$A$421,0))</f>
        <v>8</v>
      </c>
      <c r="G380" s="287" t="str">
        <f>'Unit Savings Calculations'!E376</f>
        <v>each</v>
      </c>
      <c r="H380" s="289">
        <f>'Unit Savings Calculations'!$F376*'Unit Savings Calculations'!J376</f>
        <v>199</v>
      </c>
      <c r="I380" s="289">
        <f>'Unit Savings Calculations'!$F376*'Unit Savings Calculations'!K376</f>
        <v>199</v>
      </c>
      <c r="J380" s="289">
        <f>'Unit Savings Calculations'!$F376*'Unit Savings Calculations'!L376</f>
        <v>199</v>
      </c>
      <c r="K380" s="289">
        <f>'Unit Savings Calculations'!$F376*'Unit Savings Calculations'!M376</f>
        <v>199</v>
      </c>
      <c r="L380" s="287" t="str">
        <f>'Unit Savings Calculations'!U376</f>
        <v>RS-HVC-PROG-V04-180101</v>
      </c>
      <c r="M380" s="363" t="s">
        <v>830</v>
      </c>
      <c r="N380" s="290">
        <v>62.31</v>
      </c>
      <c r="O380" s="290">
        <v>62.31</v>
      </c>
      <c r="P380" s="290">
        <v>62.31</v>
      </c>
      <c r="Q380" s="290">
        <v>62.31</v>
      </c>
      <c r="R380" s="291">
        <f>'Unit Savings Calculations'!$G376</f>
        <v>1</v>
      </c>
      <c r="S380" s="291">
        <f>'Unit Savings Calculations'!$G376</f>
        <v>1</v>
      </c>
      <c r="T380" s="291">
        <f>'Unit Savings Calculations'!$G376</f>
        <v>1</v>
      </c>
      <c r="U380" s="291">
        <f>'Unit Savings Calculations'!$G376</f>
        <v>1</v>
      </c>
      <c r="V380" s="292">
        <f t="shared" si="171"/>
        <v>12399.69</v>
      </c>
      <c r="W380" s="292">
        <f t="shared" si="172"/>
        <v>12399.69</v>
      </c>
      <c r="X380" s="292">
        <f t="shared" si="173"/>
        <v>12399.69</v>
      </c>
      <c r="Y380" s="292">
        <f t="shared" si="174"/>
        <v>12399.69</v>
      </c>
      <c r="Z380" s="292">
        <f t="shared" si="175"/>
        <v>49598.76</v>
      </c>
      <c r="AA380" s="287"/>
      <c r="AB380" s="287"/>
      <c r="AC380" s="293">
        <f>'Unit Savings Calculations'!N376</f>
        <v>62.31</v>
      </c>
      <c r="AD380" s="287"/>
      <c r="AE380" s="292">
        <f t="shared" si="161"/>
        <v>12399.69</v>
      </c>
      <c r="AF380" s="289">
        <f t="shared" si="162"/>
        <v>0</v>
      </c>
      <c r="AG380" s="287"/>
      <c r="AH380" s="287">
        <f t="shared" si="163"/>
        <v>0</v>
      </c>
      <c r="AI380" s="290">
        <f>'Unit Savings Calculations'!O376</f>
        <v>62.31</v>
      </c>
      <c r="AJ380" s="287" t="s">
        <v>872</v>
      </c>
      <c r="AK380" s="292">
        <f t="shared" si="164"/>
        <v>12399.69</v>
      </c>
      <c r="AL380" s="289">
        <f t="shared" si="165"/>
        <v>0</v>
      </c>
      <c r="AM380" s="287"/>
      <c r="AN380" s="287"/>
      <c r="AO380" s="290">
        <f>'Unit Savings Calculations'!P376</f>
        <v>62.31</v>
      </c>
      <c r="AP380" s="287" t="s">
        <v>764</v>
      </c>
      <c r="AQ380" s="292">
        <f t="shared" si="166"/>
        <v>12399.69</v>
      </c>
      <c r="AR380" s="289">
        <f t="shared" si="167"/>
        <v>0</v>
      </c>
      <c r="AS380" s="287"/>
      <c r="AT380" s="287"/>
      <c r="AU380" s="290">
        <f>'Unit Savings Calculations'!Q376</f>
        <v>62.31</v>
      </c>
      <c r="AV380" s="287" t="str">
        <f t="shared" si="154"/>
        <v>n/a</v>
      </c>
      <c r="AW380" s="292">
        <f t="shared" si="168"/>
        <v>12399.69</v>
      </c>
      <c r="AX380" s="289">
        <f t="shared" si="169"/>
        <v>0</v>
      </c>
      <c r="AY380" s="292">
        <f t="shared" si="155"/>
        <v>12399.69</v>
      </c>
      <c r="AZ380" s="292">
        <f t="shared" si="156"/>
        <v>12399.69</v>
      </c>
      <c r="BA380" s="292">
        <f t="shared" si="157"/>
        <v>12399.69</v>
      </c>
      <c r="BB380" s="292">
        <f t="shared" si="158"/>
        <v>12399.69</v>
      </c>
      <c r="BC380" s="294">
        <f t="shared" si="159"/>
        <v>49598.76</v>
      </c>
      <c r="BD380" s="287" t="s">
        <v>764</v>
      </c>
      <c r="BE380" s="295" t="str">
        <f t="shared" si="160"/>
        <v>Exhibit 1.5B_R Peoples Gas EEPS_Adjustable_Savings_Goal_Template.xlsx, Unit Savings Calculations Tab</v>
      </c>
      <c r="BF380" s="297"/>
    </row>
    <row r="381" spans="1:58" ht="13.5" customHeight="1">
      <c r="A381" s="287" t="str">
        <f>'Unit Savings Calculations'!C377</f>
        <v>Low Income - SF Retrofit</v>
      </c>
      <c r="B381" s="287" t="str">
        <f>'Unit Savings Calculations'!D377</f>
        <v>Programmable Thermostat - Boiler</v>
      </c>
      <c r="C381" s="288">
        <f t="shared" si="170"/>
        <v>1</v>
      </c>
      <c r="D381" s="287" t="str">
        <f>'Unit Savings Calculations'!T377</f>
        <v>5.3.11</v>
      </c>
      <c r="E381" s="287">
        <f>INDEX('Unit Savings Calculations'!$H$4:$H$421,MATCH('Measure-Level Adjustments Tab'!$A381&amp;"_"&amp;'Measure-Level Adjustments Tab'!$B381,'Unit Savings Calculations'!$A$4:$A$421,0))</f>
        <v>5</v>
      </c>
      <c r="F381" s="287">
        <f>INDEX('Unit Savings Calculations'!$I$4:$I$421,MATCH('Measure-Level Adjustments Tab'!A381&amp;"_"&amp;'Measure-Level Adjustments Tab'!B381,'Unit Savings Calculations'!$A$4:$A$421,0))</f>
        <v>8</v>
      </c>
      <c r="G381" s="287" t="str">
        <f>'Unit Savings Calculations'!E377</f>
        <v>each</v>
      </c>
      <c r="H381" s="289">
        <f>'Unit Savings Calculations'!$F377*'Unit Savings Calculations'!J377</f>
        <v>20</v>
      </c>
      <c r="I381" s="289">
        <f>'Unit Savings Calculations'!$F377*'Unit Savings Calculations'!K377</f>
        <v>20</v>
      </c>
      <c r="J381" s="289">
        <f>'Unit Savings Calculations'!$F377*'Unit Savings Calculations'!L377</f>
        <v>20</v>
      </c>
      <c r="K381" s="289">
        <f>'Unit Savings Calculations'!$F377*'Unit Savings Calculations'!M377</f>
        <v>20</v>
      </c>
      <c r="L381" s="287" t="str">
        <f>'Unit Savings Calculations'!U377</f>
        <v>RS-HVC-PROG-V04-180101</v>
      </c>
      <c r="M381" s="363" t="s">
        <v>830</v>
      </c>
      <c r="N381" s="290">
        <v>75.516000000000005</v>
      </c>
      <c r="O381" s="290">
        <v>75.516000000000005</v>
      </c>
      <c r="P381" s="290">
        <v>75.516000000000005</v>
      </c>
      <c r="Q381" s="290">
        <v>75.516000000000005</v>
      </c>
      <c r="R381" s="291">
        <f>'Unit Savings Calculations'!$G377</f>
        <v>1</v>
      </c>
      <c r="S381" s="291">
        <f>'Unit Savings Calculations'!$G377</f>
        <v>1</v>
      </c>
      <c r="T381" s="291">
        <f>'Unit Savings Calculations'!$G377</f>
        <v>1</v>
      </c>
      <c r="U381" s="291">
        <f>'Unit Savings Calculations'!$G377</f>
        <v>1</v>
      </c>
      <c r="V381" s="292">
        <f t="shared" si="171"/>
        <v>1510.3200000000002</v>
      </c>
      <c r="W381" s="292">
        <f t="shared" si="172"/>
        <v>1510.3200000000002</v>
      </c>
      <c r="X381" s="292">
        <f t="shared" si="173"/>
        <v>1510.3200000000002</v>
      </c>
      <c r="Y381" s="292">
        <f t="shared" si="174"/>
        <v>1510.3200000000002</v>
      </c>
      <c r="Z381" s="292">
        <f t="shared" si="175"/>
        <v>6041.2800000000007</v>
      </c>
      <c r="AA381" s="287"/>
      <c r="AB381" s="287"/>
      <c r="AC381" s="293">
        <f>'Unit Savings Calculations'!N377</f>
        <v>75.516000000000005</v>
      </c>
      <c r="AD381" s="287"/>
      <c r="AE381" s="292">
        <f t="shared" si="161"/>
        <v>1510.3200000000002</v>
      </c>
      <c r="AF381" s="289">
        <f t="shared" si="162"/>
        <v>0</v>
      </c>
      <c r="AG381" s="287"/>
      <c r="AH381" s="287">
        <f t="shared" si="163"/>
        <v>0</v>
      </c>
      <c r="AI381" s="290">
        <f>'Unit Savings Calculations'!O377</f>
        <v>75.516000000000005</v>
      </c>
      <c r="AJ381" s="287" t="s">
        <v>872</v>
      </c>
      <c r="AK381" s="292">
        <f t="shared" si="164"/>
        <v>1510.3200000000002</v>
      </c>
      <c r="AL381" s="289">
        <f t="shared" si="165"/>
        <v>0</v>
      </c>
      <c r="AM381" s="287"/>
      <c r="AN381" s="287"/>
      <c r="AO381" s="290">
        <f>'Unit Savings Calculations'!P377</f>
        <v>75.516000000000005</v>
      </c>
      <c r="AP381" s="287" t="s">
        <v>764</v>
      </c>
      <c r="AQ381" s="292">
        <f t="shared" si="166"/>
        <v>1510.3200000000002</v>
      </c>
      <c r="AR381" s="289">
        <f t="shared" si="167"/>
        <v>0</v>
      </c>
      <c r="AS381" s="287"/>
      <c r="AT381" s="287"/>
      <c r="AU381" s="290">
        <f>'Unit Savings Calculations'!Q377</f>
        <v>75.516000000000005</v>
      </c>
      <c r="AV381" s="287" t="str">
        <f t="shared" si="154"/>
        <v>n/a</v>
      </c>
      <c r="AW381" s="292">
        <f t="shared" si="168"/>
        <v>1510.3200000000002</v>
      </c>
      <c r="AX381" s="289">
        <f t="shared" si="169"/>
        <v>0</v>
      </c>
      <c r="AY381" s="292">
        <f t="shared" si="155"/>
        <v>1510.3200000000002</v>
      </c>
      <c r="AZ381" s="292">
        <f t="shared" si="156"/>
        <v>1510.3200000000002</v>
      </c>
      <c r="BA381" s="292">
        <f t="shared" si="157"/>
        <v>1510.3200000000002</v>
      </c>
      <c r="BB381" s="292">
        <f t="shared" si="158"/>
        <v>1510.3200000000002</v>
      </c>
      <c r="BC381" s="294">
        <f t="shared" si="159"/>
        <v>6041.2800000000007</v>
      </c>
      <c r="BD381" s="287" t="s">
        <v>764</v>
      </c>
      <c r="BE381" s="295" t="str">
        <f t="shared" si="160"/>
        <v>Exhibit 1.5B_R Peoples Gas EEPS_Adjustable_Savings_Goal_Template.xlsx, Unit Savings Calculations Tab</v>
      </c>
      <c r="BF381" s="297"/>
    </row>
    <row r="382" spans="1:58" ht="13.5" customHeight="1">
      <c r="A382" s="287" t="str">
        <f>'Unit Savings Calculations'!C378</f>
        <v>Low Income - SF Retrofit</v>
      </c>
      <c r="B382" s="287" t="str">
        <f>'Unit Savings Calculations'!D378</f>
        <v>Advanced Thermostat - Furnace (Replace Manual)</v>
      </c>
      <c r="C382" s="288">
        <f t="shared" si="170"/>
        <v>1</v>
      </c>
      <c r="D382" s="287" t="str">
        <f>'Unit Savings Calculations'!T378</f>
        <v>5.3.16</v>
      </c>
      <c r="E382" s="287">
        <f>INDEX('Unit Savings Calculations'!$H$4:$H$421,MATCH('Measure-Level Adjustments Tab'!$A382&amp;"_"&amp;'Measure-Level Adjustments Tab'!$B382,'Unit Savings Calculations'!$A$4:$A$421,0))</f>
        <v>10</v>
      </c>
      <c r="F382" s="287">
        <f>INDEX('Unit Savings Calculations'!$I$4:$I$421,MATCH('Measure-Level Adjustments Tab'!A382&amp;"_"&amp;'Measure-Level Adjustments Tab'!B382,'Unit Savings Calculations'!$A$4:$A$421,0))</f>
        <v>11</v>
      </c>
      <c r="G382" s="287" t="str">
        <f>'Unit Savings Calculations'!E378</f>
        <v>each</v>
      </c>
      <c r="H382" s="289">
        <f>'Unit Savings Calculations'!$F378*'Unit Savings Calculations'!J378</f>
        <v>40</v>
      </c>
      <c r="I382" s="289">
        <f>'Unit Savings Calculations'!$F378*'Unit Savings Calculations'!K378</f>
        <v>40</v>
      </c>
      <c r="J382" s="289">
        <f>'Unit Savings Calculations'!$F378*'Unit Savings Calculations'!L378</f>
        <v>40</v>
      </c>
      <c r="K382" s="289">
        <f>'Unit Savings Calculations'!$F378*'Unit Savings Calculations'!M378</f>
        <v>40</v>
      </c>
      <c r="L382" s="287" t="str">
        <f>'Unit Savings Calculations'!U378</f>
        <v>RS-HVC-ADTH-V02-180101</v>
      </c>
      <c r="M382" s="363" t="s">
        <v>830</v>
      </c>
      <c r="N382" s="290">
        <v>88.44</v>
      </c>
      <c r="O382" s="290">
        <v>88.44</v>
      </c>
      <c r="P382" s="290">
        <v>88.44</v>
      </c>
      <c r="Q382" s="290">
        <v>88.44</v>
      </c>
      <c r="R382" s="291">
        <f>'Unit Savings Calculations'!$G378</f>
        <v>1</v>
      </c>
      <c r="S382" s="291">
        <f>'Unit Savings Calculations'!$G378</f>
        <v>1</v>
      </c>
      <c r="T382" s="291">
        <f>'Unit Savings Calculations'!$G378</f>
        <v>1</v>
      </c>
      <c r="U382" s="291">
        <f>'Unit Savings Calculations'!$G378</f>
        <v>1</v>
      </c>
      <c r="V382" s="292">
        <f t="shared" si="171"/>
        <v>3537.6</v>
      </c>
      <c r="W382" s="292">
        <f t="shared" si="172"/>
        <v>3537.6</v>
      </c>
      <c r="X382" s="292">
        <f t="shared" si="173"/>
        <v>3537.6</v>
      </c>
      <c r="Y382" s="292">
        <f t="shared" si="174"/>
        <v>3537.6</v>
      </c>
      <c r="Z382" s="292">
        <f t="shared" si="175"/>
        <v>14150.4</v>
      </c>
      <c r="AA382" s="287"/>
      <c r="AB382" s="287"/>
      <c r="AC382" s="293">
        <f>'Unit Savings Calculations'!N378</f>
        <v>88.44</v>
      </c>
      <c r="AD382" s="287"/>
      <c r="AE382" s="292">
        <f t="shared" si="161"/>
        <v>3537.6</v>
      </c>
      <c r="AF382" s="289">
        <f t="shared" si="162"/>
        <v>0</v>
      </c>
      <c r="AG382" s="287"/>
      <c r="AH382" s="287">
        <f t="shared" si="163"/>
        <v>0</v>
      </c>
      <c r="AI382" s="290">
        <f>'Unit Savings Calculations'!O378</f>
        <v>88.44</v>
      </c>
      <c r="AJ382" s="287" t="s">
        <v>872</v>
      </c>
      <c r="AK382" s="292">
        <f t="shared" si="164"/>
        <v>3537.6</v>
      </c>
      <c r="AL382" s="289">
        <f t="shared" si="165"/>
        <v>0</v>
      </c>
      <c r="AM382" s="287"/>
      <c r="AN382" s="287"/>
      <c r="AO382" s="290">
        <f>'Unit Savings Calculations'!P378</f>
        <v>88.44</v>
      </c>
      <c r="AP382" s="287" t="s">
        <v>764</v>
      </c>
      <c r="AQ382" s="292">
        <f t="shared" si="166"/>
        <v>3537.6</v>
      </c>
      <c r="AR382" s="289">
        <f t="shared" si="167"/>
        <v>0</v>
      </c>
      <c r="AS382" s="287"/>
      <c r="AT382" s="287"/>
      <c r="AU382" s="290">
        <f>'Unit Savings Calculations'!Q378</f>
        <v>88.44</v>
      </c>
      <c r="AV382" s="287" t="str">
        <f t="shared" si="154"/>
        <v>n/a</v>
      </c>
      <c r="AW382" s="292">
        <f t="shared" si="168"/>
        <v>3537.6</v>
      </c>
      <c r="AX382" s="289">
        <f t="shared" si="169"/>
        <v>0</v>
      </c>
      <c r="AY382" s="292">
        <f t="shared" si="155"/>
        <v>3537.6</v>
      </c>
      <c r="AZ382" s="292">
        <f t="shared" si="156"/>
        <v>3537.6</v>
      </c>
      <c r="BA382" s="292">
        <f t="shared" si="157"/>
        <v>3537.6</v>
      </c>
      <c r="BB382" s="292">
        <f t="shared" si="158"/>
        <v>3537.6</v>
      </c>
      <c r="BC382" s="294">
        <f t="shared" si="159"/>
        <v>14150.4</v>
      </c>
      <c r="BD382" s="287" t="s">
        <v>764</v>
      </c>
      <c r="BE382" s="295" t="str">
        <f t="shared" si="160"/>
        <v>Exhibit 1.5B_R Peoples Gas EEPS_Adjustable_Savings_Goal_Template.xlsx, Unit Savings Calculations Tab</v>
      </c>
      <c r="BF382" s="297"/>
    </row>
    <row r="383" spans="1:58" ht="13.5" customHeight="1">
      <c r="A383" s="287" t="str">
        <f>'Unit Savings Calculations'!C379</f>
        <v>Low Income - SF Retrofit</v>
      </c>
      <c r="B383" s="287" t="str">
        <f>'Unit Savings Calculations'!D379</f>
        <v>Advanced Thermostat - Boiler (Replace Manual)</v>
      </c>
      <c r="C383" s="288">
        <f t="shared" si="170"/>
        <v>1</v>
      </c>
      <c r="D383" s="287" t="str">
        <f>'Unit Savings Calculations'!T379</f>
        <v>5.3.16</v>
      </c>
      <c r="E383" s="287">
        <f>INDEX('Unit Savings Calculations'!$H$4:$H$421,MATCH('Measure-Level Adjustments Tab'!$A383&amp;"_"&amp;'Measure-Level Adjustments Tab'!$B383,'Unit Savings Calculations'!$A$4:$A$421,0))</f>
        <v>10</v>
      </c>
      <c r="F383" s="287">
        <f>INDEX('Unit Savings Calculations'!$I$4:$I$421,MATCH('Measure-Level Adjustments Tab'!A383&amp;"_"&amp;'Measure-Level Adjustments Tab'!B383,'Unit Savings Calculations'!$A$4:$A$421,0))</f>
        <v>11</v>
      </c>
      <c r="G383" s="287" t="str">
        <f>'Unit Savings Calculations'!E379</f>
        <v>each</v>
      </c>
      <c r="H383" s="289">
        <f>'Unit Savings Calculations'!$F379*'Unit Savings Calculations'!J379</f>
        <v>7</v>
      </c>
      <c r="I383" s="289">
        <f>'Unit Savings Calculations'!$F379*'Unit Savings Calculations'!K379</f>
        <v>7</v>
      </c>
      <c r="J383" s="289">
        <f>'Unit Savings Calculations'!$F379*'Unit Savings Calculations'!L379</f>
        <v>7</v>
      </c>
      <c r="K383" s="289">
        <f>'Unit Savings Calculations'!$F379*'Unit Savings Calculations'!M379</f>
        <v>7</v>
      </c>
      <c r="L383" s="287" t="str">
        <f>'Unit Savings Calculations'!U379</f>
        <v>RS-HVC-ADTH-V02-180101</v>
      </c>
      <c r="M383" s="363" t="s">
        <v>830</v>
      </c>
      <c r="N383" s="290">
        <v>107.184</v>
      </c>
      <c r="O383" s="290">
        <v>107.184</v>
      </c>
      <c r="P383" s="290">
        <v>107.184</v>
      </c>
      <c r="Q383" s="290">
        <v>107.184</v>
      </c>
      <c r="R383" s="291">
        <f>'Unit Savings Calculations'!$G379</f>
        <v>1</v>
      </c>
      <c r="S383" s="291">
        <f>'Unit Savings Calculations'!$G379</f>
        <v>1</v>
      </c>
      <c r="T383" s="291">
        <f>'Unit Savings Calculations'!$G379</f>
        <v>1</v>
      </c>
      <c r="U383" s="291">
        <f>'Unit Savings Calculations'!$G379</f>
        <v>1</v>
      </c>
      <c r="V383" s="292">
        <f t="shared" si="171"/>
        <v>750.28800000000001</v>
      </c>
      <c r="W383" s="292">
        <f t="shared" si="172"/>
        <v>750.28800000000001</v>
      </c>
      <c r="X383" s="292">
        <f t="shared" si="173"/>
        <v>750.28800000000001</v>
      </c>
      <c r="Y383" s="292">
        <f t="shared" si="174"/>
        <v>750.28800000000001</v>
      </c>
      <c r="Z383" s="292">
        <f t="shared" si="175"/>
        <v>3001.152</v>
      </c>
      <c r="AA383" s="287"/>
      <c r="AB383" s="287"/>
      <c r="AC383" s="293">
        <f>'Unit Savings Calculations'!N379</f>
        <v>107.184</v>
      </c>
      <c r="AD383" s="287"/>
      <c r="AE383" s="292">
        <f t="shared" si="161"/>
        <v>750.28800000000001</v>
      </c>
      <c r="AF383" s="289">
        <f t="shared" si="162"/>
        <v>0</v>
      </c>
      <c r="AG383" s="287"/>
      <c r="AH383" s="287">
        <f t="shared" si="163"/>
        <v>0</v>
      </c>
      <c r="AI383" s="290">
        <f>'Unit Savings Calculations'!O379</f>
        <v>107.184</v>
      </c>
      <c r="AJ383" s="287" t="s">
        <v>872</v>
      </c>
      <c r="AK383" s="292">
        <f t="shared" si="164"/>
        <v>750.28800000000001</v>
      </c>
      <c r="AL383" s="289">
        <f t="shared" si="165"/>
        <v>0</v>
      </c>
      <c r="AM383" s="287"/>
      <c r="AN383" s="287"/>
      <c r="AO383" s="290">
        <f>'Unit Savings Calculations'!P379</f>
        <v>107.184</v>
      </c>
      <c r="AP383" s="287" t="s">
        <v>764</v>
      </c>
      <c r="AQ383" s="292">
        <f t="shared" si="166"/>
        <v>750.28800000000001</v>
      </c>
      <c r="AR383" s="289">
        <f t="shared" si="167"/>
        <v>0</v>
      </c>
      <c r="AS383" s="287"/>
      <c r="AT383" s="287"/>
      <c r="AU383" s="290">
        <f>'Unit Savings Calculations'!Q379</f>
        <v>107.184</v>
      </c>
      <c r="AV383" s="287" t="str">
        <f t="shared" si="154"/>
        <v>n/a</v>
      </c>
      <c r="AW383" s="292">
        <f t="shared" si="168"/>
        <v>750.28800000000001</v>
      </c>
      <c r="AX383" s="289">
        <f t="shared" si="169"/>
        <v>0</v>
      </c>
      <c r="AY383" s="292">
        <f t="shared" si="155"/>
        <v>750.28800000000001</v>
      </c>
      <c r="AZ383" s="292">
        <f t="shared" si="156"/>
        <v>750.28800000000001</v>
      </c>
      <c r="BA383" s="292">
        <f t="shared" si="157"/>
        <v>750.28800000000001</v>
      </c>
      <c r="BB383" s="292">
        <f t="shared" si="158"/>
        <v>750.28800000000001</v>
      </c>
      <c r="BC383" s="294">
        <f t="shared" si="159"/>
        <v>3001.152</v>
      </c>
      <c r="BD383" s="287" t="s">
        <v>764</v>
      </c>
      <c r="BE383" s="295" t="str">
        <f t="shared" si="160"/>
        <v>Exhibit 1.5B_R Peoples Gas EEPS_Adjustable_Savings_Goal_Template.xlsx, Unit Savings Calculations Tab</v>
      </c>
      <c r="BF383" s="297"/>
    </row>
    <row r="384" spans="1:58" ht="13.5" customHeight="1">
      <c r="A384" s="287" t="str">
        <f>'Unit Savings Calculations'!C380</f>
        <v>Low Income - SF Retrofit</v>
      </c>
      <c r="B384" s="287" t="str">
        <f>'Unit Savings Calculations'!D380</f>
        <v>Advanced Thermostat - Furnace (Replace Programmable)</v>
      </c>
      <c r="C384" s="288">
        <f t="shared" si="170"/>
        <v>1</v>
      </c>
      <c r="D384" s="287" t="str">
        <f>'Unit Savings Calculations'!T380</f>
        <v>5.3.16</v>
      </c>
      <c r="E384" s="287">
        <f>INDEX('Unit Savings Calculations'!$H$4:$H$421,MATCH('Measure-Level Adjustments Tab'!$A384&amp;"_"&amp;'Measure-Level Adjustments Tab'!$B384,'Unit Savings Calculations'!$A$4:$A$421,0))</f>
        <v>10</v>
      </c>
      <c r="F384" s="287">
        <f>INDEX('Unit Savings Calculations'!$I$4:$I$421,MATCH('Measure-Level Adjustments Tab'!A384&amp;"_"&amp;'Measure-Level Adjustments Tab'!B384,'Unit Savings Calculations'!$A$4:$A$421,0))</f>
        <v>11</v>
      </c>
      <c r="G384" s="287" t="str">
        <f>'Unit Savings Calculations'!E380</f>
        <v>each</v>
      </c>
      <c r="H384" s="289">
        <f>'Unit Savings Calculations'!$F380*'Unit Savings Calculations'!J380</f>
        <v>40</v>
      </c>
      <c r="I384" s="289">
        <f>'Unit Savings Calculations'!$F380*'Unit Savings Calculations'!K380</f>
        <v>40</v>
      </c>
      <c r="J384" s="289">
        <f>'Unit Savings Calculations'!$F380*'Unit Savings Calculations'!L380</f>
        <v>40</v>
      </c>
      <c r="K384" s="289">
        <f>'Unit Savings Calculations'!$F380*'Unit Savings Calculations'!M380</f>
        <v>40</v>
      </c>
      <c r="L384" s="287" t="str">
        <f>'Unit Savings Calculations'!U380</f>
        <v>RS-HVC-ADTH-V02-180101</v>
      </c>
      <c r="M384" s="363" t="s">
        <v>830</v>
      </c>
      <c r="N384" s="290">
        <v>56.28</v>
      </c>
      <c r="O384" s="290">
        <v>56.28</v>
      </c>
      <c r="P384" s="290">
        <v>56.28</v>
      </c>
      <c r="Q384" s="290">
        <v>56.28</v>
      </c>
      <c r="R384" s="291">
        <f>'Unit Savings Calculations'!$G380</f>
        <v>1</v>
      </c>
      <c r="S384" s="291">
        <f>'Unit Savings Calculations'!$G380</f>
        <v>1</v>
      </c>
      <c r="T384" s="291">
        <f>'Unit Savings Calculations'!$G380</f>
        <v>1</v>
      </c>
      <c r="U384" s="291">
        <f>'Unit Savings Calculations'!$G380</f>
        <v>1</v>
      </c>
      <c r="V384" s="292">
        <f t="shared" si="171"/>
        <v>2251.1999999999998</v>
      </c>
      <c r="W384" s="292">
        <f t="shared" si="172"/>
        <v>2251.1999999999998</v>
      </c>
      <c r="X384" s="292">
        <f t="shared" si="173"/>
        <v>2251.1999999999998</v>
      </c>
      <c r="Y384" s="292">
        <f t="shared" si="174"/>
        <v>2251.1999999999998</v>
      </c>
      <c r="Z384" s="292">
        <f t="shared" si="175"/>
        <v>9004.7999999999993</v>
      </c>
      <c r="AA384" s="287"/>
      <c r="AB384" s="287"/>
      <c r="AC384" s="293">
        <f>'Unit Savings Calculations'!N380</f>
        <v>56.28</v>
      </c>
      <c r="AD384" s="287"/>
      <c r="AE384" s="292">
        <f t="shared" si="161"/>
        <v>2251.1999999999998</v>
      </c>
      <c r="AF384" s="289">
        <f t="shared" si="162"/>
        <v>0</v>
      </c>
      <c r="AG384" s="287"/>
      <c r="AH384" s="287">
        <f t="shared" si="163"/>
        <v>0</v>
      </c>
      <c r="AI384" s="290">
        <f>'Unit Savings Calculations'!O380</f>
        <v>56.28</v>
      </c>
      <c r="AJ384" s="287" t="s">
        <v>872</v>
      </c>
      <c r="AK384" s="292">
        <f t="shared" si="164"/>
        <v>2251.1999999999998</v>
      </c>
      <c r="AL384" s="289">
        <f t="shared" si="165"/>
        <v>0</v>
      </c>
      <c r="AM384" s="287"/>
      <c r="AN384" s="287"/>
      <c r="AO384" s="290">
        <f>'Unit Savings Calculations'!P380</f>
        <v>56.28</v>
      </c>
      <c r="AP384" s="287" t="s">
        <v>764</v>
      </c>
      <c r="AQ384" s="292">
        <f t="shared" si="166"/>
        <v>2251.1999999999998</v>
      </c>
      <c r="AR384" s="289">
        <f t="shared" si="167"/>
        <v>0</v>
      </c>
      <c r="AS384" s="287"/>
      <c r="AT384" s="287"/>
      <c r="AU384" s="290">
        <f>'Unit Savings Calculations'!Q380</f>
        <v>56.28</v>
      </c>
      <c r="AV384" s="287" t="str">
        <f t="shared" si="154"/>
        <v>n/a</v>
      </c>
      <c r="AW384" s="292">
        <f t="shared" si="168"/>
        <v>2251.1999999999998</v>
      </c>
      <c r="AX384" s="289">
        <f t="shared" si="169"/>
        <v>0</v>
      </c>
      <c r="AY384" s="292">
        <f t="shared" si="155"/>
        <v>2251.1999999999998</v>
      </c>
      <c r="AZ384" s="292">
        <f t="shared" si="156"/>
        <v>2251.1999999999998</v>
      </c>
      <c r="BA384" s="292">
        <f t="shared" si="157"/>
        <v>2251.1999999999998</v>
      </c>
      <c r="BB384" s="292">
        <f t="shared" si="158"/>
        <v>2251.1999999999998</v>
      </c>
      <c r="BC384" s="294">
        <f t="shared" si="159"/>
        <v>9004.7999999999993</v>
      </c>
      <c r="BD384" s="287" t="s">
        <v>764</v>
      </c>
      <c r="BE384" s="295" t="str">
        <f t="shared" si="160"/>
        <v>Exhibit 1.5B_R Peoples Gas EEPS_Adjustable_Savings_Goal_Template.xlsx, Unit Savings Calculations Tab</v>
      </c>
      <c r="BF384" s="297"/>
    </row>
    <row r="385" spans="1:58" ht="13.5" customHeight="1">
      <c r="A385" s="287" t="str">
        <f>'Unit Savings Calculations'!C381</f>
        <v>Low Income - SF Retrofit</v>
      </c>
      <c r="B385" s="287" t="str">
        <f>'Unit Savings Calculations'!D381</f>
        <v>Advanced Thermostat - Boiler (Replace Programmable)</v>
      </c>
      <c r="C385" s="288">
        <f t="shared" si="170"/>
        <v>1</v>
      </c>
      <c r="D385" s="287" t="str">
        <f>'Unit Savings Calculations'!T381</f>
        <v>5.3.16</v>
      </c>
      <c r="E385" s="287">
        <f>INDEX('Unit Savings Calculations'!$H$4:$H$421,MATCH('Measure-Level Adjustments Tab'!$A385&amp;"_"&amp;'Measure-Level Adjustments Tab'!$B385,'Unit Savings Calculations'!$A$4:$A$421,0))</f>
        <v>10</v>
      </c>
      <c r="F385" s="287">
        <f>INDEX('Unit Savings Calculations'!$I$4:$I$421,MATCH('Measure-Level Adjustments Tab'!A385&amp;"_"&amp;'Measure-Level Adjustments Tab'!B385,'Unit Savings Calculations'!$A$4:$A$421,0))</f>
        <v>11</v>
      </c>
      <c r="G385" s="287" t="str">
        <f>'Unit Savings Calculations'!E381</f>
        <v>each</v>
      </c>
      <c r="H385" s="289">
        <f>'Unit Savings Calculations'!$F381*'Unit Savings Calculations'!J381</f>
        <v>7</v>
      </c>
      <c r="I385" s="289">
        <f>'Unit Savings Calculations'!$F381*'Unit Savings Calculations'!K381</f>
        <v>7</v>
      </c>
      <c r="J385" s="289">
        <f>'Unit Savings Calculations'!$F381*'Unit Savings Calculations'!L381</f>
        <v>7</v>
      </c>
      <c r="K385" s="289">
        <f>'Unit Savings Calculations'!$F381*'Unit Savings Calculations'!M381</f>
        <v>7</v>
      </c>
      <c r="L385" s="287" t="str">
        <f>'Unit Savings Calculations'!U381</f>
        <v>RS-HVC-ADTH-V02-180101</v>
      </c>
      <c r="M385" s="363" t="s">
        <v>830</v>
      </c>
      <c r="N385" s="290">
        <v>68.207999999999998</v>
      </c>
      <c r="O385" s="290">
        <v>68.207999999999998</v>
      </c>
      <c r="P385" s="290">
        <v>68.207999999999998</v>
      </c>
      <c r="Q385" s="290">
        <v>68.207999999999998</v>
      </c>
      <c r="R385" s="291">
        <f>'Unit Savings Calculations'!$G381</f>
        <v>1</v>
      </c>
      <c r="S385" s="291">
        <f>'Unit Savings Calculations'!$G381</f>
        <v>1</v>
      </c>
      <c r="T385" s="291">
        <f>'Unit Savings Calculations'!$G381</f>
        <v>1</v>
      </c>
      <c r="U385" s="291">
        <f>'Unit Savings Calculations'!$G381</f>
        <v>1</v>
      </c>
      <c r="V385" s="292">
        <f t="shared" si="171"/>
        <v>477.45600000000002</v>
      </c>
      <c r="W385" s="292">
        <f t="shared" si="172"/>
        <v>477.45600000000002</v>
      </c>
      <c r="X385" s="292">
        <f t="shared" si="173"/>
        <v>477.45600000000002</v>
      </c>
      <c r="Y385" s="292">
        <f t="shared" si="174"/>
        <v>477.45600000000002</v>
      </c>
      <c r="Z385" s="292">
        <f t="shared" si="175"/>
        <v>1909.8240000000001</v>
      </c>
      <c r="AA385" s="287"/>
      <c r="AB385" s="287"/>
      <c r="AC385" s="293">
        <f>'Unit Savings Calculations'!N381</f>
        <v>68.207999999999998</v>
      </c>
      <c r="AD385" s="287"/>
      <c r="AE385" s="292">
        <f t="shared" si="161"/>
        <v>477.45600000000002</v>
      </c>
      <c r="AF385" s="289">
        <f t="shared" si="162"/>
        <v>0</v>
      </c>
      <c r="AG385" s="287"/>
      <c r="AH385" s="287">
        <f t="shared" si="163"/>
        <v>0</v>
      </c>
      <c r="AI385" s="290">
        <f>'Unit Savings Calculations'!O381</f>
        <v>68.207999999999998</v>
      </c>
      <c r="AJ385" s="287" t="s">
        <v>872</v>
      </c>
      <c r="AK385" s="292">
        <f t="shared" si="164"/>
        <v>477.45600000000002</v>
      </c>
      <c r="AL385" s="289">
        <f t="shared" si="165"/>
        <v>0</v>
      </c>
      <c r="AM385" s="287"/>
      <c r="AN385" s="287"/>
      <c r="AO385" s="290">
        <f>'Unit Savings Calculations'!P381</f>
        <v>68.207999999999998</v>
      </c>
      <c r="AP385" s="287" t="s">
        <v>764</v>
      </c>
      <c r="AQ385" s="292">
        <f t="shared" si="166"/>
        <v>477.45600000000002</v>
      </c>
      <c r="AR385" s="289">
        <f t="shared" si="167"/>
        <v>0</v>
      </c>
      <c r="AS385" s="287"/>
      <c r="AT385" s="287"/>
      <c r="AU385" s="290">
        <f>'Unit Savings Calculations'!Q381</f>
        <v>68.207999999999998</v>
      </c>
      <c r="AV385" s="287" t="str">
        <f t="shared" si="154"/>
        <v>n/a</v>
      </c>
      <c r="AW385" s="292">
        <f t="shared" si="168"/>
        <v>477.45600000000002</v>
      </c>
      <c r="AX385" s="289">
        <f t="shared" si="169"/>
        <v>0</v>
      </c>
      <c r="AY385" s="292">
        <f t="shared" si="155"/>
        <v>477.45600000000002</v>
      </c>
      <c r="AZ385" s="292">
        <f t="shared" si="156"/>
        <v>477.45600000000002</v>
      </c>
      <c r="BA385" s="292">
        <f t="shared" si="157"/>
        <v>477.45600000000002</v>
      </c>
      <c r="BB385" s="292">
        <f t="shared" si="158"/>
        <v>477.45600000000002</v>
      </c>
      <c r="BC385" s="294">
        <f t="shared" si="159"/>
        <v>1909.8240000000001</v>
      </c>
      <c r="BD385" s="287" t="s">
        <v>764</v>
      </c>
      <c r="BE385" s="295" t="str">
        <f t="shared" si="160"/>
        <v>Exhibit 1.5B_R Peoples Gas EEPS_Adjustable_Savings_Goal_Template.xlsx, Unit Savings Calculations Tab</v>
      </c>
      <c r="BF385" s="297"/>
    </row>
    <row r="386" spans="1:58" ht="13.5" customHeight="1">
      <c r="A386" s="287" t="str">
        <f>'Unit Savings Calculations'!C382</f>
        <v>Low Income - SF Retrofit</v>
      </c>
      <c r="B386" s="287" t="str">
        <f>'Unit Savings Calculations'!D382</f>
        <v>Water Heater Setback</v>
      </c>
      <c r="C386" s="288">
        <f t="shared" si="170"/>
        <v>1</v>
      </c>
      <c r="D386" s="287" t="str">
        <f>'Unit Savings Calculations'!T382</f>
        <v>5.4.6</v>
      </c>
      <c r="E386" s="287">
        <f>INDEX('Unit Savings Calculations'!$H$4:$H$421,MATCH('Measure-Level Adjustments Tab'!$A386&amp;"_"&amp;'Measure-Level Adjustments Tab'!$B386,'Unit Savings Calculations'!$A$4:$A$421,0))</f>
        <v>2</v>
      </c>
      <c r="F386" s="287">
        <f>INDEX('Unit Savings Calculations'!$I$4:$I$421,MATCH('Measure-Level Adjustments Tab'!A386&amp;"_"&amp;'Measure-Level Adjustments Tab'!B386,'Unit Savings Calculations'!$A$4:$A$421,0))</f>
        <v>2</v>
      </c>
      <c r="G386" s="287" t="str">
        <f>'Unit Savings Calculations'!E382</f>
        <v>each</v>
      </c>
      <c r="H386" s="289">
        <f>'Unit Savings Calculations'!$F382*'Unit Savings Calculations'!J382</f>
        <v>199</v>
      </c>
      <c r="I386" s="289">
        <f>'Unit Savings Calculations'!$F382*'Unit Savings Calculations'!K382</f>
        <v>199</v>
      </c>
      <c r="J386" s="289">
        <f>'Unit Savings Calculations'!$F382*'Unit Savings Calculations'!L382</f>
        <v>199</v>
      </c>
      <c r="K386" s="289">
        <f>'Unit Savings Calculations'!$F382*'Unit Savings Calculations'!M382</f>
        <v>199</v>
      </c>
      <c r="L386" s="287" t="str">
        <f>'Unit Savings Calculations'!U382</f>
        <v>RS-HWE-TMPS-V05-160601</v>
      </c>
      <c r="M386" s="363" t="s">
        <v>830</v>
      </c>
      <c r="N386" s="290">
        <v>3.4965719653846157</v>
      </c>
      <c r="O386" s="290">
        <v>3.4965719653846157</v>
      </c>
      <c r="P386" s="290">
        <v>3.4965719653846157</v>
      </c>
      <c r="Q386" s="290">
        <v>3.4965719653846157</v>
      </c>
      <c r="R386" s="291">
        <f>'Unit Savings Calculations'!$G382</f>
        <v>1</v>
      </c>
      <c r="S386" s="291">
        <f>'Unit Savings Calculations'!$G382</f>
        <v>1</v>
      </c>
      <c r="T386" s="291">
        <f>'Unit Savings Calculations'!$G382</f>
        <v>1</v>
      </c>
      <c r="U386" s="291">
        <f>'Unit Savings Calculations'!$G382</f>
        <v>1</v>
      </c>
      <c r="V386" s="292">
        <f t="shared" si="171"/>
        <v>695.81782111153848</v>
      </c>
      <c r="W386" s="292">
        <f t="shared" si="172"/>
        <v>695.81782111153848</v>
      </c>
      <c r="X386" s="292">
        <f t="shared" si="173"/>
        <v>695.81782111153848</v>
      </c>
      <c r="Y386" s="292">
        <f t="shared" si="174"/>
        <v>695.81782111153848</v>
      </c>
      <c r="Z386" s="292">
        <f t="shared" si="175"/>
        <v>2783.2712844461539</v>
      </c>
      <c r="AA386" s="287"/>
      <c r="AB386" s="287"/>
      <c r="AC386" s="293">
        <f>'Unit Savings Calculations'!N382</f>
        <v>3.4965719653846157</v>
      </c>
      <c r="AD386" s="287"/>
      <c r="AE386" s="292">
        <f t="shared" si="161"/>
        <v>695.81782111153848</v>
      </c>
      <c r="AF386" s="289">
        <f t="shared" si="162"/>
        <v>0</v>
      </c>
      <c r="AG386" s="287"/>
      <c r="AH386" s="287">
        <f t="shared" si="163"/>
        <v>0</v>
      </c>
      <c r="AI386" s="290">
        <f>'Unit Savings Calculations'!O382</f>
        <v>3.4965719653846157</v>
      </c>
      <c r="AJ386" s="287" t="s">
        <v>872</v>
      </c>
      <c r="AK386" s="292">
        <f t="shared" si="164"/>
        <v>695.81782111153848</v>
      </c>
      <c r="AL386" s="289">
        <f t="shared" si="165"/>
        <v>0</v>
      </c>
      <c r="AM386" s="287"/>
      <c r="AN386" s="287"/>
      <c r="AO386" s="290">
        <f>'Unit Savings Calculations'!P382</f>
        <v>3.4965719653846157</v>
      </c>
      <c r="AP386" s="287" t="s">
        <v>764</v>
      </c>
      <c r="AQ386" s="292">
        <f t="shared" si="166"/>
        <v>695.81782111153848</v>
      </c>
      <c r="AR386" s="289">
        <f t="shared" si="167"/>
        <v>0</v>
      </c>
      <c r="AS386" s="287"/>
      <c r="AT386" s="287"/>
      <c r="AU386" s="290">
        <f>'Unit Savings Calculations'!Q382</f>
        <v>3.4965719653846157</v>
      </c>
      <c r="AV386" s="287" t="str">
        <f t="shared" si="154"/>
        <v>n/a</v>
      </c>
      <c r="AW386" s="292">
        <f t="shared" si="168"/>
        <v>695.81782111153848</v>
      </c>
      <c r="AX386" s="289">
        <f t="shared" si="169"/>
        <v>0</v>
      </c>
      <c r="AY386" s="292">
        <f t="shared" si="155"/>
        <v>695.81782111153848</v>
      </c>
      <c r="AZ386" s="292">
        <f t="shared" si="156"/>
        <v>695.81782111153848</v>
      </c>
      <c r="BA386" s="292">
        <f t="shared" si="157"/>
        <v>695.81782111153848</v>
      </c>
      <c r="BB386" s="292">
        <f t="shared" si="158"/>
        <v>695.81782111153848</v>
      </c>
      <c r="BC386" s="294">
        <f t="shared" si="159"/>
        <v>2783.2712844461539</v>
      </c>
      <c r="BD386" s="287" t="s">
        <v>764</v>
      </c>
      <c r="BE386" s="295" t="str">
        <f t="shared" si="160"/>
        <v>Exhibit 1.5B_R Peoples Gas EEPS_Adjustable_Savings_Goal_Template.xlsx, Unit Savings Calculations Tab</v>
      </c>
      <c r="BF386" s="297"/>
    </row>
    <row r="387" spans="1:58" ht="13.5" customHeight="1">
      <c r="A387" s="287" t="str">
        <f>'Unit Savings Calculations'!C383</f>
        <v>Low Income - SF Retrofit</v>
      </c>
      <c r="B387" s="287" t="str">
        <f>'Unit Savings Calculations'!D383</f>
        <v>Air Sealing</v>
      </c>
      <c r="C387" s="288">
        <f t="shared" si="170"/>
        <v>1</v>
      </c>
      <c r="D387" s="287" t="str">
        <f>'Unit Savings Calculations'!T383</f>
        <v>5.6.1</v>
      </c>
      <c r="E387" s="287">
        <f>INDEX('Unit Savings Calculations'!$H$4:$H$421,MATCH('Measure-Level Adjustments Tab'!$A387&amp;"_"&amp;'Measure-Level Adjustments Tab'!$B387,'Unit Savings Calculations'!$A$4:$A$421,0))</f>
        <v>15</v>
      </c>
      <c r="F387" s="287">
        <f>INDEX('Unit Savings Calculations'!$I$4:$I$421,MATCH('Measure-Level Adjustments Tab'!A387&amp;"_"&amp;'Measure-Level Adjustments Tab'!B387,'Unit Savings Calculations'!$A$4:$A$421,0))</f>
        <v>20</v>
      </c>
      <c r="G387" s="287" t="str">
        <f>'Unit Savings Calculations'!E383</f>
        <v>CFM_50</v>
      </c>
      <c r="H387" s="289">
        <f>'Unit Savings Calculations'!$F383*'Unit Savings Calculations'!J383</f>
        <v>1990000</v>
      </c>
      <c r="I387" s="289">
        <f>'Unit Savings Calculations'!$F383*'Unit Savings Calculations'!K383</f>
        <v>1990000</v>
      </c>
      <c r="J387" s="289">
        <f>'Unit Savings Calculations'!$F383*'Unit Savings Calculations'!L383</f>
        <v>1990000</v>
      </c>
      <c r="K387" s="289">
        <f>'Unit Savings Calculations'!$F383*'Unit Savings Calculations'!M383</f>
        <v>1990000</v>
      </c>
      <c r="L387" s="287" t="str">
        <f>'Unit Savings Calculations'!U383</f>
        <v>RS-SHL-AIRS-V06-180101</v>
      </c>
      <c r="M387" s="363" t="s">
        <v>830</v>
      </c>
      <c r="N387" s="290">
        <v>7.7015899581589969E-2</v>
      </c>
      <c r="O387" s="290">
        <v>7.7015899581589969E-2</v>
      </c>
      <c r="P387" s="290">
        <v>7.7015899581589969E-2</v>
      </c>
      <c r="Q387" s="290">
        <v>7.7015899581589969E-2</v>
      </c>
      <c r="R387" s="291">
        <f>'Unit Savings Calculations'!$G383</f>
        <v>1</v>
      </c>
      <c r="S387" s="291">
        <f>'Unit Savings Calculations'!$G383</f>
        <v>1</v>
      </c>
      <c r="T387" s="291">
        <f>'Unit Savings Calculations'!$G383</f>
        <v>1</v>
      </c>
      <c r="U387" s="291">
        <f>'Unit Savings Calculations'!$G383</f>
        <v>1</v>
      </c>
      <c r="V387" s="292">
        <f t="shared" si="171"/>
        <v>153261.64016736404</v>
      </c>
      <c r="W387" s="292">
        <f t="shared" si="172"/>
        <v>153261.64016736404</v>
      </c>
      <c r="X387" s="292">
        <f t="shared" si="173"/>
        <v>153261.64016736404</v>
      </c>
      <c r="Y387" s="292">
        <f t="shared" si="174"/>
        <v>153261.64016736404</v>
      </c>
      <c r="Z387" s="292">
        <f t="shared" si="175"/>
        <v>613046.56066945614</v>
      </c>
      <c r="AA387" s="287"/>
      <c r="AB387" s="287"/>
      <c r="AC387" s="293">
        <f>'Unit Savings Calculations'!N383</f>
        <v>6.0996592468619264E-2</v>
      </c>
      <c r="AD387" s="287"/>
      <c r="AE387" s="292">
        <f t="shared" si="161"/>
        <v>121383.21901255233</v>
      </c>
      <c r="AF387" s="289">
        <f t="shared" si="162"/>
        <v>-31878.421154811702</v>
      </c>
      <c r="AG387" s="287"/>
      <c r="AH387" s="287">
        <f t="shared" si="163"/>
        <v>0</v>
      </c>
      <c r="AI387" s="290">
        <f>'Unit Savings Calculations'!O383</f>
        <v>6.0996592468619264E-2</v>
      </c>
      <c r="AJ387" s="287" t="s">
        <v>1035</v>
      </c>
      <c r="AK387" s="292">
        <f t="shared" si="164"/>
        <v>121383.21901255233</v>
      </c>
      <c r="AL387" s="289">
        <f t="shared" si="165"/>
        <v>-31878.421154811702</v>
      </c>
      <c r="AM387" s="287"/>
      <c r="AN387" s="287"/>
      <c r="AO387" s="290">
        <f>'Unit Savings Calculations'!P383</f>
        <v>6.0996592468619264E-2</v>
      </c>
      <c r="AP387" s="287" t="s">
        <v>1447</v>
      </c>
      <c r="AQ387" s="292">
        <f t="shared" si="166"/>
        <v>121383.21901255233</v>
      </c>
      <c r="AR387" s="289">
        <f t="shared" si="167"/>
        <v>-31878.421154811702</v>
      </c>
      <c r="AS387" s="287"/>
      <c r="AT387" s="287"/>
      <c r="AU387" s="290">
        <f>'Unit Savings Calculations'!Q383</f>
        <v>6.0996592468619264E-2</v>
      </c>
      <c r="AV387" s="287" t="str">
        <f t="shared" si="154"/>
        <v>Updated algorithm with new variables</v>
      </c>
      <c r="AW387" s="292">
        <f t="shared" si="168"/>
        <v>121383.21901255233</v>
      </c>
      <c r="AX387" s="289">
        <f t="shared" si="169"/>
        <v>-31878.421154811702</v>
      </c>
      <c r="AY387" s="292">
        <f t="shared" si="155"/>
        <v>121383.21901255233</v>
      </c>
      <c r="AZ387" s="292">
        <f t="shared" si="156"/>
        <v>121383.21901255233</v>
      </c>
      <c r="BA387" s="292">
        <f t="shared" si="157"/>
        <v>121383.21901255233</v>
      </c>
      <c r="BB387" s="292">
        <f t="shared" si="158"/>
        <v>121383.21901255233</v>
      </c>
      <c r="BC387" s="294">
        <f t="shared" si="159"/>
        <v>485532.87605020934</v>
      </c>
      <c r="BD387" s="287" t="s">
        <v>764</v>
      </c>
      <c r="BE387" s="295" t="str">
        <f t="shared" si="160"/>
        <v>Exhibit 1.5B_R Peoples Gas EEPS_Adjustable_Savings_Goal_Template.xlsx, Unit Savings Calculations Tab</v>
      </c>
      <c r="BF387" s="297"/>
    </row>
    <row r="388" spans="1:58" ht="13.5" customHeight="1">
      <c r="A388" s="287" t="str">
        <f>'Unit Savings Calculations'!C384</f>
        <v>Low Income - SF Retrofit</v>
      </c>
      <c r="B388" s="287" t="str">
        <f>'Unit Savings Calculations'!D384</f>
        <v>Attic Insulation</v>
      </c>
      <c r="C388" s="288">
        <f t="shared" si="170"/>
        <v>1</v>
      </c>
      <c r="D388" s="287" t="str">
        <f>'Unit Savings Calculations'!T384</f>
        <v>5.6.5</v>
      </c>
      <c r="E388" s="287">
        <f>INDEX('Unit Savings Calculations'!$H$4:$H$421,MATCH('Measure-Level Adjustments Tab'!$A388&amp;"_"&amp;'Measure-Level Adjustments Tab'!$B388,'Unit Savings Calculations'!$A$4:$A$421,0))</f>
        <v>25</v>
      </c>
      <c r="F388" s="287">
        <f>INDEX('Unit Savings Calculations'!$I$4:$I$421,MATCH('Measure-Level Adjustments Tab'!A388&amp;"_"&amp;'Measure-Level Adjustments Tab'!B388,'Unit Savings Calculations'!$A$4:$A$421,0))</f>
        <v>20</v>
      </c>
      <c r="G388" s="287" t="str">
        <f>'Unit Savings Calculations'!E384</f>
        <v>sq ft</v>
      </c>
      <c r="H388" s="289">
        <f>'Unit Savings Calculations'!$F384*'Unit Savings Calculations'!J384</f>
        <v>1094500</v>
      </c>
      <c r="I388" s="289">
        <f>'Unit Savings Calculations'!$F384*'Unit Savings Calculations'!K384</f>
        <v>1094500</v>
      </c>
      <c r="J388" s="289">
        <f>'Unit Savings Calculations'!$F384*'Unit Savings Calculations'!L384</f>
        <v>1094500</v>
      </c>
      <c r="K388" s="289">
        <f>'Unit Savings Calculations'!$F384*'Unit Savings Calculations'!M384</f>
        <v>1094500</v>
      </c>
      <c r="L388" s="287" t="str">
        <f>'Unit Savings Calculations'!U384</f>
        <v>RS-SHL-AINS-V07-180101</v>
      </c>
      <c r="M388" s="363" t="s">
        <v>830</v>
      </c>
      <c r="N388" s="290">
        <v>7.7438471779463322E-2</v>
      </c>
      <c r="O388" s="290">
        <v>7.7438471779463322E-2</v>
      </c>
      <c r="P388" s="290">
        <v>7.7438471779463322E-2</v>
      </c>
      <c r="Q388" s="290">
        <v>7.7438471779463322E-2</v>
      </c>
      <c r="R388" s="291">
        <f>'Unit Savings Calculations'!$G384</f>
        <v>1</v>
      </c>
      <c r="S388" s="291">
        <f>'Unit Savings Calculations'!$G384</f>
        <v>1</v>
      </c>
      <c r="T388" s="291">
        <f>'Unit Savings Calculations'!$G384</f>
        <v>1</v>
      </c>
      <c r="U388" s="291">
        <f>'Unit Savings Calculations'!$G384</f>
        <v>1</v>
      </c>
      <c r="V388" s="292">
        <f t="shared" si="171"/>
        <v>84756.407362622602</v>
      </c>
      <c r="W388" s="292">
        <f t="shared" si="172"/>
        <v>84756.407362622602</v>
      </c>
      <c r="X388" s="292">
        <f t="shared" si="173"/>
        <v>84756.407362622602</v>
      </c>
      <c r="Y388" s="292">
        <f t="shared" si="174"/>
        <v>84756.407362622602</v>
      </c>
      <c r="Z388" s="292">
        <f t="shared" si="175"/>
        <v>339025.62945049041</v>
      </c>
      <c r="AA388" s="287"/>
      <c r="AB388" s="287"/>
      <c r="AC388" s="293">
        <f>'Unit Savings Calculations'!N384</f>
        <v>0.10228726933333333</v>
      </c>
      <c r="AD388" s="287"/>
      <c r="AE388" s="292">
        <f t="shared" si="161"/>
        <v>111953.41628533334</v>
      </c>
      <c r="AF388" s="289">
        <f t="shared" si="162"/>
        <v>27197.008922710738</v>
      </c>
      <c r="AG388" s="287"/>
      <c r="AH388" s="287">
        <f t="shared" si="163"/>
        <v>0</v>
      </c>
      <c r="AI388" s="290">
        <f>'Unit Savings Calculations'!O384</f>
        <v>0.10228726933333333</v>
      </c>
      <c r="AJ388" s="287" t="s">
        <v>1041</v>
      </c>
      <c r="AK388" s="292">
        <f t="shared" si="164"/>
        <v>111953.41628533334</v>
      </c>
      <c r="AL388" s="289">
        <f t="shared" si="165"/>
        <v>27197.008922710738</v>
      </c>
      <c r="AM388" s="287"/>
      <c r="AN388" s="287"/>
      <c r="AO388" s="290">
        <f>'Unit Savings Calculations'!P384</f>
        <v>0.10228726933333333</v>
      </c>
      <c r="AP388" s="287" t="s">
        <v>1447</v>
      </c>
      <c r="AQ388" s="292">
        <f t="shared" si="166"/>
        <v>111953.41628533334</v>
      </c>
      <c r="AR388" s="289">
        <f t="shared" si="167"/>
        <v>27197.008922710738</v>
      </c>
      <c r="AS388" s="287"/>
      <c r="AT388" s="287"/>
      <c r="AU388" s="290">
        <f>'Unit Savings Calculations'!Q384</f>
        <v>0.10228726933333333</v>
      </c>
      <c r="AV388" s="287" t="str">
        <f t="shared" si="154"/>
        <v>Updated algorithm with new variables</v>
      </c>
      <c r="AW388" s="292">
        <f t="shared" si="168"/>
        <v>111953.41628533334</v>
      </c>
      <c r="AX388" s="289">
        <f t="shared" si="169"/>
        <v>27197.008922710738</v>
      </c>
      <c r="AY388" s="292">
        <f t="shared" si="155"/>
        <v>111953.41628533334</v>
      </c>
      <c r="AZ388" s="292">
        <f t="shared" si="156"/>
        <v>111953.41628533334</v>
      </c>
      <c r="BA388" s="292">
        <f t="shared" si="157"/>
        <v>111953.41628533334</v>
      </c>
      <c r="BB388" s="292">
        <f t="shared" si="158"/>
        <v>111953.41628533334</v>
      </c>
      <c r="BC388" s="294">
        <f t="shared" si="159"/>
        <v>447813.66514133336</v>
      </c>
      <c r="BD388" s="287" t="s">
        <v>764</v>
      </c>
      <c r="BE388" s="295" t="str">
        <f t="shared" si="160"/>
        <v>Exhibit 1.5B_R Peoples Gas EEPS_Adjustable_Savings_Goal_Template.xlsx, Unit Savings Calculations Tab</v>
      </c>
      <c r="BF388" s="297"/>
    </row>
    <row r="389" spans="1:58" ht="13.5" customHeight="1">
      <c r="A389" s="287" t="str">
        <f>'Unit Savings Calculations'!C385</f>
        <v>Low Income - SF Retrofit</v>
      </c>
      <c r="B389" s="287" t="str">
        <f>'Unit Savings Calculations'!D385</f>
        <v>Wall Insulation</v>
      </c>
      <c r="C389" s="288">
        <f t="shared" si="170"/>
        <v>1</v>
      </c>
      <c r="D389" s="287" t="str">
        <f>'Unit Savings Calculations'!T385</f>
        <v>5.6.4</v>
      </c>
      <c r="E389" s="287">
        <f>INDEX('Unit Savings Calculations'!$H$4:$H$421,MATCH('Measure-Level Adjustments Tab'!$A389&amp;"_"&amp;'Measure-Level Adjustments Tab'!$B389,'Unit Savings Calculations'!$A$4:$A$421,0))</f>
        <v>25</v>
      </c>
      <c r="F389" s="287">
        <f>INDEX('Unit Savings Calculations'!$I$4:$I$421,MATCH('Measure-Level Adjustments Tab'!A389&amp;"_"&amp;'Measure-Level Adjustments Tab'!B389,'Unit Savings Calculations'!$A$4:$A$421,0))</f>
        <v>20</v>
      </c>
      <c r="G389" s="287" t="str">
        <f>'Unit Savings Calculations'!E385</f>
        <v>sq ft</v>
      </c>
      <c r="H389" s="289">
        <f>'Unit Savings Calculations'!$F385*'Unit Savings Calculations'!J385</f>
        <v>149400</v>
      </c>
      <c r="I389" s="289">
        <f>'Unit Savings Calculations'!$F385*'Unit Savings Calculations'!K385</f>
        <v>149400</v>
      </c>
      <c r="J389" s="289">
        <f>'Unit Savings Calculations'!$F385*'Unit Savings Calculations'!L385</f>
        <v>149400</v>
      </c>
      <c r="K389" s="289">
        <f>'Unit Savings Calculations'!$F385*'Unit Savings Calculations'!M385</f>
        <v>149400</v>
      </c>
      <c r="L389" s="287" t="str">
        <f>'Unit Savings Calculations'!U385</f>
        <v>RS-SHL-AINS-V07-180101</v>
      </c>
      <c r="M389" s="363" t="s">
        <v>830</v>
      </c>
      <c r="N389" s="290">
        <v>7.8966183566101619E-2</v>
      </c>
      <c r="O389" s="290">
        <v>7.8966183566101619E-2</v>
      </c>
      <c r="P389" s="290">
        <v>7.8966183566101619E-2</v>
      </c>
      <c r="Q389" s="290">
        <v>7.8966183566101619E-2</v>
      </c>
      <c r="R389" s="291">
        <f>'Unit Savings Calculations'!$G385</f>
        <v>1</v>
      </c>
      <c r="S389" s="291">
        <f>'Unit Savings Calculations'!$G385</f>
        <v>1</v>
      </c>
      <c r="T389" s="291">
        <f>'Unit Savings Calculations'!$G385</f>
        <v>1</v>
      </c>
      <c r="U389" s="291">
        <f>'Unit Savings Calculations'!$G385</f>
        <v>1</v>
      </c>
      <c r="V389" s="292">
        <f t="shared" si="171"/>
        <v>11797.547824775582</v>
      </c>
      <c r="W389" s="292">
        <f t="shared" si="172"/>
        <v>11797.547824775582</v>
      </c>
      <c r="X389" s="292">
        <f t="shared" si="173"/>
        <v>11797.547824775582</v>
      </c>
      <c r="Y389" s="292">
        <f t="shared" si="174"/>
        <v>11797.547824775582</v>
      </c>
      <c r="Z389" s="292">
        <f t="shared" si="175"/>
        <v>47190.191299102327</v>
      </c>
      <c r="AA389" s="287"/>
      <c r="AB389" s="287"/>
      <c r="AC389" s="293">
        <f>'Unit Savings Calculations'!N385</f>
        <v>7.90190909090909E-2</v>
      </c>
      <c r="AD389" s="287"/>
      <c r="AE389" s="292">
        <f t="shared" si="161"/>
        <v>11805.45218181818</v>
      </c>
      <c r="AF389" s="289">
        <f t="shared" si="162"/>
        <v>7.9043570425983489</v>
      </c>
      <c r="AG389" s="287"/>
      <c r="AH389" s="287">
        <f t="shared" si="163"/>
        <v>0</v>
      </c>
      <c r="AI389" s="290">
        <f>'Unit Savings Calculations'!O385</f>
        <v>7.90190909090909E-2</v>
      </c>
      <c r="AJ389" s="287" t="s">
        <v>1039</v>
      </c>
      <c r="AK389" s="292">
        <f t="shared" si="164"/>
        <v>11805.45218181818</v>
      </c>
      <c r="AL389" s="289">
        <f t="shared" si="165"/>
        <v>7.9043570425983489</v>
      </c>
      <c r="AM389" s="287"/>
      <c r="AN389" s="287"/>
      <c r="AO389" s="290">
        <f>'Unit Savings Calculations'!P385</f>
        <v>7.90190909090909E-2</v>
      </c>
      <c r="AP389" s="287" t="s">
        <v>764</v>
      </c>
      <c r="AQ389" s="292">
        <f t="shared" si="166"/>
        <v>11805.45218181818</v>
      </c>
      <c r="AR389" s="289">
        <f t="shared" si="167"/>
        <v>7.9043570425983489</v>
      </c>
      <c r="AS389" s="287"/>
      <c r="AT389" s="287"/>
      <c r="AU389" s="290">
        <f>'Unit Savings Calculations'!Q385</f>
        <v>7.90190909090909E-2</v>
      </c>
      <c r="AV389" s="287" t="str">
        <f t="shared" si="154"/>
        <v>n/a</v>
      </c>
      <c r="AW389" s="292">
        <f t="shared" si="168"/>
        <v>11805.45218181818</v>
      </c>
      <c r="AX389" s="289">
        <f t="shared" si="169"/>
        <v>7.9043570425983489</v>
      </c>
      <c r="AY389" s="292">
        <f t="shared" si="155"/>
        <v>11805.45218181818</v>
      </c>
      <c r="AZ389" s="292">
        <f t="shared" si="156"/>
        <v>11805.45218181818</v>
      </c>
      <c r="BA389" s="292">
        <f t="shared" si="157"/>
        <v>11805.45218181818</v>
      </c>
      <c r="BB389" s="292">
        <f t="shared" si="158"/>
        <v>11805.45218181818</v>
      </c>
      <c r="BC389" s="294">
        <f t="shared" si="159"/>
        <v>47221.808727272721</v>
      </c>
      <c r="BD389" s="287" t="s">
        <v>764</v>
      </c>
      <c r="BE389" s="295" t="str">
        <f t="shared" si="160"/>
        <v>Exhibit 1.5B_R Peoples Gas EEPS_Adjustable_Savings_Goal_Template.xlsx, Unit Savings Calculations Tab</v>
      </c>
      <c r="BF389" s="297"/>
    </row>
    <row r="390" spans="1:58" ht="13.5" customHeight="1">
      <c r="A390" s="287" t="str">
        <f>'Unit Savings Calculations'!C386</f>
        <v>Low Income - SF Retrofit</v>
      </c>
      <c r="B390" s="287" t="str">
        <f>'Unit Savings Calculations'!D386</f>
        <v>Foundation Insulation</v>
      </c>
      <c r="C390" s="288">
        <f t="shared" si="170"/>
        <v>1</v>
      </c>
      <c r="D390" s="287" t="str">
        <f>'Unit Savings Calculations'!T386</f>
        <v>5.6.2</v>
      </c>
      <c r="E390" s="287">
        <f>INDEX('Unit Savings Calculations'!$H$4:$H$421,MATCH('Measure-Level Adjustments Tab'!$A390&amp;"_"&amp;'Measure-Level Adjustments Tab'!$B390,'Unit Savings Calculations'!$A$4:$A$421,0))</f>
        <v>25</v>
      </c>
      <c r="F390" s="287">
        <f>INDEX('Unit Savings Calculations'!$I$4:$I$421,MATCH('Measure-Level Adjustments Tab'!A390&amp;"_"&amp;'Measure-Level Adjustments Tab'!B390,'Unit Savings Calculations'!$A$4:$A$421,0))</f>
        <v>25</v>
      </c>
      <c r="G390" s="287" t="str">
        <f>'Unit Savings Calculations'!E386</f>
        <v>sq ft</v>
      </c>
      <c r="H390" s="289">
        <f>'Unit Savings Calculations'!$F386*'Unit Savings Calculations'!J386</f>
        <v>9950</v>
      </c>
      <c r="I390" s="289">
        <f>'Unit Savings Calculations'!$F386*'Unit Savings Calculations'!K386</f>
        <v>9950</v>
      </c>
      <c r="J390" s="289">
        <f>'Unit Savings Calculations'!$F386*'Unit Savings Calculations'!L386</f>
        <v>9950</v>
      </c>
      <c r="K390" s="289">
        <f>'Unit Savings Calculations'!$F386*'Unit Savings Calculations'!M386</f>
        <v>9950</v>
      </c>
      <c r="L390" s="287" t="str">
        <f>'Unit Savings Calculations'!U386</f>
        <v>RS-SHL-BINS-V08-180101</v>
      </c>
      <c r="M390" s="363" t="s">
        <v>830</v>
      </c>
      <c r="N390" s="290">
        <v>8.2417994229580488E-2</v>
      </c>
      <c r="O390" s="290">
        <v>8.2417994229580488E-2</v>
      </c>
      <c r="P390" s="290">
        <v>8.2417994229580488E-2</v>
      </c>
      <c r="Q390" s="290">
        <v>8.2417994229580488E-2</v>
      </c>
      <c r="R390" s="291">
        <f>'Unit Savings Calculations'!$G386</f>
        <v>1</v>
      </c>
      <c r="S390" s="291">
        <f>'Unit Savings Calculations'!$G386</f>
        <v>1</v>
      </c>
      <c r="T390" s="291">
        <f>'Unit Savings Calculations'!$G386</f>
        <v>1</v>
      </c>
      <c r="U390" s="291">
        <f>'Unit Savings Calculations'!$G386</f>
        <v>1</v>
      </c>
      <c r="V390" s="292">
        <f t="shared" si="171"/>
        <v>820.05904258432588</v>
      </c>
      <c r="W390" s="292">
        <f t="shared" si="172"/>
        <v>820.05904258432588</v>
      </c>
      <c r="X390" s="292">
        <f t="shared" si="173"/>
        <v>820.05904258432588</v>
      </c>
      <c r="Y390" s="292">
        <f t="shared" si="174"/>
        <v>820.05904258432588</v>
      </c>
      <c r="Z390" s="292">
        <f t="shared" si="175"/>
        <v>3280.2361703373035</v>
      </c>
      <c r="AA390" s="287"/>
      <c r="AB390" s="287"/>
      <c r="AC390" s="293">
        <f>'Unit Savings Calculations'!N386</f>
        <v>8.2417994229580488E-2</v>
      </c>
      <c r="AD390" s="287"/>
      <c r="AE390" s="292">
        <f t="shared" si="161"/>
        <v>820.05904258432588</v>
      </c>
      <c r="AF390" s="289">
        <f t="shared" si="162"/>
        <v>0</v>
      </c>
      <c r="AG390" s="287"/>
      <c r="AH390" s="287">
        <f t="shared" si="163"/>
        <v>0</v>
      </c>
      <c r="AI390" s="290">
        <f>'Unit Savings Calculations'!O386</f>
        <v>8.2417994229580488E-2</v>
      </c>
      <c r="AJ390" s="287" t="s">
        <v>872</v>
      </c>
      <c r="AK390" s="292">
        <f t="shared" si="164"/>
        <v>820.05904258432588</v>
      </c>
      <c r="AL390" s="289">
        <f t="shared" si="165"/>
        <v>0</v>
      </c>
      <c r="AM390" s="287"/>
      <c r="AN390" s="287"/>
      <c r="AO390" s="290">
        <f>'Unit Savings Calculations'!P386</f>
        <v>8.2417994229580488E-2</v>
      </c>
      <c r="AP390" s="287" t="s">
        <v>764</v>
      </c>
      <c r="AQ390" s="292">
        <f t="shared" si="166"/>
        <v>820.05904258432588</v>
      </c>
      <c r="AR390" s="289">
        <f t="shared" si="167"/>
        <v>0</v>
      </c>
      <c r="AS390" s="287"/>
      <c r="AT390" s="287"/>
      <c r="AU390" s="290">
        <f>'Unit Savings Calculations'!Q386</f>
        <v>8.2417994229580488E-2</v>
      </c>
      <c r="AV390" s="287" t="str">
        <f t="shared" si="154"/>
        <v>n/a</v>
      </c>
      <c r="AW390" s="292">
        <f t="shared" si="168"/>
        <v>820.05904258432588</v>
      </c>
      <c r="AX390" s="289">
        <f t="shared" si="169"/>
        <v>0</v>
      </c>
      <c r="AY390" s="292">
        <f t="shared" si="155"/>
        <v>820.05904258432588</v>
      </c>
      <c r="AZ390" s="292">
        <f t="shared" si="156"/>
        <v>820.05904258432588</v>
      </c>
      <c r="BA390" s="292">
        <f t="shared" si="157"/>
        <v>820.05904258432588</v>
      </c>
      <c r="BB390" s="292">
        <f t="shared" si="158"/>
        <v>820.05904258432588</v>
      </c>
      <c r="BC390" s="294">
        <f t="shared" si="159"/>
        <v>3280.2361703373035</v>
      </c>
      <c r="BD390" s="287" t="s">
        <v>764</v>
      </c>
      <c r="BE390" s="295" t="str">
        <f t="shared" si="160"/>
        <v>Exhibit 1.5B_R Peoples Gas EEPS_Adjustable_Savings_Goal_Template.xlsx, Unit Savings Calculations Tab</v>
      </c>
      <c r="BF390" s="297"/>
    </row>
    <row r="391" spans="1:58" ht="13.5" customHeight="1">
      <c r="A391" s="287" t="str">
        <f>'Unit Savings Calculations'!C387</f>
        <v>Low Income - SF Retrofit</v>
      </c>
      <c r="B391" s="287" t="str">
        <f>'Unit Savings Calculations'!D387</f>
        <v>Rim Joist Insulation</v>
      </c>
      <c r="C391" s="288">
        <f t="shared" si="170"/>
        <v>1</v>
      </c>
      <c r="D391" s="287" t="str">
        <f>'Unit Savings Calculations'!T387</f>
        <v>5.6.6</v>
      </c>
      <c r="E391" s="287">
        <f>INDEX('Unit Savings Calculations'!$H$4:$H$421,MATCH('Measure-Level Adjustments Tab'!$A391&amp;"_"&amp;'Measure-Level Adjustments Tab'!$B391,'Unit Savings Calculations'!$A$4:$A$421,0))</f>
        <v>25</v>
      </c>
      <c r="F391" s="287">
        <f>INDEX('Unit Savings Calculations'!$I$4:$I$421,MATCH('Measure-Level Adjustments Tab'!A391&amp;"_"&amp;'Measure-Level Adjustments Tab'!B391,'Unit Savings Calculations'!$A$4:$A$421,0))</f>
        <v>25</v>
      </c>
      <c r="G391" s="287" t="str">
        <f>'Unit Savings Calculations'!E387</f>
        <v>sq ft</v>
      </c>
      <c r="H391" s="289">
        <f>'Unit Savings Calculations'!$F387*'Unit Savings Calculations'!J387</f>
        <v>9950</v>
      </c>
      <c r="I391" s="289">
        <f>'Unit Savings Calculations'!$F387*'Unit Savings Calculations'!K387</f>
        <v>9950</v>
      </c>
      <c r="J391" s="289">
        <f>'Unit Savings Calculations'!$F387*'Unit Savings Calculations'!L387</f>
        <v>9950</v>
      </c>
      <c r="K391" s="289">
        <f>'Unit Savings Calculations'!$F387*'Unit Savings Calculations'!M387</f>
        <v>9950</v>
      </c>
      <c r="L391" s="287" t="str">
        <f>'Unit Savings Calculations'!U387</f>
        <v>RS-SHL-AINS-V07-180101</v>
      </c>
      <c r="M391" s="363" t="s">
        <v>830</v>
      </c>
      <c r="N391" s="290">
        <v>0.51095765836889295</v>
      </c>
      <c r="O391" s="290">
        <v>0.51095765836889295</v>
      </c>
      <c r="P391" s="290">
        <v>0.51095765836889295</v>
      </c>
      <c r="Q391" s="290">
        <v>0.51095765836889295</v>
      </c>
      <c r="R391" s="291">
        <f>'Unit Savings Calculations'!$G387</f>
        <v>1</v>
      </c>
      <c r="S391" s="291">
        <f>'Unit Savings Calculations'!$G387</f>
        <v>1</v>
      </c>
      <c r="T391" s="291">
        <f>'Unit Savings Calculations'!$G387</f>
        <v>1</v>
      </c>
      <c r="U391" s="291">
        <f>'Unit Savings Calculations'!$G387</f>
        <v>1</v>
      </c>
      <c r="V391" s="292">
        <f t="shared" si="171"/>
        <v>5084.0287007704846</v>
      </c>
      <c r="W391" s="292">
        <f t="shared" si="172"/>
        <v>5084.0287007704846</v>
      </c>
      <c r="X391" s="292">
        <f t="shared" si="173"/>
        <v>5084.0287007704846</v>
      </c>
      <c r="Y391" s="292">
        <f t="shared" si="174"/>
        <v>5084.0287007704846</v>
      </c>
      <c r="Z391" s="292">
        <f t="shared" si="175"/>
        <v>20336.114803081939</v>
      </c>
      <c r="AA391" s="287"/>
      <c r="AB391" s="287"/>
      <c r="AC391" s="293">
        <f>'Unit Savings Calculations'!N387</f>
        <v>0.6476466666666667</v>
      </c>
      <c r="AD391" s="287"/>
      <c r="AE391" s="292">
        <f t="shared" si="161"/>
        <v>6444.0843333333341</v>
      </c>
      <c r="AF391" s="289">
        <f t="shared" si="162"/>
        <v>1360.0556325628495</v>
      </c>
      <c r="AG391" s="287"/>
      <c r="AH391" s="287">
        <f t="shared" si="163"/>
        <v>0</v>
      </c>
      <c r="AI391" s="290">
        <f>'Unit Savings Calculations'!O387</f>
        <v>0.6476466666666667</v>
      </c>
      <c r="AJ391" s="287" t="s">
        <v>1043</v>
      </c>
      <c r="AK391" s="292">
        <f t="shared" si="164"/>
        <v>6444.0843333333341</v>
      </c>
      <c r="AL391" s="289">
        <f t="shared" si="165"/>
        <v>1360.0556325628495</v>
      </c>
      <c r="AM391" s="287"/>
      <c r="AN391" s="287"/>
      <c r="AO391" s="290">
        <f>'Unit Savings Calculations'!P387</f>
        <v>0.6476466666666667</v>
      </c>
      <c r="AP391" s="287" t="s">
        <v>764</v>
      </c>
      <c r="AQ391" s="292">
        <f t="shared" si="166"/>
        <v>6444.0843333333341</v>
      </c>
      <c r="AR391" s="289">
        <f t="shared" si="167"/>
        <v>1360.0556325628495</v>
      </c>
      <c r="AS391" s="287"/>
      <c r="AT391" s="287"/>
      <c r="AU391" s="290">
        <f>'Unit Savings Calculations'!Q387</f>
        <v>0.6476466666666667</v>
      </c>
      <c r="AV391" s="287" t="str">
        <f t="shared" si="154"/>
        <v>n/a</v>
      </c>
      <c r="AW391" s="292">
        <f t="shared" si="168"/>
        <v>6444.0843333333341</v>
      </c>
      <c r="AX391" s="289">
        <f t="shared" si="169"/>
        <v>1360.0556325628495</v>
      </c>
      <c r="AY391" s="292">
        <f t="shared" si="155"/>
        <v>6444.0843333333341</v>
      </c>
      <c r="AZ391" s="292">
        <f t="shared" si="156"/>
        <v>6444.0843333333341</v>
      </c>
      <c r="BA391" s="292">
        <f t="shared" si="157"/>
        <v>6444.0843333333341</v>
      </c>
      <c r="BB391" s="292">
        <f t="shared" si="158"/>
        <v>6444.0843333333341</v>
      </c>
      <c r="BC391" s="294">
        <f t="shared" si="159"/>
        <v>25776.337333333337</v>
      </c>
      <c r="BD391" s="287" t="s">
        <v>764</v>
      </c>
      <c r="BE391" s="295" t="str">
        <f t="shared" si="160"/>
        <v>Exhibit 1.5B_R Peoples Gas EEPS_Adjustable_Savings_Goal_Template.xlsx, Unit Savings Calculations Tab</v>
      </c>
      <c r="BF391" s="297"/>
    </row>
    <row r="392" spans="1:58" ht="13.5" customHeight="1">
      <c r="A392" s="287" t="str">
        <f>'Unit Savings Calculations'!C388</f>
        <v>Low Income - SF Retrofit</v>
      </c>
      <c r="B392" s="287" t="str">
        <f>'Unit Savings Calculations'!D388</f>
        <v>Water Heater - Storage 0.67 EF</v>
      </c>
      <c r="C392" s="288">
        <f t="shared" si="170"/>
        <v>1</v>
      </c>
      <c r="D392" s="287" t="str">
        <f>'Unit Savings Calculations'!T388</f>
        <v>5.4.2</v>
      </c>
      <c r="E392" s="287">
        <f>INDEX('Unit Savings Calculations'!$H$4:$H$421,MATCH('Measure-Level Adjustments Tab'!$A392&amp;"_"&amp;'Measure-Level Adjustments Tab'!$B392,'Unit Savings Calculations'!$A$4:$A$421,0))</f>
        <v>13</v>
      </c>
      <c r="F392" s="287">
        <f>INDEX('Unit Savings Calculations'!$I$4:$I$421,MATCH('Measure-Level Adjustments Tab'!A392&amp;"_"&amp;'Measure-Level Adjustments Tab'!B392,'Unit Savings Calculations'!$A$4:$A$421,0))</f>
        <v>13</v>
      </c>
      <c r="G392" s="287" t="str">
        <f>'Unit Savings Calculations'!E388</f>
        <v>each</v>
      </c>
      <c r="H392" s="289">
        <f>'Unit Savings Calculations'!$F388*'Unit Savings Calculations'!J388</f>
        <v>50</v>
      </c>
      <c r="I392" s="289">
        <f>'Unit Savings Calculations'!$F388*'Unit Savings Calculations'!K388</f>
        <v>50</v>
      </c>
      <c r="J392" s="289">
        <f>'Unit Savings Calculations'!$F388*'Unit Savings Calculations'!L388</f>
        <v>50</v>
      </c>
      <c r="K392" s="289">
        <f>'Unit Savings Calculations'!$F388*'Unit Savings Calculations'!M388</f>
        <v>50</v>
      </c>
      <c r="L392" s="287" t="str">
        <f>'Unit Savings Calculations'!U388</f>
        <v>RS-HWE-GWHT-V07-180101</v>
      </c>
      <c r="M392" s="363" t="s">
        <v>830</v>
      </c>
      <c r="N392" s="290">
        <v>12.991490464011658</v>
      </c>
      <c r="O392" s="290">
        <v>12.991490464011658</v>
      </c>
      <c r="P392" s="290">
        <v>12.991490464011658</v>
      </c>
      <c r="Q392" s="290">
        <v>12.991490464011658</v>
      </c>
      <c r="R392" s="291">
        <f>'Unit Savings Calculations'!$G388</f>
        <v>1</v>
      </c>
      <c r="S392" s="291">
        <f>'Unit Savings Calculations'!$G388</f>
        <v>1</v>
      </c>
      <c r="T392" s="291">
        <f>'Unit Savings Calculations'!$G388</f>
        <v>1</v>
      </c>
      <c r="U392" s="291">
        <f>'Unit Savings Calculations'!$G388</f>
        <v>1</v>
      </c>
      <c r="V392" s="292">
        <f t="shared" si="171"/>
        <v>649.57452320058292</v>
      </c>
      <c r="W392" s="292">
        <f t="shared" si="172"/>
        <v>649.57452320058292</v>
      </c>
      <c r="X392" s="292">
        <f t="shared" si="173"/>
        <v>649.57452320058292</v>
      </c>
      <c r="Y392" s="292">
        <f t="shared" si="174"/>
        <v>649.57452320058292</v>
      </c>
      <c r="Z392" s="292">
        <f t="shared" si="175"/>
        <v>2598.2980928023317</v>
      </c>
      <c r="AA392" s="287"/>
      <c r="AB392" s="287"/>
      <c r="AC392" s="293">
        <f>'Unit Savings Calculations'!N388</f>
        <v>15.645447674402874</v>
      </c>
      <c r="AD392" s="287"/>
      <c r="AE392" s="292">
        <f t="shared" si="161"/>
        <v>782.27238372014369</v>
      </c>
      <c r="AF392" s="289">
        <f t="shared" si="162"/>
        <v>132.69786051956078</v>
      </c>
      <c r="AG392" s="287"/>
      <c r="AH392" s="287">
        <f t="shared" si="163"/>
        <v>0</v>
      </c>
      <c r="AI392" s="290">
        <f>'Unit Savings Calculations'!O388</f>
        <v>15.645447674402874</v>
      </c>
      <c r="AJ392" s="287" t="s">
        <v>1006</v>
      </c>
      <c r="AK392" s="292">
        <f t="shared" si="164"/>
        <v>782.27238372014369</v>
      </c>
      <c r="AL392" s="289">
        <f t="shared" si="165"/>
        <v>132.69786051956078</v>
      </c>
      <c r="AM392" s="287"/>
      <c r="AN392" s="287"/>
      <c r="AO392" s="290">
        <f>'Unit Savings Calculations'!P388</f>
        <v>15.645447674402874</v>
      </c>
      <c r="AP392" s="287" t="s">
        <v>764</v>
      </c>
      <c r="AQ392" s="292">
        <f t="shared" si="166"/>
        <v>782.27238372014369</v>
      </c>
      <c r="AR392" s="289">
        <f t="shared" si="167"/>
        <v>132.69786051956078</v>
      </c>
      <c r="AS392" s="287"/>
      <c r="AT392" s="287"/>
      <c r="AU392" s="290">
        <f>'Unit Savings Calculations'!Q388</f>
        <v>15.645447674402874</v>
      </c>
      <c r="AV392" s="287" t="str">
        <f t="shared" si="154"/>
        <v>n/a</v>
      </c>
      <c r="AW392" s="292">
        <f t="shared" si="168"/>
        <v>782.27238372014369</v>
      </c>
      <c r="AX392" s="289">
        <f t="shared" si="169"/>
        <v>132.69786051956078</v>
      </c>
      <c r="AY392" s="292">
        <f t="shared" si="155"/>
        <v>782.27238372014369</v>
      </c>
      <c r="AZ392" s="292">
        <f t="shared" si="156"/>
        <v>782.27238372014369</v>
      </c>
      <c r="BA392" s="292">
        <f t="shared" si="157"/>
        <v>782.27238372014369</v>
      </c>
      <c r="BB392" s="292">
        <f t="shared" si="158"/>
        <v>782.27238372014369</v>
      </c>
      <c r="BC392" s="294">
        <f t="shared" si="159"/>
        <v>3129.0895348805748</v>
      </c>
      <c r="BD392" s="287" t="s">
        <v>764</v>
      </c>
      <c r="BE392" s="295" t="str">
        <f t="shared" si="160"/>
        <v>Exhibit 1.5B_R Peoples Gas EEPS_Adjustable_Savings_Goal_Template.xlsx, Unit Savings Calculations Tab</v>
      </c>
      <c r="BF392" s="297"/>
    </row>
    <row r="393" spans="1:58" ht="13.5" customHeight="1">
      <c r="A393" s="287" t="str">
        <f>'Unit Savings Calculations'!C389</f>
        <v>Low Income - SF Retrofit</v>
      </c>
      <c r="B393" s="287" t="str">
        <f>'Unit Savings Calculations'!D389</f>
        <v>Boiler ≥90% AFUE, &lt;300MBh</v>
      </c>
      <c r="C393" s="288">
        <f t="shared" si="170"/>
        <v>1</v>
      </c>
      <c r="D393" s="287" t="str">
        <f>'Unit Savings Calculations'!T389</f>
        <v>5.3.6</v>
      </c>
      <c r="E393" s="287">
        <f>INDEX('Unit Savings Calculations'!$H$4:$H$421,MATCH('Measure-Level Adjustments Tab'!$A393&amp;"_"&amp;'Measure-Level Adjustments Tab'!$B393,'Unit Savings Calculations'!$A$4:$A$421,0))</f>
        <v>25</v>
      </c>
      <c r="F393" s="287">
        <f>INDEX('Unit Savings Calculations'!$I$4:$I$421,MATCH('Measure-Level Adjustments Tab'!A393&amp;"_"&amp;'Measure-Level Adjustments Tab'!B393,'Unit Savings Calculations'!$A$4:$A$421,0))</f>
        <v>25</v>
      </c>
      <c r="G393" s="287" t="str">
        <f>'Unit Savings Calculations'!E389</f>
        <v>each</v>
      </c>
      <c r="H393" s="289">
        <f>'Unit Savings Calculations'!$F389*'Unit Savings Calculations'!J389</f>
        <v>50</v>
      </c>
      <c r="I393" s="289">
        <f>'Unit Savings Calculations'!$F389*'Unit Savings Calculations'!K389</f>
        <v>50</v>
      </c>
      <c r="J393" s="289">
        <f>'Unit Savings Calculations'!$F389*'Unit Savings Calculations'!L389</f>
        <v>50</v>
      </c>
      <c r="K393" s="289">
        <f>'Unit Savings Calculations'!$F389*'Unit Savings Calculations'!M389</f>
        <v>50</v>
      </c>
      <c r="L393" s="287" t="str">
        <f>'Unit Savings Calculations'!U389</f>
        <v>RS-HVC-GHEB-V06-180101</v>
      </c>
      <c r="M393" s="363" t="s">
        <v>830</v>
      </c>
      <c r="N393" s="290">
        <v>132.03252032520317</v>
      </c>
      <c r="O393" s="290">
        <v>132.03252032520317</v>
      </c>
      <c r="P393" s="290">
        <v>132.03252032520317</v>
      </c>
      <c r="Q393" s="290">
        <v>132.03252032520317</v>
      </c>
      <c r="R393" s="291">
        <f>'Unit Savings Calculations'!$G389</f>
        <v>1</v>
      </c>
      <c r="S393" s="291">
        <f>'Unit Savings Calculations'!$G389</f>
        <v>1</v>
      </c>
      <c r="T393" s="291">
        <f>'Unit Savings Calculations'!$G389</f>
        <v>1</v>
      </c>
      <c r="U393" s="291">
        <f>'Unit Savings Calculations'!$G389</f>
        <v>1</v>
      </c>
      <c r="V393" s="292">
        <f t="shared" si="171"/>
        <v>6601.6260162601584</v>
      </c>
      <c r="W393" s="292">
        <f t="shared" si="172"/>
        <v>6601.6260162601584</v>
      </c>
      <c r="X393" s="292">
        <f t="shared" si="173"/>
        <v>6601.6260162601584</v>
      </c>
      <c r="Y393" s="292">
        <f t="shared" si="174"/>
        <v>6601.6260162601584</v>
      </c>
      <c r="Z393" s="292">
        <f t="shared" si="175"/>
        <v>26406.504065040634</v>
      </c>
      <c r="AA393" s="287"/>
      <c r="AB393" s="287"/>
      <c r="AC393" s="293">
        <f>'Unit Savings Calculations'!N389</f>
        <v>95.219512195122036</v>
      </c>
      <c r="AD393" s="287"/>
      <c r="AE393" s="292">
        <f t="shared" si="161"/>
        <v>4760.9756097561021</v>
      </c>
      <c r="AF393" s="289">
        <f t="shared" si="162"/>
        <v>-1840.6504065040563</v>
      </c>
      <c r="AG393" s="287"/>
      <c r="AH393" s="287">
        <f t="shared" si="163"/>
        <v>0</v>
      </c>
      <c r="AI393" s="290">
        <f>'Unit Savings Calculations'!O389</f>
        <v>95.219512195122036</v>
      </c>
      <c r="AJ393" s="287" t="s">
        <v>994</v>
      </c>
      <c r="AK393" s="292">
        <f t="shared" si="164"/>
        <v>4760.9756097561021</v>
      </c>
      <c r="AL393" s="289">
        <f t="shared" si="165"/>
        <v>-1840.6504065040563</v>
      </c>
      <c r="AM393" s="287"/>
      <c r="AN393" s="287"/>
      <c r="AO393" s="290">
        <f>'Unit Savings Calculations'!P389</f>
        <v>95.219512195122036</v>
      </c>
      <c r="AP393" s="287" t="s">
        <v>764</v>
      </c>
      <c r="AQ393" s="292">
        <f t="shared" si="166"/>
        <v>4760.9756097561021</v>
      </c>
      <c r="AR393" s="289">
        <f t="shared" si="167"/>
        <v>-1840.6504065040563</v>
      </c>
      <c r="AS393" s="287"/>
      <c r="AT393" s="287"/>
      <c r="AU393" s="290">
        <f>'Unit Savings Calculations'!Q389</f>
        <v>95.219512195122036</v>
      </c>
      <c r="AV393" s="287" t="str">
        <f t="shared" ref="AV393:AV425" si="176">AP393</f>
        <v>n/a</v>
      </c>
      <c r="AW393" s="292">
        <f t="shared" si="168"/>
        <v>4760.9756097561021</v>
      </c>
      <c r="AX393" s="289">
        <f t="shared" si="169"/>
        <v>-1840.6504065040563</v>
      </c>
      <c r="AY393" s="292">
        <f t="shared" ref="AY393:AY425" si="177">IF(C393=1,AE393,V393)</f>
        <v>4760.9756097561021</v>
      </c>
      <c r="AZ393" s="292">
        <f t="shared" ref="AZ393:AZ425" si="178">IF(C393=1,AK393,W393)</f>
        <v>4760.9756097561021</v>
      </c>
      <c r="BA393" s="292">
        <f t="shared" ref="BA393:BA425" si="179">IF(C393=1,AQ393,X393)</f>
        <v>4760.9756097561021</v>
      </c>
      <c r="BB393" s="292">
        <f t="shared" ref="BB393:BB425" si="180">IF(C393=1,AW393,Y393)</f>
        <v>4760.9756097561021</v>
      </c>
      <c r="BC393" s="294">
        <f t="shared" ref="BC393:BC425" si="181">AY393+AZ393+BA393+BB393</f>
        <v>19043.902439024409</v>
      </c>
      <c r="BD393" s="287" t="s">
        <v>764</v>
      </c>
      <c r="BE393" s="295" t="str">
        <f t="shared" ref="BE393:BE425" si="182">M393</f>
        <v>Exhibit 1.5B_R Peoples Gas EEPS_Adjustable_Savings_Goal_Template.xlsx, Unit Savings Calculations Tab</v>
      </c>
      <c r="BF393" s="297"/>
    </row>
    <row r="394" spans="1:58" ht="13.5" customHeight="1">
      <c r="A394" s="287" t="str">
        <f>'Unit Savings Calculations'!C390</f>
        <v>Low Income - SF Retrofit</v>
      </c>
      <c r="B394" s="287" t="str">
        <f>'Unit Savings Calculations'!D390</f>
        <v>Furnace &gt;95% AFUE</v>
      </c>
      <c r="C394" s="288">
        <f t="shared" si="170"/>
        <v>1</v>
      </c>
      <c r="D394" s="287" t="str">
        <f>'Unit Savings Calculations'!T390</f>
        <v>5.3.7</v>
      </c>
      <c r="E394" s="287">
        <f>INDEX('Unit Savings Calculations'!$H$4:$H$421,MATCH('Measure-Level Adjustments Tab'!$A394&amp;"_"&amp;'Measure-Level Adjustments Tab'!$B394,'Unit Savings Calculations'!$A$4:$A$421,0))</f>
        <v>20</v>
      </c>
      <c r="F394" s="287">
        <f>INDEX('Unit Savings Calculations'!$I$4:$I$421,MATCH('Measure-Level Adjustments Tab'!A394&amp;"_"&amp;'Measure-Level Adjustments Tab'!B394,'Unit Savings Calculations'!$A$4:$A$421,0))</f>
        <v>20</v>
      </c>
      <c r="G394" s="287" t="str">
        <f>'Unit Savings Calculations'!E390</f>
        <v>each</v>
      </c>
      <c r="H394" s="289">
        <f>'Unit Savings Calculations'!$F390*'Unit Savings Calculations'!J390</f>
        <v>50</v>
      </c>
      <c r="I394" s="289">
        <f>'Unit Savings Calculations'!$F390*'Unit Savings Calculations'!K390</f>
        <v>50</v>
      </c>
      <c r="J394" s="289">
        <f>'Unit Savings Calculations'!$F390*'Unit Savings Calculations'!L390</f>
        <v>50</v>
      </c>
      <c r="K394" s="289">
        <f>'Unit Savings Calculations'!$F390*'Unit Savings Calculations'!M390</f>
        <v>50</v>
      </c>
      <c r="L394" s="287" t="str">
        <f>'Unit Savings Calculations'!U390</f>
        <v>RS-HVC-GHEF-V07-180101</v>
      </c>
      <c r="M394" s="363" t="s">
        <v>830</v>
      </c>
      <c r="N394" s="290">
        <v>175.86032388663946</v>
      </c>
      <c r="O394" s="290">
        <v>175.86032388663946</v>
      </c>
      <c r="P394" s="290">
        <v>175.86032388663946</v>
      </c>
      <c r="Q394" s="290">
        <v>175.86032388663946</v>
      </c>
      <c r="R394" s="291">
        <f>'Unit Savings Calculations'!$G390</f>
        <v>1</v>
      </c>
      <c r="S394" s="291">
        <f>'Unit Savings Calculations'!$G390</f>
        <v>1</v>
      </c>
      <c r="T394" s="291">
        <f>'Unit Savings Calculations'!$G390</f>
        <v>1</v>
      </c>
      <c r="U394" s="291">
        <f>'Unit Savings Calculations'!$G390</f>
        <v>1</v>
      </c>
      <c r="V394" s="292">
        <f t="shared" si="171"/>
        <v>8793.0161943319727</v>
      </c>
      <c r="W394" s="292">
        <f t="shared" si="172"/>
        <v>8793.0161943319727</v>
      </c>
      <c r="X394" s="292">
        <f t="shared" si="173"/>
        <v>8793.0161943319727</v>
      </c>
      <c r="Y394" s="292">
        <f t="shared" si="174"/>
        <v>8793.0161943319727</v>
      </c>
      <c r="Z394" s="292">
        <f t="shared" si="175"/>
        <v>35172.064777327891</v>
      </c>
      <c r="AA394" s="287"/>
      <c r="AB394" s="287"/>
      <c r="AC394" s="293">
        <f>'Unit Savings Calculations'!N390</f>
        <v>156.41025641025624</v>
      </c>
      <c r="AD394" s="287"/>
      <c r="AE394" s="292">
        <f t="shared" ref="AE394:AE425" si="183">H394*AC394*R394</f>
        <v>7820.5128205128121</v>
      </c>
      <c r="AF394" s="289">
        <f t="shared" ref="AF394:AF425" si="184">AE394-V394</f>
        <v>-972.50337381916052</v>
      </c>
      <c r="AG394" s="287"/>
      <c r="AH394" s="287">
        <f t="shared" ref="AH394:AH425" si="185">AB394</f>
        <v>0</v>
      </c>
      <c r="AI394" s="290">
        <f>'Unit Savings Calculations'!O390</f>
        <v>156.41025641025624</v>
      </c>
      <c r="AJ394" s="287" t="s">
        <v>994</v>
      </c>
      <c r="AK394" s="292">
        <f t="shared" ref="AK394:AK425" si="186">I394*AI394*S394</f>
        <v>7820.5128205128121</v>
      </c>
      <c r="AL394" s="289">
        <f t="shared" ref="AL394:AL425" si="187">AK394-W394</f>
        <v>-972.50337381916052</v>
      </c>
      <c r="AM394" s="287"/>
      <c r="AN394" s="287"/>
      <c r="AO394" s="290">
        <f>'Unit Savings Calculations'!P390</f>
        <v>156.41025641025624</v>
      </c>
      <c r="AP394" s="287" t="s">
        <v>764</v>
      </c>
      <c r="AQ394" s="292">
        <f t="shared" ref="AQ394:AQ425" si="188">J394*AO394*T394</f>
        <v>7820.5128205128121</v>
      </c>
      <c r="AR394" s="289">
        <f t="shared" ref="AR394:AR425" si="189">AQ394-X394</f>
        <v>-972.50337381916052</v>
      </c>
      <c r="AS394" s="287"/>
      <c r="AT394" s="287"/>
      <c r="AU394" s="290">
        <f>'Unit Savings Calculations'!Q390</f>
        <v>156.41025641025624</v>
      </c>
      <c r="AV394" s="287" t="str">
        <f t="shared" si="176"/>
        <v>n/a</v>
      </c>
      <c r="AW394" s="292">
        <f t="shared" ref="AW394:AW425" si="190">K394*AU394*U394</f>
        <v>7820.5128205128121</v>
      </c>
      <c r="AX394" s="289">
        <f t="shared" ref="AX394:AX425" si="191">AW394-Y394</f>
        <v>-972.50337381916052</v>
      </c>
      <c r="AY394" s="292">
        <f t="shared" si="177"/>
        <v>7820.5128205128121</v>
      </c>
      <c r="AZ394" s="292">
        <f t="shared" si="178"/>
        <v>7820.5128205128121</v>
      </c>
      <c r="BA394" s="292">
        <f t="shared" si="179"/>
        <v>7820.5128205128121</v>
      </c>
      <c r="BB394" s="292">
        <f t="shared" si="180"/>
        <v>7820.5128205128121</v>
      </c>
      <c r="BC394" s="294">
        <f t="shared" si="181"/>
        <v>31282.051282051249</v>
      </c>
      <c r="BD394" s="287" t="s">
        <v>764</v>
      </c>
      <c r="BE394" s="295" t="str">
        <f t="shared" si="182"/>
        <v>Exhibit 1.5B_R Peoples Gas EEPS_Adjustable_Savings_Goal_Template.xlsx, Unit Savings Calculations Tab</v>
      </c>
      <c r="BF394" s="297"/>
    </row>
    <row r="395" spans="1:58" ht="13.5" customHeight="1">
      <c r="A395" s="287" t="str">
        <f>'Unit Savings Calculations'!C391</f>
        <v>Low Income - SF Retrofit</v>
      </c>
      <c r="B395" s="287" t="str">
        <f>'Unit Savings Calculations'!D391</f>
        <v>Furnace Clean &amp; Tune</v>
      </c>
      <c r="C395" s="288">
        <f t="shared" si="170"/>
        <v>1</v>
      </c>
      <c r="D395" s="287" t="str">
        <f>'Unit Savings Calculations'!T391</f>
        <v>5.3.13</v>
      </c>
      <c r="E395" s="287">
        <f>INDEX('Unit Savings Calculations'!$H$4:$H$421,MATCH('Measure-Level Adjustments Tab'!$A395&amp;"_"&amp;'Measure-Level Adjustments Tab'!$B395,'Unit Savings Calculations'!$A$4:$A$421,0))</f>
        <v>2</v>
      </c>
      <c r="F395" s="287">
        <f>INDEX('Unit Savings Calculations'!$I$4:$I$421,MATCH('Measure-Level Adjustments Tab'!A395&amp;"_"&amp;'Measure-Level Adjustments Tab'!B395,'Unit Savings Calculations'!$A$4:$A$421,0))</f>
        <v>2</v>
      </c>
      <c r="G395" s="287" t="str">
        <f>'Unit Savings Calculations'!E391</f>
        <v>each</v>
      </c>
      <c r="H395" s="289">
        <f>'Unit Savings Calculations'!$F391*'Unit Savings Calculations'!J391</f>
        <v>995</v>
      </c>
      <c r="I395" s="289">
        <f>'Unit Savings Calculations'!$F391*'Unit Savings Calculations'!K391</f>
        <v>995</v>
      </c>
      <c r="J395" s="289">
        <f>'Unit Savings Calculations'!$F391*'Unit Savings Calculations'!L391</f>
        <v>995</v>
      </c>
      <c r="K395" s="289">
        <f>'Unit Savings Calculations'!$F391*'Unit Savings Calculations'!M391</f>
        <v>995</v>
      </c>
      <c r="L395" s="287" t="str">
        <f>'Unit Savings Calculations'!U391</f>
        <v>RS-HVC-FTUN-V03-180101</v>
      </c>
      <c r="M395" s="363" t="s">
        <v>830</v>
      </c>
      <c r="N395" s="290">
        <v>71.282051282051214</v>
      </c>
      <c r="O395" s="290">
        <v>71.282051282051214</v>
      </c>
      <c r="P395" s="290">
        <v>71.282051282051214</v>
      </c>
      <c r="Q395" s="290">
        <v>71.282051282051214</v>
      </c>
      <c r="R395" s="291">
        <f>'Unit Savings Calculations'!$G391</f>
        <v>1</v>
      </c>
      <c r="S395" s="291">
        <f>'Unit Savings Calculations'!$G391</f>
        <v>1</v>
      </c>
      <c r="T395" s="291">
        <f>'Unit Savings Calculations'!$G391</f>
        <v>1</v>
      </c>
      <c r="U395" s="291">
        <f>'Unit Savings Calculations'!$G391</f>
        <v>1</v>
      </c>
      <c r="V395" s="292">
        <f t="shared" si="171"/>
        <v>70925.641025640958</v>
      </c>
      <c r="W395" s="292">
        <f t="shared" si="172"/>
        <v>70925.641025640958</v>
      </c>
      <c r="X395" s="292">
        <f t="shared" si="173"/>
        <v>70925.641025640958</v>
      </c>
      <c r="Y395" s="292">
        <f t="shared" si="174"/>
        <v>70925.641025640958</v>
      </c>
      <c r="Z395" s="292">
        <f t="shared" si="175"/>
        <v>283702.56410256383</v>
      </c>
      <c r="AA395" s="287"/>
      <c r="AB395" s="287"/>
      <c r="AC395" s="293">
        <f>'Unit Savings Calculations'!N391</f>
        <v>71.282051282051214</v>
      </c>
      <c r="AD395" s="287"/>
      <c r="AE395" s="292">
        <f t="shared" si="183"/>
        <v>70925.641025640958</v>
      </c>
      <c r="AF395" s="289">
        <f t="shared" si="184"/>
        <v>0</v>
      </c>
      <c r="AG395" s="287"/>
      <c r="AH395" s="287">
        <f t="shared" si="185"/>
        <v>0</v>
      </c>
      <c r="AI395" s="290">
        <f>'Unit Savings Calculations'!O391</f>
        <v>71.282051282051214</v>
      </c>
      <c r="AJ395" s="287" t="s">
        <v>872</v>
      </c>
      <c r="AK395" s="292">
        <f t="shared" si="186"/>
        <v>70925.641025640958</v>
      </c>
      <c r="AL395" s="289">
        <f t="shared" si="187"/>
        <v>0</v>
      </c>
      <c r="AM395" s="287"/>
      <c r="AN395" s="287"/>
      <c r="AO395" s="290">
        <f>'Unit Savings Calculations'!P391</f>
        <v>71.282051282051214</v>
      </c>
      <c r="AP395" s="287" t="s">
        <v>764</v>
      </c>
      <c r="AQ395" s="292">
        <f t="shared" si="188"/>
        <v>70925.641025640958</v>
      </c>
      <c r="AR395" s="289">
        <f t="shared" si="189"/>
        <v>0</v>
      </c>
      <c r="AS395" s="287"/>
      <c r="AT395" s="287"/>
      <c r="AU395" s="290">
        <f>'Unit Savings Calculations'!Q391</f>
        <v>71.282051282051214</v>
      </c>
      <c r="AV395" s="287" t="str">
        <f t="shared" si="176"/>
        <v>n/a</v>
      </c>
      <c r="AW395" s="292">
        <f t="shared" si="190"/>
        <v>70925.641025640958</v>
      </c>
      <c r="AX395" s="289">
        <f t="shared" si="191"/>
        <v>0</v>
      </c>
      <c r="AY395" s="292">
        <f t="shared" si="177"/>
        <v>70925.641025640958</v>
      </c>
      <c r="AZ395" s="292">
        <f t="shared" si="178"/>
        <v>70925.641025640958</v>
      </c>
      <c r="BA395" s="292">
        <f t="shared" si="179"/>
        <v>70925.641025640958</v>
      </c>
      <c r="BB395" s="292">
        <f t="shared" si="180"/>
        <v>70925.641025640958</v>
      </c>
      <c r="BC395" s="294">
        <f t="shared" si="181"/>
        <v>283702.56410256383</v>
      </c>
      <c r="BD395" s="287" t="s">
        <v>764</v>
      </c>
      <c r="BE395" s="295" t="str">
        <f t="shared" si="182"/>
        <v>Exhibit 1.5B_R Peoples Gas EEPS_Adjustable_Savings_Goal_Template.xlsx, Unit Savings Calculations Tab</v>
      </c>
      <c r="BF395" s="297"/>
    </row>
    <row r="396" spans="1:58" ht="13.5" customHeight="1">
      <c r="A396" s="287" t="str">
        <f>'Unit Savings Calculations'!C392</f>
        <v>Low Income - SF Retrofit</v>
      </c>
      <c r="B396" s="287" t="str">
        <f>'Unit Savings Calculations'!D392</f>
        <v>Weatherstripping/Door Sweeps</v>
      </c>
      <c r="C396" s="288">
        <f t="shared" si="170"/>
        <v>1</v>
      </c>
      <c r="D396" s="287" t="str">
        <f>'Unit Savings Calculations'!T392</f>
        <v>5.6.1</v>
      </c>
      <c r="E396" s="287">
        <f>INDEX('Unit Savings Calculations'!$H$4:$H$421,MATCH('Measure-Level Adjustments Tab'!$A396&amp;"_"&amp;'Measure-Level Adjustments Tab'!$B396,'Unit Savings Calculations'!$A$4:$A$421,0))</f>
        <v>15</v>
      </c>
      <c r="F396" s="287">
        <f>INDEX('Unit Savings Calculations'!$I$4:$I$421,MATCH('Measure-Level Adjustments Tab'!A396&amp;"_"&amp;'Measure-Level Adjustments Tab'!B396,'Unit Savings Calculations'!$A$4:$A$421,0))</f>
        <v>15</v>
      </c>
      <c r="G396" s="287" t="str">
        <f>'Unit Savings Calculations'!E392</f>
        <v>door</v>
      </c>
      <c r="H396" s="289">
        <f>'Unit Savings Calculations'!$F392*'Unit Savings Calculations'!J392</f>
        <v>2985</v>
      </c>
      <c r="I396" s="289">
        <f>'Unit Savings Calculations'!$F392*'Unit Savings Calculations'!K392</f>
        <v>2985</v>
      </c>
      <c r="J396" s="289">
        <f>'Unit Savings Calculations'!$F392*'Unit Savings Calculations'!L392</f>
        <v>2985</v>
      </c>
      <c r="K396" s="289">
        <f>'Unit Savings Calculations'!$F392*'Unit Savings Calculations'!M392</f>
        <v>2985</v>
      </c>
      <c r="L396" s="287" t="str">
        <f>'Unit Savings Calculations'!U392</f>
        <v>RS-SHL-AIRS-V06-180101</v>
      </c>
      <c r="M396" s="363" t="s">
        <v>830</v>
      </c>
      <c r="N396" s="290">
        <v>98</v>
      </c>
      <c r="O396" s="290">
        <v>98</v>
      </c>
      <c r="P396" s="290">
        <v>98</v>
      </c>
      <c r="Q396" s="290">
        <v>98</v>
      </c>
      <c r="R396" s="291">
        <f>'Unit Savings Calculations'!$G392</f>
        <v>1</v>
      </c>
      <c r="S396" s="291">
        <f>'Unit Savings Calculations'!$G392</f>
        <v>1</v>
      </c>
      <c r="T396" s="291">
        <f>'Unit Savings Calculations'!$G392</f>
        <v>1</v>
      </c>
      <c r="U396" s="291">
        <f>'Unit Savings Calculations'!$G392</f>
        <v>1</v>
      </c>
      <c r="V396" s="292">
        <f t="shared" si="171"/>
        <v>292530</v>
      </c>
      <c r="W396" s="292">
        <f t="shared" si="172"/>
        <v>292530</v>
      </c>
      <c r="X396" s="292">
        <f t="shared" si="173"/>
        <v>292530</v>
      </c>
      <c r="Y396" s="292">
        <f t="shared" si="174"/>
        <v>292530</v>
      </c>
      <c r="Z396" s="292">
        <f t="shared" si="175"/>
        <v>1170120</v>
      </c>
      <c r="AA396" s="287"/>
      <c r="AB396" s="287"/>
      <c r="AC396" s="293">
        <f>'Unit Savings Calculations'!N392</f>
        <v>98</v>
      </c>
      <c r="AD396" s="287"/>
      <c r="AE396" s="292">
        <f t="shared" si="183"/>
        <v>292530</v>
      </c>
      <c r="AF396" s="289">
        <f t="shared" si="184"/>
        <v>0</v>
      </c>
      <c r="AG396" s="287"/>
      <c r="AH396" s="287">
        <f t="shared" si="185"/>
        <v>0</v>
      </c>
      <c r="AI396" s="290">
        <f>'Unit Savings Calculations'!O392</f>
        <v>98</v>
      </c>
      <c r="AJ396" s="287" t="s">
        <v>1035</v>
      </c>
      <c r="AK396" s="292">
        <f t="shared" si="186"/>
        <v>292530</v>
      </c>
      <c r="AL396" s="289">
        <f t="shared" si="187"/>
        <v>0</v>
      </c>
      <c r="AM396" s="287"/>
      <c r="AN396" s="287"/>
      <c r="AO396" s="290">
        <f>'Unit Savings Calculations'!P392</f>
        <v>98</v>
      </c>
      <c r="AP396" s="287" t="s">
        <v>764</v>
      </c>
      <c r="AQ396" s="292">
        <f t="shared" si="188"/>
        <v>292530</v>
      </c>
      <c r="AR396" s="289">
        <f t="shared" si="189"/>
        <v>0</v>
      </c>
      <c r="AS396" s="287"/>
      <c r="AT396" s="287"/>
      <c r="AU396" s="290">
        <f>'Unit Savings Calculations'!Q392</f>
        <v>98</v>
      </c>
      <c r="AV396" s="287" t="str">
        <f t="shared" si="176"/>
        <v>n/a</v>
      </c>
      <c r="AW396" s="292">
        <f t="shared" si="190"/>
        <v>292530</v>
      </c>
      <c r="AX396" s="289">
        <f t="shared" si="191"/>
        <v>0</v>
      </c>
      <c r="AY396" s="292">
        <f t="shared" si="177"/>
        <v>292530</v>
      </c>
      <c r="AZ396" s="292">
        <f t="shared" si="178"/>
        <v>292530</v>
      </c>
      <c r="BA396" s="292">
        <f t="shared" si="179"/>
        <v>292530</v>
      </c>
      <c r="BB396" s="292">
        <f t="shared" si="180"/>
        <v>292530</v>
      </c>
      <c r="BC396" s="294">
        <f t="shared" si="181"/>
        <v>1170120</v>
      </c>
      <c r="BD396" s="287" t="s">
        <v>764</v>
      </c>
      <c r="BE396" s="295" t="str">
        <f t="shared" si="182"/>
        <v>Exhibit 1.5B_R Peoples Gas EEPS_Adjustable_Savings_Goal_Template.xlsx, Unit Savings Calculations Tab</v>
      </c>
      <c r="BF396" s="297"/>
    </row>
    <row r="397" spans="1:58" ht="13.5" customHeight="1">
      <c r="A397" s="287" t="str">
        <f>'Unit Savings Calculations'!C393</f>
        <v>Low Income - MF Retrofit</v>
      </c>
      <c r="B397" s="287" t="str">
        <f>'Unit Savings Calculations'!D393</f>
        <v>Bathroom Aerator</v>
      </c>
      <c r="C397" s="288">
        <f t="shared" si="170"/>
        <v>1</v>
      </c>
      <c r="D397" s="287" t="str">
        <f>'Unit Savings Calculations'!T393</f>
        <v>5.4.4</v>
      </c>
      <c r="E397" s="287">
        <f>INDEX('Unit Savings Calculations'!$H$4:$H$421,MATCH('Measure-Level Adjustments Tab'!$A397&amp;"_"&amp;'Measure-Level Adjustments Tab'!$B397,'Unit Savings Calculations'!$A$4:$A$421,0))</f>
        <v>9</v>
      </c>
      <c r="F397" s="287">
        <f>INDEX('Unit Savings Calculations'!$I$4:$I$421,MATCH('Measure-Level Adjustments Tab'!A397&amp;"_"&amp;'Measure-Level Adjustments Tab'!B397,'Unit Savings Calculations'!$A$4:$A$421,0))</f>
        <v>10</v>
      </c>
      <c r="G397" s="287" t="str">
        <f>'Unit Savings Calculations'!E393</f>
        <v>each</v>
      </c>
      <c r="H397" s="289">
        <f>'Unit Savings Calculations'!$F393*'Unit Savings Calculations'!J393</f>
        <v>3376</v>
      </c>
      <c r="I397" s="289">
        <f>'Unit Savings Calculations'!$F393*'Unit Savings Calculations'!K393</f>
        <v>3376</v>
      </c>
      <c r="J397" s="289">
        <f>'Unit Savings Calculations'!$F393*'Unit Savings Calculations'!L393</f>
        <v>3376</v>
      </c>
      <c r="K397" s="289">
        <f>'Unit Savings Calculations'!$F393*'Unit Savings Calculations'!M393</f>
        <v>3376</v>
      </c>
      <c r="L397" s="287" t="str">
        <f>'Unit Savings Calculations'!U393</f>
        <v>RS-HWE-LFFA-V06-180101</v>
      </c>
      <c r="M397" s="363" t="s">
        <v>830</v>
      </c>
      <c r="N397" s="290">
        <v>1.2484689715316413</v>
      </c>
      <c r="O397" s="290">
        <v>1.2484689715316413</v>
      </c>
      <c r="P397" s="290">
        <v>1.2484689715316413</v>
      </c>
      <c r="Q397" s="290">
        <v>1.2484689715316413</v>
      </c>
      <c r="R397" s="291">
        <f>'Unit Savings Calculations'!$G393</f>
        <v>1</v>
      </c>
      <c r="S397" s="291">
        <f>'Unit Savings Calculations'!$G393</f>
        <v>1</v>
      </c>
      <c r="T397" s="291">
        <f>'Unit Savings Calculations'!$G393</f>
        <v>1</v>
      </c>
      <c r="U397" s="291">
        <f>'Unit Savings Calculations'!$G393</f>
        <v>1</v>
      </c>
      <c r="V397" s="292">
        <f t="shared" si="171"/>
        <v>4214.831247890821</v>
      </c>
      <c r="W397" s="292">
        <f t="shared" si="172"/>
        <v>4214.831247890821</v>
      </c>
      <c r="X397" s="292">
        <f t="shared" si="173"/>
        <v>4214.831247890821</v>
      </c>
      <c r="Y397" s="292">
        <f t="shared" si="174"/>
        <v>4214.831247890821</v>
      </c>
      <c r="Z397" s="292">
        <f t="shared" si="175"/>
        <v>16859.324991563284</v>
      </c>
      <c r="AA397" s="287"/>
      <c r="AB397" s="287"/>
      <c r="AC397" s="293">
        <f>'Unit Savings Calculations'!N393</f>
        <v>1.6368815404525978</v>
      </c>
      <c r="AD397" s="287"/>
      <c r="AE397" s="292">
        <f t="shared" si="183"/>
        <v>5526.1120805679702</v>
      </c>
      <c r="AF397" s="289">
        <f t="shared" si="184"/>
        <v>1311.2808326771492</v>
      </c>
      <c r="AG397" s="287"/>
      <c r="AH397" s="287">
        <f t="shared" si="185"/>
        <v>0</v>
      </c>
      <c r="AI397" s="290">
        <f>'Unit Savings Calculations'!O393</f>
        <v>1.6368815404525978</v>
      </c>
      <c r="AJ397" s="287" t="s">
        <v>1010</v>
      </c>
      <c r="AK397" s="292">
        <f t="shared" si="186"/>
        <v>5526.1120805679702</v>
      </c>
      <c r="AL397" s="289">
        <f t="shared" si="187"/>
        <v>1311.2808326771492</v>
      </c>
      <c r="AM397" s="287"/>
      <c r="AN397" s="287"/>
      <c r="AO397" s="290">
        <f>'Unit Savings Calculations'!P393</f>
        <v>1.6368815404525978</v>
      </c>
      <c r="AP397" s="287" t="s">
        <v>764</v>
      </c>
      <c r="AQ397" s="292">
        <f t="shared" si="188"/>
        <v>5526.1120805679702</v>
      </c>
      <c r="AR397" s="289">
        <f t="shared" si="189"/>
        <v>1311.2808326771492</v>
      </c>
      <c r="AS397" s="287"/>
      <c r="AT397" s="287"/>
      <c r="AU397" s="290">
        <f>'Unit Savings Calculations'!Q393</f>
        <v>1.6368815404525978</v>
      </c>
      <c r="AV397" s="287" t="str">
        <f t="shared" si="176"/>
        <v>n/a</v>
      </c>
      <c r="AW397" s="292">
        <f t="shared" si="190"/>
        <v>5526.1120805679702</v>
      </c>
      <c r="AX397" s="289">
        <f t="shared" si="191"/>
        <v>1311.2808326771492</v>
      </c>
      <c r="AY397" s="292">
        <f t="shared" si="177"/>
        <v>5526.1120805679702</v>
      </c>
      <c r="AZ397" s="292">
        <f t="shared" si="178"/>
        <v>5526.1120805679702</v>
      </c>
      <c r="BA397" s="292">
        <f t="shared" si="179"/>
        <v>5526.1120805679702</v>
      </c>
      <c r="BB397" s="292">
        <f t="shared" si="180"/>
        <v>5526.1120805679702</v>
      </c>
      <c r="BC397" s="294">
        <f t="shared" si="181"/>
        <v>22104.448322271881</v>
      </c>
      <c r="BD397" s="287" t="s">
        <v>764</v>
      </c>
      <c r="BE397" s="295" t="str">
        <f t="shared" si="182"/>
        <v>Exhibit 1.5B_R Peoples Gas EEPS_Adjustable_Savings_Goal_Template.xlsx, Unit Savings Calculations Tab</v>
      </c>
      <c r="BF397" s="297"/>
    </row>
    <row r="398" spans="1:58" ht="13.5" customHeight="1">
      <c r="A398" s="287" t="str">
        <f>'Unit Savings Calculations'!C394</f>
        <v>Low Income - MF Retrofit</v>
      </c>
      <c r="B398" s="287" t="str">
        <f>'Unit Savings Calculations'!D394</f>
        <v>Kitchen Aerator</v>
      </c>
      <c r="C398" s="288">
        <f t="shared" si="170"/>
        <v>1</v>
      </c>
      <c r="D398" s="287" t="str">
        <f>'Unit Savings Calculations'!T394</f>
        <v>5.4.4</v>
      </c>
      <c r="E398" s="287">
        <f>INDEX('Unit Savings Calculations'!$H$4:$H$421,MATCH('Measure-Level Adjustments Tab'!$A398&amp;"_"&amp;'Measure-Level Adjustments Tab'!$B398,'Unit Savings Calculations'!$A$4:$A$421,0))</f>
        <v>9</v>
      </c>
      <c r="F398" s="287">
        <f>INDEX('Unit Savings Calculations'!$I$4:$I$421,MATCH('Measure-Level Adjustments Tab'!A398&amp;"_"&amp;'Measure-Level Adjustments Tab'!B398,'Unit Savings Calculations'!$A$4:$A$421,0))</f>
        <v>10</v>
      </c>
      <c r="G398" s="287" t="str">
        <f>'Unit Savings Calculations'!E394</f>
        <v>each</v>
      </c>
      <c r="H398" s="289">
        <f>'Unit Savings Calculations'!$F394*'Unit Savings Calculations'!J394</f>
        <v>2630</v>
      </c>
      <c r="I398" s="289">
        <f>'Unit Savings Calculations'!$F394*'Unit Savings Calculations'!K394</f>
        <v>2630</v>
      </c>
      <c r="J398" s="289">
        <f>'Unit Savings Calculations'!$F394*'Unit Savings Calculations'!L394</f>
        <v>2630</v>
      </c>
      <c r="K398" s="289">
        <f>'Unit Savings Calculations'!$F394*'Unit Savings Calculations'!M394</f>
        <v>2630</v>
      </c>
      <c r="L398" s="287" t="str">
        <f>'Unit Savings Calculations'!U394</f>
        <v>RS-HWE-LFFA-V06-180101</v>
      </c>
      <c r="M398" s="363" t="s">
        <v>830</v>
      </c>
      <c r="N398" s="290">
        <v>5.1269254520350058</v>
      </c>
      <c r="O398" s="290">
        <v>5.1269254520350058</v>
      </c>
      <c r="P398" s="290">
        <v>5.1269254520350058</v>
      </c>
      <c r="Q398" s="290">
        <v>5.1269254520350058</v>
      </c>
      <c r="R398" s="291">
        <f>'Unit Savings Calculations'!$G394</f>
        <v>1</v>
      </c>
      <c r="S398" s="291">
        <f>'Unit Savings Calculations'!$G394</f>
        <v>1</v>
      </c>
      <c r="T398" s="291">
        <f>'Unit Savings Calculations'!$G394</f>
        <v>1</v>
      </c>
      <c r="U398" s="291">
        <f>'Unit Savings Calculations'!$G394</f>
        <v>1</v>
      </c>
      <c r="V398" s="292">
        <f t="shared" si="171"/>
        <v>13483.813938852065</v>
      </c>
      <c r="W398" s="292">
        <f t="shared" si="172"/>
        <v>13483.813938852065</v>
      </c>
      <c r="X398" s="292">
        <f t="shared" si="173"/>
        <v>13483.813938852065</v>
      </c>
      <c r="Y398" s="292">
        <f t="shared" si="174"/>
        <v>13483.813938852065</v>
      </c>
      <c r="Z398" s="292">
        <f t="shared" si="175"/>
        <v>53935.25575540826</v>
      </c>
      <c r="AA398" s="287"/>
      <c r="AB398" s="287"/>
      <c r="AC398" s="293">
        <f>'Unit Savings Calculations'!N394</f>
        <v>7.8612856931203403</v>
      </c>
      <c r="AD398" s="287"/>
      <c r="AE398" s="292">
        <f t="shared" si="183"/>
        <v>20675.181372906496</v>
      </c>
      <c r="AF398" s="289">
        <f t="shared" si="184"/>
        <v>7191.3674340544312</v>
      </c>
      <c r="AG398" s="287"/>
      <c r="AH398" s="287">
        <f t="shared" si="185"/>
        <v>0</v>
      </c>
      <c r="AI398" s="290">
        <f>'Unit Savings Calculations'!O394</f>
        <v>7.8612856931203403</v>
      </c>
      <c r="AJ398" s="287" t="s">
        <v>1010</v>
      </c>
      <c r="AK398" s="292">
        <f t="shared" si="186"/>
        <v>20675.181372906496</v>
      </c>
      <c r="AL398" s="289">
        <f t="shared" si="187"/>
        <v>7191.3674340544312</v>
      </c>
      <c r="AM398" s="287"/>
      <c r="AN398" s="287"/>
      <c r="AO398" s="290">
        <f>'Unit Savings Calculations'!P394</f>
        <v>7.8612856931203403</v>
      </c>
      <c r="AP398" s="287" t="s">
        <v>764</v>
      </c>
      <c r="AQ398" s="292">
        <f t="shared" si="188"/>
        <v>20675.181372906496</v>
      </c>
      <c r="AR398" s="289">
        <f t="shared" si="189"/>
        <v>7191.3674340544312</v>
      </c>
      <c r="AS398" s="287"/>
      <c r="AT398" s="287"/>
      <c r="AU398" s="290">
        <f>'Unit Savings Calculations'!Q394</f>
        <v>7.8612856931203403</v>
      </c>
      <c r="AV398" s="287" t="str">
        <f t="shared" si="176"/>
        <v>n/a</v>
      </c>
      <c r="AW398" s="292">
        <f t="shared" si="190"/>
        <v>20675.181372906496</v>
      </c>
      <c r="AX398" s="289">
        <f t="shared" si="191"/>
        <v>7191.3674340544312</v>
      </c>
      <c r="AY398" s="292">
        <f t="shared" si="177"/>
        <v>20675.181372906496</v>
      </c>
      <c r="AZ398" s="292">
        <f t="shared" si="178"/>
        <v>20675.181372906496</v>
      </c>
      <c r="BA398" s="292">
        <f t="shared" si="179"/>
        <v>20675.181372906496</v>
      </c>
      <c r="BB398" s="292">
        <f t="shared" si="180"/>
        <v>20675.181372906496</v>
      </c>
      <c r="BC398" s="294">
        <f t="shared" si="181"/>
        <v>82700.725491625984</v>
      </c>
      <c r="BD398" s="287" t="s">
        <v>764</v>
      </c>
      <c r="BE398" s="295" t="str">
        <f t="shared" si="182"/>
        <v>Exhibit 1.5B_R Peoples Gas EEPS_Adjustable_Savings_Goal_Template.xlsx, Unit Savings Calculations Tab</v>
      </c>
      <c r="BF398" s="297"/>
    </row>
    <row r="399" spans="1:58" ht="13.5" customHeight="1">
      <c r="A399" s="287" t="str">
        <f>'Unit Savings Calculations'!C395</f>
        <v>Low Income - MF Retrofit</v>
      </c>
      <c r="B399" s="287" t="str">
        <f>'Unit Savings Calculations'!D395</f>
        <v>Showerhead</v>
      </c>
      <c r="C399" s="288">
        <f t="shared" si="170"/>
        <v>1</v>
      </c>
      <c r="D399" s="287" t="str">
        <f>'Unit Savings Calculations'!T395</f>
        <v>5.4.5</v>
      </c>
      <c r="E399" s="287">
        <f>INDEX('Unit Savings Calculations'!$H$4:$H$421,MATCH('Measure-Level Adjustments Tab'!$A399&amp;"_"&amp;'Measure-Level Adjustments Tab'!$B399,'Unit Savings Calculations'!$A$4:$A$421,0))</f>
        <v>10</v>
      </c>
      <c r="F399" s="287">
        <f>INDEX('Unit Savings Calculations'!$I$4:$I$421,MATCH('Measure-Level Adjustments Tab'!A399&amp;"_"&amp;'Measure-Level Adjustments Tab'!B399,'Unit Savings Calculations'!$A$4:$A$421,0))</f>
        <v>10</v>
      </c>
      <c r="G399" s="287" t="str">
        <f>'Unit Savings Calculations'!E395</f>
        <v>each</v>
      </c>
      <c r="H399" s="289">
        <f>'Unit Savings Calculations'!$F395*'Unit Savings Calculations'!J395</f>
        <v>3179</v>
      </c>
      <c r="I399" s="289">
        <f>'Unit Savings Calculations'!$F395*'Unit Savings Calculations'!K395</f>
        <v>3179</v>
      </c>
      <c r="J399" s="289">
        <f>'Unit Savings Calculations'!$F395*'Unit Savings Calculations'!L395</f>
        <v>3179</v>
      </c>
      <c r="K399" s="289">
        <f>'Unit Savings Calculations'!$F395*'Unit Savings Calculations'!M395</f>
        <v>3179</v>
      </c>
      <c r="L399" s="287" t="str">
        <f>'Unit Savings Calculations'!U395</f>
        <v>RS-HWE-LFSH-V05-180101</v>
      </c>
      <c r="M399" s="363" t="s">
        <v>830</v>
      </c>
      <c r="N399" s="290">
        <v>17.896352631884998</v>
      </c>
      <c r="O399" s="290">
        <v>17.896352631884998</v>
      </c>
      <c r="P399" s="290">
        <v>17.896352631884998</v>
      </c>
      <c r="Q399" s="290">
        <v>17.896352631884998</v>
      </c>
      <c r="R399" s="291">
        <f>'Unit Savings Calculations'!$G395</f>
        <v>1</v>
      </c>
      <c r="S399" s="291">
        <f>'Unit Savings Calculations'!$G395</f>
        <v>1</v>
      </c>
      <c r="T399" s="291">
        <f>'Unit Savings Calculations'!$G395</f>
        <v>1</v>
      </c>
      <c r="U399" s="291">
        <f>'Unit Savings Calculations'!$G395</f>
        <v>1</v>
      </c>
      <c r="V399" s="292">
        <f t="shared" si="171"/>
        <v>56892.505016762407</v>
      </c>
      <c r="W399" s="292">
        <f t="shared" si="172"/>
        <v>56892.505016762407</v>
      </c>
      <c r="X399" s="292">
        <f t="shared" si="173"/>
        <v>56892.505016762407</v>
      </c>
      <c r="Y399" s="292">
        <f t="shared" si="174"/>
        <v>56892.505016762407</v>
      </c>
      <c r="Z399" s="292">
        <f t="shared" si="175"/>
        <v>227570.02006704963</v>
      </c>
      <c r="AA399" s="287"/>
      <c r="AB399" s="287"/>
      <c r="AC399" s="293">
        <f>'Unit Savings Calculations'!N395</f>
        <v>11.319060638970004</v>
      </c>
      <c r="AD399" s="287"/>
      <c r="AE399" s="292">
        <f t="shared" si="183"/>
        <v>35983.293771285644</v>
      </c>
      <c r="AF399" s="289">
        <f t="shared" si="184"/>
        <v>-20909.211245476763</v>
      </c>
      <c r="AG399" s="287"/>
      <c r="AH399" s="287">
        <f t="shared" si="185"/>
        <v>0</v>
      </c>
      <c r="AI399" s="290">
        <f>'Unit Savings Calculations'!O395</f>
        <v>11.319060638970004</v>
      </c>
      <c r="AJ399" s="287" t="s">
        <v>1010</v>
      </c>
      <c r="AK399" s="292">
        <f t="shared" si="186"/>
        <v>35983.293771285644</v>
      </c>
      <c r="AL399" s="289">
        <f t="shared" si="187"/>
        <v>-20909.211245476763</v>
      </c>
      <c r="AM399" s="287"/>
      <c r="AN399" s="287"/>
      <c r="AO399" s="290">
        <f>'Unit Savings Calculations'!P395</f>
        <v>11.319060638970004</v>
      </c>
      <c r="AP399" s="287" t="s">
        <v>764</v>
      </c>
      <c r="AQ399" s="292">
        <f t="shared" si="188"/>
        <v>35983.293771285644</v>
      </c>
      <c r="AR399" s="289">
        <f t="shared" si="189"/>
        <v>-20909.211245476763</v>
      </c>
      <c r="AS399" s="287"/>
      <c r="AT399" s="287"/>
      <c r="AU399" s="290">
        <f>'Unit Savings Calculations'!Q395</f>
        <v>11.319060638970004</v>
      </c>
      <c r="AV399" s="287" t="str">
        <f t="shared" si="176"/>
        <v>n/a</v>
      </c>
      <c r="AW399" s="292">
        <f t="shared" si="190"/>
        <v>35983.293771285644</v>
      </c>
      <c r="AX399" s="289">
        <f t="shared" si="191"/>
        <v>-20909.211245476763</v>
      </c>
      <c r="AY399" s="292">
        <f t="shared" si="177"/>
        <v>35983.293771285644</v>
      </c>
      <c r="AZ399" s="292">
        <f t="shared" si="178"/>
        <v>35983.293771285644</v>
      </c>
      <c r="BA399" s="292">
        <f t="shared" si="179"/>
        <v>35983.293771285644</v>
      </c>
      <c r="BB399" s="292">
        <f t="shared" si="180"/>
        <v>35983.293771285644</v>
      </c>
      <c r="BC399" s="294">
        <f t="shared" si="181"/>
        <v>143933.17508514257</v>
      </c>
      <c r="BD399" s="287" t="s">
        <v>764</v>
      </c>
      <c r="BE399" s="295" t="str">
        <f t="shared" si="182"/>
        <v>Exhibit 1.5B_R Peoples Gas EEPS_Adjustable_Savings_Goal_Template.xlsx, Unit Savings Calculations Tab</v>
      </c>
      <c r="BF399" s="297"/>
    </row>
    <row r="400" spans="1:58" ht="13.5" customHeight="1">
      <c r="A400" s="287" t="str">
        <f>'Unit Savings Calculations'!C396</f>
        <v>Low Income - MF Retrofit</v>
      </c>
      <c r="B400" s="287" t="str">
        <f>'Unit Savings Calculations'!D396</f>
        <v>Pipe Insulation (DHW)</v>
      </c>
      <c r="C400" s="288">
        <f t="shared" si="170"/>
        <v>1</v>
      </c>
      <c r="D400" s="287" t="str">
        <f>'Unit Savings Calculations'!T396</f>
        <v>5.4.1</v>
      </c>
      <c r="E400" s="287">
        <f>INDEX('Unit Savings Calculations'!$H$4:$H$421,MATCH('Measure-Level Adjustments Tab'!$A400&amp;"_"&amp;'Measure-Level Adjustments Tab'!$B400,'Unit Savings Calculations'!$A$4:$A$421,0))</f>
        <v>15</v>
      </c>
      <c r="F400" s="287">
        <f>INDEX('Unit Savings Calculations'!$I$4:$I$421,MATCH('Measure-Level Adjustments Tab'!A400&amp;"_"&amp;'Measure-Level Adjustments Tab'!B400,'Unit Savings Calculations'!$A$4:$A$421,0))</f>
        <v>15</v>
      </c>
      <c r="G400" s="287" t="str">
        <f>'Unit Savings Calculations'!E396</f>
        <v>ft</v>
      </c>
      <c r="H400" s="289">
        <f>'Unit Savings Calculations'!$F396*'Unit Savings Calculations'!J396</f>
        <v>6006</v>
      </c>
      <c r="I400" s="289">
        <f>'Unit Savings Calculations'!$F396*'Unit Savings Calculations'!K396</f>
        <v>6006</v>
      </c>
      <c r="J400" s="289">
        <f>'Unit Savings Calculations'!$F396*'Unit Savings Calculations'!L396</f>
        <v>6006</v>
      </c>
      <c r="K400" s="289">
        <f>'Unit Savings Calculations'!$F396*'Unit Savings Calculations'!M396</f>
        <v>6006</v>
      </c>
      <c r="L400" s="287" t="str">
        <f>'Unit Savings Calculations'!U396</f>
        <v>RS-HVC-PINS-V02-150601</v>
      </c>
      <c r="M400" s="363" t="s">
        <v>830</v>
      </c>
      <c r="N400" s="290">
        <v>0.99123230769230763</v>
      </c>
      <c r="O400" s="290">
        <v>0.99123230769230763</v>
      </c>
      <c r="P400" s="290">
        <v>0.99123230769230763</v>
      </c>
      <c r="Q400" s="290">
        <v>0.99123230769230763</v>
      </c>
      <c r="R400" s="291">
        <f>'Unit Savings Calculations'!$G396</f>
        <v>1</v>
      </c>
      <c r="S400" s="291">
        <f>'Unit Savings Calculations'!$G396</f>
        <v>1</v>
      </c>
      <c r="T400" s="291">
        <f>'Unit Savings Calculations'!$G396</f>
        <v>1</v>
      </c>
      <c r="U400" s="291">
        <f>'Unit Savings Calculations'!$G396</f>
        <v>1</v>
      </c>
      <c r="V400" s="292">
        <f t="shared" si="171"/>
        <v>5953.3412399999997</v>
      </c>
      <c r="W400" s="292">
        <f t="shared" si="172"/>
        <v>5953.3412399999997</v>
      </c>
      <c r="X400" s="292">
        <f t="shared" si="173"/>
        <v>5953.3412399999997</v>
      </c>
      <c r="Y400" s="292">
        <f t="shared" si="174"/>
        <v>5953.3412399999997</v>
      </c>
      <c r="Z400" s="292">
        <f t="shared" si="175"/>
        <v>23813.364959999999</v>
      </c>
      <c r="AA400" s="287"/>
      <c r="AB400" s="287"/>
      <c r="AC400" s="293">
        <f>'Unit Savings Calculations'!N396</f>
        <v>0.77039653846153844</v>
      </c>
      <c r="AD400" s="287"/>
      <c r="AE400" s="292">
        <f t="shared" si="183"/>
        <v>4627.0016100000003</v>
      </c>
      <c r="AF400" s="289">
        <f t="shared" si="184"/>
        <v>-1326.3396299999995</v>
      </c>
      <c r="AG400" s="287"/>
      <c r="AH400" s="287">
        <f t="shared" si="185"/>
        <v>0</v>
      </c>
      <c r="AI400" s="290">
        <f>'Unit Savings Calculations'!O396</f>
        <v>0.77039653846153844</v>
      </c>
      <c r="AJ400" s="287" t="s">
        <v>1005</v>
      </c>
      <c r="AK400" s="292">
        <f t="shared" si="186"/>
        <v>4627.0016100000003</v>
      </c>
      <c r="AL400" s="289">
        <f t="shared" si="187"/>
        <v>-1326.3396299999995</v>
      </c>
      <c r="AM400" s="287"/>
      <c r="AN400" s="287"/>
      <c r="AO400" s="290">
        <f>'Unit Savings Calculations'!P396</f>
        <v>0.77039653846153844</v>
      </c>
      <c r="AP400" s="287" t="s">
        <v>764</v>
      </c>
      <c r="AQ400" s="292">
        <f t="shared" si="188"/>
        <v>4627.0016100000003</v>
      </c>
      <c r="AR400" s="289">
        <f t="shared" si="189"/>
        <v>-1326.3396299999995</v>
      </c>
      <c r="AS400" s="287"/>
      <c r="AT400" s="287"/>
      <c r="AU400" s="290">
        <f>'Unit Savings Calculations'!Q396</f>
        <v>0.77039653846153844</v>
      </c>
      <c r="AV400" s="287" t="str">
        <f t="shared" si="176"/>
        <v>n/a</v>
      </c>
      <c r="AW400" s="292">
        <f t="shared" si="190"/>
        <v>4627.0016100000003</v>
      </c>
      <c r="AX400" s="289">
        <f t="shared" si="191"/>
        <v>-1326.3396299999995</v>
      </c>
      <c r="AY400" s="292">
        <f t="shared" si="177"/>
        <v>4627.0016100000003</v>
      </c>
      <c r="AZ400" s="292">
        <f t="shared" si="178"/>
        <v>4627.0016100000003</v>
      </c>
      <c r="BA400" s="292">
        <f t="shared" si="179"/>
        <v>4627.0016100000003</v>
      </c>
      <c r="BB400" s="292">
        <f t="shared" si="180"/>
        <v>4627.0016100000003</v>
      </c>
      <c r="BC400" s="294">
        <f t="shared" si="181"/>
        <v>18508.006440000001</v>
      </c>
      <c r="BD400" s="287" t="s">
        <v>764</v>
      </c>
      <c r="BE400" s="295" t="str">
        <f t="shared" si="182"/>
        <v>Exhibit 1.5B_R Peoples Gas EEPS_Adjustable_Savings_Goal_Template.xlsx, Unit Savings Calculations Tab</v>
      </c>
      <c r="BF400" s="297"/>
    </row>
    <row r="401" spans="1:58" ht="13.5" customHeight="1">
      <c r="A401" s="287" t="str">
        <f>'Unit Savings Calculations'!C397</f>
        <v>Low Income - MF Retrofit</v>
      </c>
      <c r="B401" s="287" t="str">
        <f>'Unit Savings Calculations'!D397</f>
        <v>Programmable Thermostat - Furnace</v>
      </c>
      <c r="C401" s="288">
        <f t="shared" si="170"/>
        <v>1</v>
      </c>
      <c r="D401" s="287" t="str">
        <f>'Unit Savings Calculations'!T397</f>
        <v>5.3.11</v>
      </c>
      <c r="E401" s="287">
        <f>INDEX('Unit Savings Calculations'!$H$4:$H$421,MATCH('Measure-Level Adjustments Tab'!$A401&amp;"_"&amp;'Measure-Level Adjustments Tab'!$B401,'Unit Savings Calculations'!$A$4:$A$421,0))</f>
        <v>5</v>
      </c>
      <c r="F401" s="287">
        <f>INDEX('Unit Savings Calculations'!$I$4:$I$421,MATCH('Measure-Level Adjustments Tab'!A401&amp;"_"&amp;'Measure-Level Adjustments Tab'!B401,'Unit Savings Calculations'!$A$4:$A$421,0))</f>
        <v>8</v>
      </c>
      <c r="G401" s="287" t="str">
        <f>'Unit Savings Calculations'!E397</f>
        <v>each</v>
      </c>
      <c r="H401" s="289">
        <f>'Unit Savings Calculations'!$F397*'Unit Savings Calculations'!J397</f>
        <v>510</v>
      </c>
      <c r="I401" s="289">
        <f>'Unit Savings Calculations'!$F397*'Unit Savings Calculations'!K397</f>
        <v>510</v>
      </c>
      <c r="J401" s="289">
        <f>'Unit Savings Calculations'!$F397*'Unit Savings Calculations'!L397</f>
        <v>510</v>
      </c>
      <c r="K401" s="289">
        <f>'Unit Savings Calculations'!$F397*'Unit Savings Calculations'!M397</f>
        <v>510</v>
      </c>
      <c r="L401" s="287" t="str">
        <f>'Unit Savings Calculations'!U397</f>
        <v>RS-HVC-PROG-V04-180101</v>
      </c>
      <c r="M401" s="363" t="s">
        <v>830</v>
      </c>
      <c r="N401" s="290">
        <v>40.5015</v>
      </c>
      <c r="O401" s="290">
        <v>40.5015</v>
      </c>
      <c r="P401" s="290">
        <v>40.5015</v>
      </c>
      <c r="Q401" s="290">
        <v>40.5015</v>
      </c>
      <c r="R401" s="291">
        <f>'Unit Savings Calculations'!$G397</f>
        <v>1</v>
      </c>
      <c r="S401" s="291">
        <f>'Unit Savings Calculations'!$G397</f>
        <v>1</v>
      </c>
      <c r="T401" s="291">
        <f>'Unit Savings Calculations'!$G397</f>
        <v>1</v>
      </c>
      <c r="U401" s="291">
        <f>'Unit Savings Calculations'!$G397</f>
        <v>1</v>
      </c>
      <c r="V401" s="292">
        <f t="shared" si="171"/>
        <v>20655.764999999999</v>
      </c>
      <c r="W401" s="292">
        <f t="shared" si="172"/>
        <v>20655.764999999999</v>
      </c>
      <c r="X401" s="292">
        <f t="shared" si="173"/>
        <v>20655.764999999999</v>
      </c>
      <c r="Y401" s="292">
        <f t="shared" si="174"/>
        <v>20655.764999999999</v>
      </c>
      <c r="Z401" s="292">
        <f t="shared" si="175"/>
        <v>82623.06</v>
      </c>
      <c r="AA401" s="287"/>
      <c r="AB401" s="287"/>
      <c r="AC401" s="293">
        <f>'Unit Savings Calculations'!N397</f>
        <v>40.5015</v>
      </c>
      <c r="AD401" s="287"/>
      <c r="AE401" s="292">
        <f t="shared" si="183"/>
        <v>20655.764999999999</v>
      </c>
      <c r="AF401" s="289">
        <f t="shared" si="184"/>
        <v>0</v>
      </c>
      <c r="AG401" s="287"/>
      <c r="AH401" s="287">
        <f t="shared" si="185"/>
        <v>0</v>
      </c>
      <c r="AI401" s="290">
        <f>'Unit Savings Calculations'!O397</f>
        <v>40.5015</v>
      </c>
      <c r="AJ401" s="287" t="s">
        <v>872</v>
      </c>
      <c r="AK401" s="292">
        <f t="shared" si="186"/>
        <v>20655.764999999999</v>
      </c>
      <c r="AL401" s="289">
        <f t="shared" si="187"/>
        <v>0</v>
      </c>
      <c r="AM401" s="287"/>
      <c r="AN401" s="287"/>
      <c r="AO401" s="290">
        <f>'Unit Savings Calculations'!P397</f>
        <v>40.5015</v>
      </c>
      <c r="AP401" s="287" t="s">
        <v>764</v>
      </c>
      <c r="AQ401" s="292">
        <f t="shared" si="188"/>
        <v>20655.764999999999</v>
      </c>
      <c r="AR401" s="289">
        <f t="shared" si="189"/>
        <v>0</v>
      </c>
      <c r="AS401" s="287"/>
      <c r="AT401" s="287"/>
      <c r="AU401" s="290">
        <f>'Unit Savings Calculations'!Q397</f>
        <v>40.5015</v>
      </c>
      <c r="AV401" s="287" t="str">
        <f t="shared" si="176"/>
        <v>n/a</v>
      </c>
      <c r="AW401" s="292">
        <f t="shared" si="190"/>
        <v>20655.764999999999</v>
      </c>
      <c r="AX401" s="289">
        <f t="shared" si="191"/>
        <v>0</v>
      </c>
      <c r="AY401" s="292">
        <f t="shared" si="177"/>
        <v>20655.764999999999</v>
      </c>
      <c r="AZ401" s="292">
        <f t="shared" si="178"/>
        <v>20655.764999999999</v>
      </c>
      <c r="BA401" s="292">
        <f t="shared" si="179"/>
        <v>20655.764999999999</v>
      </c>
      <c r="BB401" s="292">
        <f t="shared" si="180"/>
        <v>20655.764999999999</v>
      </c>
      <c r="BC401" s="294">
        <f t="shared" si="181"/>
        <v>82623.06</v>
      </c>
      <c r="BD401" s="287" t="s">
        <v>764</v>
      </c>
      <c r="BE401" s="295" t="str">
        <f t="shared" si="182"/>
        <v>Exhibit 1.5B_R Peoples Gas EEPS_Adjustable_Savings_Goal_Template.xlsx, Unit Savings Calculations Tab</v>
      </c>
      <c r="BF401" s="297"/>
    </row>
    <row r="402" spans="1:58" ht="13.5" customHeight="1">
      <c r="A402" s="287" t="str">
        <f>'Unit Savings Calculations'!C398</f>
        <v>Low Income - MF Retrofit</v>
      </c>
      <c r="B402" s="287" t="str">
        <f>'Unit Savings Calculations'!D398</f>
        <v>Programmable Thermostat - Boiler</v>
      </c>
      <c r="C402" s="288">
        <f t="shared" si="170"/>
        <v>1</v>
      </c>
      <c r="D402" s="287" t="str">
        <f>'Unit Savings Calculations'!T398</f>
        <v>5.3.11</v>
      </c>
      <c r="E402" s="287">
        <f>INDEX('Unit Savings Calculations'!$H$4:$H$421,MATCH('Measure-Level Adjustments Tab'!$A402&amp;"_"&amp;'Measure-Level Adjustments Tab'!$B402,'Unit Savings Calculations'!$A$4:$A$421,0))</f>
        <v>5</v>
      </c>
      <c r="F402" s="287">
        <f>INDEX('Unit Savings Calculations'!$I$4:$I$421,MATCH('Measure-Level Adjustments Tab'!A402&amp;"_"&amp;'Measure-Level Adjustments Tab'!B402,'Unit Savings Calculations'!$A$4:$A$421,0))</f>
        <v>8</v>
      </c>
      <c r="G402" s="287" t="str">
        <f>'Unit Savings Calculations'!E398</f>
        <v>each</v>
      </c>
      <c r="H402" s="289">
        <f>'Unit Savings Calculations'!$F398*'Unit Savings Calculations'!J398</f>
        <v>157</v>
      </c>
      <c r="I402" s="289">
        <f>'Unit Savings Calculations'!$F398*'Unit Savings Calculations'!K398</f>
        <v>157</v>
      </c>
      <c r="J402" s="289">
        <f>'Unit Savings Calculations'!$F398*'Unit Savings Calculations'!L398</f>
        <v>157</v>
      </c>
      <c r="K402" s="289">
        <f>'Unit Savings Calculations'!$F398*'Unit Savings Calculations'!M398</f>
        <v>157</v>
      </c>
      <c r="L402" s="287" t="str">
        <f>'Unit Savings Calculations'!U398</f>
        <v>RS-HVC-PROG-V04-180101</v>
      </c>
      <c r="M402" s="363" t="s">
        <v>830</v>
      </c>
      <c r="N402" s="290">
        <v>49.085400000000007</v>
      </c>
      <c r="O402" s="290">
        <v>49.085400000000007</v>
      </c>
      <c r="P402" s="290">
        <v>49.085400000000007</v>
      </c>
      <c r="Q402" s="290">
        <v>49.085400000000007</v>
      </c>
      <c r="R402" s="291">
        <f>'Unit Savings Calculations'!$G398</f>
        <v>1</v>
      </c>
      <c r="S402" s="291">
        <f>'Unit Savings Calculations'!$G398</f>
        <v>1</v>
      </c>
      <c r="T402" s="291">
        <f>'Unit Savings Calculations'!$G398</f>
        <v>1</v>
      </c>
      <c r="U402" s="291">
        <f>'Unit Savings Calculations'!$G398</f>
        <v>1</v>
      </c>
      <c r="V402" s="292">
        <f t="shared" si="171"/>
        <v>7706.4078000000009</v>
      </c>
      <c r="W402" s="292">
        <f t="shared" si="172"/>
        <v>7706.4078000000009</v>
      </c>
      <c r="X402" s="292">
        <f t="shared" si="173"/>
        <v>7706.4078000000009</v>
      </c>
      <c r="Y402" s="292">
        <f t="shared" si="174"/>
        <v>7706.4078000000009</v>
      </c>
      <c r="Z402" s="292">
        <f t="shared" si="175"/>
        <v>30825.631200000003</v>
      </c>
      <c r="AA402" s="287"/>
      <c r="AB402" s="287"/>
      <c r="AC402" s="293">
        <f>'Unit Savings Calculations'!N398</f>
        <v>49.085400000000007</v>
      </c>
      <c r="AD402" s="287"/>
      <c r="AE402" s="292">
        <f t="shared" si="183"/>
        <v>7706.4078000000009</v>
      </c>
      <c r="AF402" s="289">
        <f t="shared" si="184"/>
        <v>0</v>
      </c>
      <c r="AG402" s="287"/>
      <c r="AH402" s="287">
        <f t="shared" si="185"/>
        <v>0</v>
      </c>
      <c r="AI402" s="290">
        <f>'Unit Savings Calculations'!O398</f>
        <v>49.085400000000007</v>
      </c>
      <c r="AJ402" s="287" t="s">
        <v>872</v>
      </c>
      <c r="AK402" s="292">
        <f t="shared" si="186"/>
        <v>7706.4078000000009</v>
      </c>
      <c r="AL402" s="289">
        <f t="shared" si="187"/>
        <v>0</v>
      </c>
      <c r="AM402" s="287"/>
      <c r="AN402" s="287"/>
      <c r="AO402" s="290">
        <f>'Unit Savings Calculations'!P398</f>
        <v>49.085400000000007</v>
      </c>
      <c r="AP402" s="287" t="s">
        <v>764</v>
      </c>
      <c r="AQ402" s="292">
        <f t="shared" si="188"/>
        <v>7706.4078000000009</v>
      </c>
      <c r="AR402" s="289">
        <f t="shared" si="189"/>
        <v>0</v>
      </c>
      <c r="AS402" s="287"/>
      <c r="AT402" s="287"/>
      <c r="AU402" s="290">
        <f>'Unit Savings Calculations'!Q398</f>
        <v>49.085400000000007</v>
      </c>
      <c r="AV402" s="287" t="str">
        <f t="shared" si="176"/>
        <v>n/a</v>
      </c>
      <c r="AW402" s="292">
        <f t="shared" si="190"/>
        <v>7706.4078000000009</v>
      </c>
      <c r="AX402" s="289">
        <f t="shared" si="191"/>
        <v>0</v>
      </c>
      <c r="AY402" s="292">
        <f t="shared" si="177"/>
        <v>7706.4078000000009</v>
      </c>
      <c r="AZ402" s="292">
        <f t="shared" si="178"/>
        <v>7706.4078000000009</v>
      </c>
      <c r="BA402" s="292">
        <f t="shared" si="179"/>
        <v>7706.4078000000009</v>
      </c>
      <c r="BB402" s="292">
        <f t="shared" si="180"/>
        <v>7706.4078000000009</v>
      </c>
      <c r="BC402" s="294">
        <f t="shared" si="181"/>
        <v>30825.631200000003</v>
      </c>
      <c r="BD402" s="287" t="s">
        <v>764</v>
      </c>
      <c r="BE402" s="295" t="str">
        <f t="shared" si="182"/>
        <v>Exhibit 1.5B_R Peoples Gas EEPS_Adjustable_Savings_Goal_Template.xlsx, Unit Savings Calculations Tab</v>
      </c>
      <c r="BF402" s="297"/>
    </row>
    <row r="403" spans="1:58" ht="13.5" customHeight="1">
      <c r="A403" s="287" t="str">
        <f>'Unit Savings Calculations'!C399</f>
        <v>Low Income - MF Retrofit</v>
      </c>
      <c r="B403" s="287" t="str">
        <f>'Unit Savings Calculations'!D399</f>
        <v>Advanced Thermostat - Furnace (Replace Manual)</v>
      </c>
      <c r="C403" s="288">
        <f t="shared" si="170"/>
        <v>1</v>
      </c>
      <c r="D403" s="287" t="str">
        <f>'Unit Savings Calculations'!T399</f>
        <v>5.3.16</v>
      </c>
      <c r="E403" s="287">
        <f>INDEX('Unit Savings Calculations'!$H$4:$H$421,MATCH('Measure-Level Adjustments Tab'!$A403&amp;"_"&amp;'Measure-Level Adjustments Tab'!$B403,'Unit Savings Calculations'!$A$4:$A$421,0))</f>
        <v>10</v>
      </c>
      <c r="F403" s="287">
        <f>INDEX('Unit Savings Calculations'!$I$4:$I$421,MATCH('Measure-Level Adjustments Tab'!A403&amp;"_"&amp;'Measure-Level Adjustments Tab'!B403,'Unit Savings Calculations'!$A$4:$A$421,0))</f>
        <v>11</v>
      </c>
      <c r="G403" s="287" t="str">
        <f>'Unit Savings Calculations'!E399</f>
        <v>each</v>
      </c>
      <c r="H403" s="289">
        <f>'Unit Savings Calculations'!$F399*'Unit Savings Calculations'!J399</f>
        <v>8</v>
      </c>
      <c r="I403" s="289">
        <f>'Unit Savings Calculations'!$F399*'Unit Savings Calculations'!K399</f>
        <v>8</v>
      </c>
      <c r="J403" s="289">
        <f>'Unit Savings Calculations'!$F399*'Unit Savings Calculations'!L399</f>
        <v>8</v>
      </c>
      <c r="K403" s="289">
        <f>'Unit Savings Calculations'!$F399*'Unit Savings Calculations'!M399</f>
        <v>8</v>
      </c>
      <c r="L403" s="287" t="str">
        <f>'Unit Savings Calculations'!U399</f>
        <v>RS-HVC-ADTH-V02-180101</v>
      </c>
      <c r="M403" s="363" t="s">
        <v>830</v>
      </c>
      <c r="N403" s="290">
        <v>57.485999999999997</v>
      </c>
      <c r="O403" s="290">
        <v>57.485999999999997</v>
      </c>
      <c r="P403" s="290">
        <v>57.485999999999997</v>
      </c>
      <c r="Q403" s="290">
        <v>57.485999999999997</v>
      </c>
      <c r="R403" s="291">
        <f>'Unit Savings Calculations'!$G399</f>
        <v>1</v>
      </c>
      <c r="S403" s="291">
        <f>'Unit Savings Calculations'!$G399</f>
        <v>1</v>
      </c>
      <c r="T403" s="291">
        <f>'Unit Savings Calculations'!$G399</f>
        <v>1</v>
      </c>
      <c r="U403" s="291">
        <f>'Unit Savings Calculations'!$G399</f>
        <v>1</v>
      </c>
      <c r="V403" s="292">
        <f t="shared" si="171"/>
        <v>459.88799999999998</v>
      </c>
      <c r="W403" s="292">
        <f t="shared" si="172"/>
        <v>459.88799999999998</v>
      </c>
      <c r="X403" s="292">
        <f t="shared" si="173"/>
        <v>459.88799999999998</v>
      </c>
      <c r="Y403" s="292">
        <f t="shared" si="174"/>
        <v>459.88799999999998</v>
      </c>
      <c r="Z403" s="292">
        <f t="shared" si="175"/>
        <v>1839.5519999999999</v>
      </c>
      <c r="AA403" s="287"/>
      <c r="AB403" s="287"/>
      <c r="AC403" s="293">
        <f>'Unit Savings Calculations'!N399</f>
        <v>57.485999999999997</v>
      </c>
      <c r="AD403" s="287"/>
      <c r="AE403" s="292">
        <f t="shared" si="183"/>
        <v>459.88799999999998</v>
      </c>
      <c r="AF403" s="289">
        <f t="shared" si="184"/>
        <v>0</v>
      </c>
      <c r="AG403" s="287"/>
      <c r="AH403" s="287">
        <f t="shared" si="185"/>
        <v>0</v>
      </c>
      <c r="AI403" s="290">
        <f>'Unit Savings Calculations'!O399</f>
        <v>57.485999999999997</v>
      </c>
      <c r="AJ403" s="287" t="s">
        <v>872</v>
      </c>
      <c r="AK403" s="292">
        <f t="shared" si="186"/>
        <v>459.88799999999998</v>
      </c>
      <c r="AL403" s="289">
        <f t="shared" si="187"/>
        <v>0</v>
      </c>
      <c r="AM403" s="287"/>
      <c r="AN403" s="287"/>
      <c r="AO403" s="290">
        <f>'Unit Savings Calculations'!P399</f>
        <v>57.485999999999997</v>
      </c>
      <c r="AP403" s="287" t="s">
        <v>764</v>
      </c>
      <c r="AQ403" s="292">
        <f t="shared" si="188"/>
        <v>459.88799999999998</v>
      </c>
      <c r="AR403" s="289">
        <f t="shared" si="189"/>
        <v>0</v>
      </c>
      <c r="AS403" s="287"/>
      <c r="AT403" s="287"/>
      <c r="AU403" s="290">
        <f>'Unit Savings Calculations'!Q399</f>
        <v>57.485999999999997</v>
      </c>
      <c r="AV403" s="287" t="str">
        <f t="shared" si="176"/>
        <v>n/a</v>
      </c>
      <c r="AW403" s="292">
        <f t="shared" si="190"/>
        <v>459.88799999999998</v>
      </c>
      <c r="AX403" s="289">
        <f t="shared" si="191"/>
        <v>0</v>
      </c>
      <c r="AY403" s="292">
        <f t="shared" si="177"/>
        <v>459.88799999999998</v>
      </c>
      <c r="AZ403" s="292">
        <f t="shared" si="178"/>
        <v>459.88799999999998</v>
      </c>
      <c r="BA403" s="292">
        <f t="shared" si="179"/>
        <v>459.88799999999998</v>
      </c>
      <c r="BB403" s="292">
        <f t="shared" si="180"/>
        <v>459.88799999999998</v>
      </c>
      <c r="BC403" s="294">
        <f t="shared" si="181"/>
        <v>1839.5519999999999</v>
      </c>
      <c r="BD403" s="287" t="s">
        <v>764</v>
      </c>
      <c r="BE403" s="295" t="str">
        <f t="shared" si="182"/>
        <v>Exhibit 1.5B_R Peoples Gas EEPS_Adjustable_Savings_Goal_Template.xlsx, Unit Savings Calculations Tab</v>
      </c>
      <c r="BF403" s="297"/>
    </row>
    <row r="404" spans="1:58" ht="13.5" customHeight="1">
      <c r="A404" s="287" t="str">
        <f>'Unit Savings Calculations'!C400</f>
        <v>Low Income - MF Retrofit</v>
      </c>
      <c r="B404" s="287" t="str">
        <f>'Unit Savings Calculations'!D400</f>
        <v>Advanced Thermostat - Boiler (Replace Manual)</v>
      </c>
      <c r="C404" s="288">
        <f t="shared" si="170"/>
        <v>1</v>
      </c>
      <c r="D404" s="287" t="str">
        <f>'Unit Savings Calculations'!T400</f>
        <v>5.3.16</v>
      </c>
      <c r="E404" s="287">
        <f>INDEX('Unit Savings Calculations'!$H$4:$H$421,MATCH('Measure-Level Adjustments Tab'!$A404&amp;"_"&amp;'Measure-Level Adjustments Tab'!$B404,'Unit Savings Calculations'!$A$4:$A$421,0))</f>
        <v>10</v>
      </c>
      <c r="F404" s="287">
        <f>INDEX('Unit Savings Calculations'!$I$4:$I$421,MATCH('Measure-Level Adjustments Tab'!A404&amp;"_"&amp;'Measure-Level Adjustments Tab'!B404,'Unit Savings Calculations'!$A$4:$A$421,0))</f>
        <v>11</v>
      </c>
      <c r="G404" s="287" t="str">
        <f>'Unit Savings Calculations'!E400</f>
        <v>each</v>
      </c>
      <c r="H404" s="289">
        <f>'Unit Savings Calculations'!$F400*'Unit Savings Calculations'!J400</f>
        <v>0</v>
      </c>
      <c r="I404" s="289">
        <f>'Unit Savings Calculations'!$F400*'Unit Savings Calculations'!K400</f>
        <v>0</v>
      </c>
      <c r="J404" s="289">
        <f>'Unit Savings Calculations'!$F400*'Unit Savings Calculations'!L400</f>
        <v>0</v>
      </c>
      <c r="K404" s="289">
        <f>'Unit Savings Calculations'!$F400*'Unit Savings Calculations'!M400</f>
        <v>0</v>
      </c>
      <c r="L404" s="287" t="str">
        <f>'Unit Savings Calculations'!U400</f>
        <v>RS-HVC-ADTH-V02-180101</v>
      </c>
      <c r="M404" s="363" t="s">
        <v>830</v>
      </c>
      <c r="N404" s="290">
        <v>69.669600000000003</v>
      </c>
      <c r="O404" s="290">
        <v>69.669600000000003</v>
      </c>
      <c r="P404" s="290">
        <v>69.669600000000003</v>
      </c>
      <c r="Q404" s="290">
        <v>69.669600000000003</v>
      </c>
      <c r="R404" s="291">
        <f>'Unit Savings Calculations'!$G400</f>
        <v>1</v>
      </c>
      <c r="S404" s="291">
        <f>'Unit Savings Calculations'!$G400</f>
        <v>1</v>
      </c>
      <c r="T404" s="291">
        <f>'Unit Savings Calculations'!$G400</f>
        <v>1</v>
      </c>
      <c r="U404" s="291">
        <f>'Unit Savings Calculations'!$G400</f>
        <v>1</v>
      </c>
      <c r="V404" s="292">
        <f t="shared" si="171"/>
        <v>0</v>
      </c>
      <c r="W404" s="292">
        <f t="shared" si="172"/>
        <v>0</v>
      </c>
      <c r="X404" s="292">
        <f t="shared" si="173"/>
        <v>0</v>
      </c>
      <c r="Y404" s="292">
        <f t="shared" si="174"/>
        <v>0</v>
      </c>
      <c r="Z404" s="292">
        <f t="shared" si="175"/>
        <v>0</v>
      </c>
      <c r="AA404" s="287"/>
      <c r="AB404" s="287"/>
      <c r="AC404" s="293">
        <f>'Unit Savings Calculations'!N400</f>
        <v>69.669600000000003</v>
      </c>
      <c r="AD404" s="287"/>
      <c r="AE404" s="292">
        <f t="shared" si="183"/>
        <v>0</v>
      </c>
      <c r="AF404" s="289">
        <f t="shared" si="184"/>
        <v>0</v>
      </c>
      <c r="AG404" s="287"/>
      <c r="AH404" s="287">
        <f t="shared" si="185"/>
        <v>0</v>
      </c>
      <c r="AI404" s="290">
        <f>'Unit Savings Calculations'!O400</f>
        <v>69.669600000000003</v>
      </c>
      <c r="AJ404" s="287" t="s">
        <v>872</v>
      </c>
      <c r="AK404" s="292">
        <f t="shared" si="186"/>
        <v>0</v>
      </c>
      <c r="AL404" s="289">
        <f t="shared" si="187"/>
        <v>0</v>
      </c>
      <c r="AM404" s="287"/>
      <c r="AN404" s="287"/>
      <c r="AO404" s="290">
        <f>'Unit Savings Calculations'!P400</f>
        <v>69.669600000000003</v>
      </c>
      <c r="AP404" s="287" t="s">
        <v>764</v>
      </c>
      <c r="AQ404" s="292">
        <f t="shared" si="188"/>
        <v>0</v>
      </c>
      <c r="AR404" s="289">
        <f t="shared" si="189"/>
        <v>0</v>
      </c>
      <c r="AS404" s="287"/>
      <c r="AT404" s="287"/>
      <c r="AU404" s="290">
        <f>'Unit Savings Calculations'!Q400</f>
        <v>69.669600000000003</v>
      </c>
      <c r="AV404" s="287" t="str">
        <f t="shared" si="176"/>
        <v>n/a</v>
      </c>
      <c r="AW404" s="292">
        <f t="shared" si="190"/>
        <v>0</v>
      </c>
      <c r="AX404" s="289">
        <f t="shared" si="191"/>
        <v>0</v>
      </c>
      <c r="AY404" s="292">
        <f t="shared" si="177"/>
        <v>0</v>
      </c>
      <c r="AZ404" s="292">
        <f t="shared" si="178"/>
        <v>0</v>
      </c>
      <c r="BA404" s="292">
        <f t="shared" si="179"/>
        <v>0</v>
      </c>
      <c r="BB404" s="292">
        <f t="shared" si="180"/>
        <v>0</v>
      </c>
      <c r="BC404" s="294">
        <f t="shared" si="181"/>
        <v>0</v>
      </c>
      <c r="BD404" s="287" t="s">
        <v>764</v>
      </c>
      <c r="BE404" s="295" t="str">
        <f t="shared" si="182"/>
        <v>Exhibit 1.5B_R Peoples Gas EEPS_Adjustable_Savings_Goal_Template.xlsx, Unit Savings Calculations Tab</v>
      </c>
      <c r="BF404" s="297"/>
    </row>
    <row r="405" spans="1:58" ht="13.5" customHeight="1">
      <c r="A405" s="287" t="str">
        <f>'Unit Savings Calculations'!C401</f>
        <v>Low Income - MF Retrofit</v>
      </c>
      <c r="B405" s="287" t="str">
        <f>'Unit Savings Calculations'!D401</f>
        <v>Advanced Thermostat - Furnace (Replace Programmable)</v>
      </c>
      <c r="C405" s="288">
        <f t="shared" si="170"/>
        <v>1</v>
      </c>
      <c r="D405" s="287" t="str">
        <f>'Unit Savings Calculations'!T401</f>
        <v>5.3.16</v>
      </c>
      <c r="E405" s="287">
        <f>INDEX('Unit Savings Calculations'!$H$4:$H$421,MATCH('Measure-Level Adjustments Tab'!$A405&amp;"_"&amp;'Measure-Level Adjustments Tab'!$B405,'Unit Savings Calculations'!$A$4:$A$421,0))</f>
        <v>10</v>
      </c>
      <c r="F405" s="287">
        <f>INDEX('Unit Savings Calculations'!$I$4:$I$421,MATCH('Measure-Level Adjustments Tab'!A405&amp;"_"&amp;'Measure-Level Adjustments Tab'!B405,'Unit Savings Calculations'!$A$4:$A$421,0))</f>
        <v>11</v>
      </c>
      <c r="G405" s="287" t="str">
        <f>'Unit Savings Calculations'!E401</f>
        <v>each</v>
      </c>
      <c r="H405" s="289">
        <f>'Unit Savings Calculations'!$F401*'Unit Savings Calculations'!J401</f>
        <v>8</v>
      </c>
      <c r="I405" s="289">
        <f>'Unit Savings Calculations'!$F401*'Unit Savings Calculations'!K401</f>
        <v>8</v>
      </c>
      <c r="J405" s="289">
        <f>'Unit Savings Calculations'!$F401*'Unit Savings Calculations'!L401</f>
        <v>8</v>
      </c>
      <c r="K405" s="289">
        <f>'Unit Savings Calculations'!$F401*'Unit Savings Calculations'!M401</f>
        <v>8</v>
      </c>
      <c r="L405" s="287" t="str">
        <f>'Unit Savings Calculations'!U401</f>
        <v>RS-HVC-ADTH-V02-180101</v>
      </c>
      <c r="M405" s="363" t="s">
        <v>830</v>
      </c>
      <c r="N405" s="290">
        <v>36.582000000000001</v>
      </c>
      <c r="O405" s="290">
        <v>36.582000000000001</v>
      </c>
      <c r="P405" s="290">
        <v>36.582000000000001</v>
      </c>
      <c r="Q405" s="290">
        <v>36.582000000000001</v>
      </c>
      <c r="R405" s="291">
        <f>'Unit Savings Calculations'!$G401</f>
        <v>1</v>
      </c>
      <c r="S405" s="291">
        <f>'Unit Savings Calculations'!$G401</f>
        <v>1</v>
      </c>
      <c r="T405" s="291">
        <f>'Unit Savings Calculations'!$G401</f>
        <v>1</v>
      </c>
      <c r="U405" s="291">
        <f>'Unit Savings Calculations'!$G401</f>
        <v>1</v>
      </c>
      <c r="V405" s="292">
        <f t="shared" si="171"/>
        <v>292.65600000000001</v>
      </c>
      <c r="W405" s="292">
        <f t="shared" si="172"/>
        <v>292.65600000000001</v>
      </c>
      <c r="X405" s="292">
        <f t="shared" si="173"/>
        <v>292.65600000000001</v>
      </c>
      <c r="Y405" s="292">
        <f t="shared" si="174"/>
        <v>292.65600000000001</v>
      </c>
      <c r="Z405" s="292">
        <f t="shared" si="175"/>
        <v>1170.624</v>
      </c>
      <c r="AA405" s="287"/>
      <c r="AB405" s="287"/>
      <c r="AC405" s="293">
        <f>'Unit Savings Calculations'!N401</f>
        <v>36.582000000000001</v>
      </c>
      <c r="AD405" s="287"/>
      <c r="AE405" s="292">
        <f t="shared" si="183"/>
        <v>292.65600000000001</v>
      </c>
      <c r="AF405" s="289">
        <f t="shared" si="184"/>
        <v>0</v>
      </c>
      <c r="AG405" s="287"/>
      <c r="AH405" s="287">
        <f t="shared" si="185"/>
        <v>0</v>
      </c>
      <c r="AI405" s="290">
        <f>'Unit Savings Calculations'!O401</f>
        <v>36.582000000000001</v>
      </c>
      <c r="AJ405" s="287" t="s">
        <v>872</v>
      </c>
      <c r="AK405" s="292">
        <f t="shared" si="186"/>
        <v>292.65600000000001</v>
      </c>
      <c r="AL405" s="289">
        <f t="shared" si="187"/>
        <v>0</v>
      </c>
      <c r="AM405" s="287"/>
      <c r="AN405" s="287"/>
      <c r="AO405" s="290">
        <f>'Unit Savings Calculations'!P401</f>
        <v>36.582000000000001</v>
      </c>
      <c r="AP405" s="287" t="s">
        <v>764</v>
      </c>
      <c r="AQ405" s="292">
        <f t="shared" si="188"/>
        <v>292.65600000000001</v>
      </c>
      <c r="AR405" s="289">
        <f t="shared" si="189"/>
        <v>0</v>
      </c>
      <c r="AS405" s="287"/>
      <c r="AT405" s="287"/>
      <c r="AU405" s="290">
        <f>'Unit Savings Calculations'!Q401</f>
        <v>36.582000000000001</v>
      </c>
      <c r="AV405" s="287" t="str">
        <f t="shared" si="176"/>
        <v>n/a</v>
      </c>
      <c r="AW405" s="292">
        <f t="shared" si="190"/>
        <v>292.65600000000001</v>
      </c>
      <c r="AX405" s="289">
        <f t="shared" si="191"/>
        <v>0</v>
      </c>
      <c r="AY405" s="292">
        <f t="shared" si="177"/>
        <v>292.65600000000001</v>
      </c>
      <c r="AZ405" s="292">
        <f t="shared" si="178"/>
        <v>292.65600000000001</v>
      </c>
      <c r="BA405" s="292">
        <f t="shared" si="179"/>
        <v>292.65600000000001</v>
      </c>
      <c r="BB405" s="292">
        <f t="shared" si="180"/>
        <v>292.65600000000001</v>
      </c>
      <c r="BC405" s="294">
        <f t="shared" si="181"/>
        <v>1170.624</v>
      </c>
      <c r="BD405" s="287" t="s">
        <v>764</v>
      </c>
      <c r="BE405" s="295" t="str">
        <f t="shared" si="182"/>
        <v>Exhibit 1.5B_R Peoples Gas EEPS_Adjustable_Savings_Goal_Template.xlsx, Unit Savings Calculations Tab</v>
      </c>
      <c r="BF405" s="297"/>
    </row>
    <row r="406" spans="1:58" ht="13.5" customHeight="1">
      <c r="A406" s="287" t="str">
        <f>'Unit Savings Calculations'!C402</f>
        <v>Low Income - MF Retrofit</v>
      </c>
      <c r="B406" s="287" t="str">
        <f>'Unit Savings Calculations'!D402</f>
        <v>Advanced Thermostat - Boiler (Replace Programmable)</v>
      </c>
      <c r="C406" s="288">
        <f t="shared" si="170"/>
        <v>1</v>
      </c>
      <c r="D406" s="287" t="str">
        <f>'Unit Savings Calculations'!T402</f>
        <v>5.3.16</v>
      </c>
      <c r="E406" s="287">
        <f>INDEX('Unit Savings Calculations'!$H$4:$H$421,MATCH('Measure-Level Adjustments Tab'!$A406&amp;"_"&amp;'Measure-Level Adjustments Tab'!$B406,'Unit Savings Calculations'!$A$4:$A$421,0))</f>
        <v>10</v>
      </c>
      <c r="F406" s="287">
        <f>INDEX('Unit Savings Calculations'!$I$4:$I$421,MATCH('Measure-Level Adjustments Tab'!A406&amp;"_"&amp;'Measure-Level Adjustments Tab'!B406,'Unit Savings Calculations'!$A$4:$A$421,0))</f>
        <v>11</v>
      </c>
      <c r="G406" s="287" t="str">
        <f>'Unit Savings Calculations'!E402</f>
        <v>each</v>
      </c>
      <c r="H406" s="289">
        <f>'Unit Savings Calculations'!$F402*'Unit Savings Calculations'!J402</f>
        <v>0</v>
      </c>
      <c r="I406" s="289">
        <f>'Unit Savings Calculations'!$F402*'Unit Savings Calculations'!K402</f>
        <v>0</v>
      </c>
      <c r="J406" s="289">
        <f>'Unit Savings Calculations'!$F402*'Unit Savings Calculations'!L402</f>
        <v>0</v>
      </c>
      <c r="K406" s="289">
        <f>'Unit Savings Calculations'!$F402*'Unit Savings Calculations'!M402</f>
        <v>0</v>
      </c>
      <c r="L406" s="287" t="str">
        <f>'Unit Savings Calculations'!U402</f>
        <v>RS-HVC-ADTH-V02-180101</v>
      </c>
      <c r="M406" s="363" t="s">
        <v>830</v>
      </c>
      <c r="N406" s="290">
        <v>44.3352</v>
      </c>
      <c r="O406" s="290">
        <v>44.3352</v>
      </c>
      <c r="P406" s="290">
        <v>44.3352</v>
      </c>
      <c r="Q406" s="290">
        <v>44.3352</v>
      </c>
      <c r="R406" s="291">
        <f>'Unit Savings Calculations'!$G402</f>
        <v>1</v>
      </c>
      <c r="S406" s="291">
        <f>'Unit Savings Calculations'!$G402</f>
        <v>1</v>
      </c>
      <c r="T406" s="291">
        <f>'Unit Savings Calculations'!$G402</f>
        <v>1</v>
      </c>
      <c r="U406" s="291">
        <f>'Unit Savings Calculations'!$G402</f>
        <v>1</v>
      </c>
      <c r="V406" s="292">
        <f t="shared" si="171"/>
        <v>0</v>
      </c>
      <c r="W406" s="292">
        <f t="shared" si="172"/>
        <v>0</v>
      </c>
      <c r="X406" s="292">
        <f t="shared" si="173"/>
        <v>0</v>
      </c>
      <c r="Y406" s="292">
        <f t="shared" si="174"/>
        <v>0</v>
      </c>
      <c r="Z406" s="292">
        <f t="shared" si="175"/>
        <v>0</v>
      </c>
      <c r="AA406" s="287"/>
      <c r="AB406" s="287"/>
      <c r="AC406" s="293">
        <f>'Unit Savings Calculations'!N402</f>
        <v>44.3352</v>
      </c>
      <c r="AD406" s="287"/>
      <c r="AE406" s="292">
        <f t="shared" si="183"/>
        <v>0</v>
      </c>
      <c r="AF406" s="289">
        <f t="shared" si="184"/>
        <v>0</v>
      </c>
      <c r="AG406" s="287"/>
      <c r="AH406" s="287">
        <f t="shared" si="185"/>
        <v>0</v>
      </c>
      <c r="AI406" s="290">
        <f>'Unit Savings Calculations'!O402</f>
        <v>44.3352</v>
      </c>
      <c r="AJ406" s="287" t="s">
        <v>872</v>
      </c>
      <c r="AK406" s="292">
        <f t="shared" si="186"/>
        <v>0</v>
      </c>
      <c r="AL406" s="289">
        <f t="shared" si="187"/>
        <v>0</v>
      </c>
      <c r="AM406" s="287"/>
      <c r="AN406" s="287"/>
      <c r="AO406" s="290">
        <f>'Unit Savings Calculations'!P402</f>
        <v>44.3352</v>
      </c>
      <c r="AP406" s="287" t="s">
        <v>764</v>
      </c>
      <c r="AQ406" s="292">
        <f t="shared" si="188"/>
        <v>0</v>
      </c>
      <c r="AR406" s="289">
        <f t="shared" si="189"/>
        <v>0</v>
      </c>
      <c r="AS406" s="287"/>
      <c r="AT406" s="287"/>
      <c r="AU406" s="290">
        <f>'Unit Savings Calculations'!Q402</f>
        <v>44.3352</v>
      </c>
      <c r="AV406" s="287" t="str">
        <f t="shared" si="176"/>
        <v>n/a</v>
      </c>
      <c r="AW406" s="292">
        <f t="shared" si="190"/>
        <v>0</v>
      </c>
      <c r="AX406" s="289">
        <f t="shared" si="191"/>
        <v>0</v>
      </c>
      <c r="AY406" s="292">
        <f t="shared" si="177"/>
        <v>0</v>
      </c>
      <c r="AZ406" s="292">
        <f t="shared" si="178"/>
        <v>0</v>
      </c>
      <c r="BA406" s="292">
        <f t="shared" si="179"/>
        <v>0</v>
      </c>
      <c r="BB406" s="292">
        <f t="shared" si="180"/>
        <v>0</v>
      </c>
      <c r="BC406" s="294">
        <f t="shared" si="181"/>
        <v>0</v>
      </c>
      <c r="BD406" s="287" t="s">
        <v>764</v>
      </c>
      <c r="BE406" s="295" t="str">
        <f t="shared" si="182"/>
        <v>Exhibit 1.5B_R Peoples Gas EEPS_Adjustable_Savings_Goal_Template.xlsx, Unit Savings Calculations Tab</v>
      </c>
      <c r="BF406" s="297"/>
    </row>
    <row r="407" spans="1:58" ht="13.5" customHeight="1">
      <c r="A407" s="287" t="str">
        <f>'Unit Savings Calculations'!C403</f>
        <v>Low Income - MF Retrofit</v>
      </c>
      <c r="B407" s="287" t="str">
        <f>'Unit Savings Calculations'!D403</f>
        <v>Water Heater Setback</v>
      </c>
      <c r="C407" s="288">
        <f t="shared" si="170"/>
        <v>1</v>
      </c>
      <c r="D407" s="287" t="str">
        <f>'Unit Savings Calculations'!T403</f>
        <v>5.4.6</v>
      </c>
      <c r="E407" s="287">
        <f>INDEX('Unit Savings Calculations'!$H$4:$H$421,MATCH('Measure-Level Adjustments Tab'!$A407&amp;"_"&amp;'Measure-Level Adjustments Tab'!$B407,'Unit Savings Calculations'!$A$4:$A$421,0))</f>
        <v>2</v>
      </c>
      <c r="F407" s="287">
        <f>INDEX('Unit Savings Calculations'!$I$4:$I$421,MATCH('Measure-Level Adjustments Tab'!A407&amp;"_"&amp;'Measure-Level Adjustments Tab'!B407,'Unit Savings Calculations'!$A$4:$A$421,0))</f>
        <v>2</v>
      </c>
      <c r="G407" s="287" t="str">
        <f>'Unit Savings Calculations'!E403</f>
        <v>each</v>
      </c>
      <c r="H407" s="289">
        <f>'Unit Savings Calculations'!$F403*'Unit Savings Calculations'!J403</f>
        <v>1963</v>
      </c>
      <c r="I407" s="289">
        <f>'Unit Savings Calculations'!$F403*'Unit Savings Calculations'!K403</f>
        <v>1963</v>
      </c>
      <c r="J407" s="289">
        <f>'Unit Savings Calculations'!$F403*'Unit Savings Calculations'!L403</f>
        <v>1963</v>
      </c>
      <c r="K407" s="289">
        <f>'Unit Savings Calculations'!$F403*'Unit Savings Calculations'!M403</f>
        <v>1963</v>
      </c>
      <c r="L407" s="287" t="str">
        <f>'Unit Savings Calculations'!U403</f>
        <v>RS-HWE-TMPS-V05-160601</v>
      </c>
      <c r="M407" s="363" t="s">
        <v>830</v>
      </c>
      <c r="N407" s="290">
        <v>4.0706360194029854</v>
      </c>
      <c r="O407" s="290">
        <v>4.0706360194029854</v>
      </c>
      <c r="P407" s="290">
        <v>4.0706360194029854</v>
      </c>
      <c r="Q407" s="290">
        <v>4.0706360194029854</v>
      </c>
      <c r="R407" s="291">
        <f>'Unit Savings Calculations'!$G403</f>
        <v>1</v>
      </c>
      <c r="S407" s="291">
        <f>'Unit Savings Calculations'!$G403</f>
        <v>1</v>
      </c>
      <c r="T407" s="291">
        <f>'Unit Savings Calculations'!$G403</f>
        <v>1</v>
      </c>
      <c r="U407" s="291">
        <f>'Unit Savings Calculations'!$G403</f>
        <v>1</v>
      </c>
      <c r="V407" s="292">
        <f t="shared" si="171"/>
        <v>7990.6585060880607</v>
      </c>
      <c r="W407" s="292">
        <f t="shared" si="172"/>
        <v>7990.6585060880607</v>
      </c>
      <c r="X407" s="292">
        <f t="shared" si="173"/>
        <v>7990.6585060880607</v>
      </c>
      <c r="Y407" s="292">
        <f t="shared" si="174"/>
        <v>7990.6585060880607</v>
      </c>
      <c r="Z407" s="292">
        <f t="shared" si="175"/>
        <v>31962.634024352243</v>
      </c>
      <c r="AA407" s="287"/>
      <c r="AB407" s="287"/>
      <c r="AC407" s="293">
        <f>'Unit Savings Calculations'!N403</f>
        <v>4.0706360194029854</v>
      </c>
      <c r="AD407" s="287"/>
      <c r="AE407" s="292">
        <f t="shared" si="183"/>
        <v>7990.6585060880607</v>
      </c>
      <c r="AF407" s="289">
        <f t="shared" si="184"/>
        <v>0</v>
      </c>
      <c r="AG407" s="287"/>
      <c r="AH407" s="287">
        <f t="shared" si="185"/>
        <v>0</v>
      </c>
      <c r="AI407" s="290">
        <f>'Unit Savings Calculations'!O403</f>
        <v>4.0706360194029854</v>
      </c>
      <c r="AJ407" s="287" t="s">
        <v>872</v>
      </c>
      <c r="AK407" s="292">
        <f t="shared" si="186"/>
        <v>7990.6585060880607</v>
      </c>
      <c r="AL407" s="289">
        <f t="shared" si="187"/>
        <v>0</v>
      </c>
      <c r="AM407" s="287"/>
      <c r="AN407" s="287"/>
      <c r="AO407" s="290">
        <f>'Unit Savings Calculations'!P403</f>
        <v>4.0706360194029854</v>
      </c>
      <c r="AP407" s="287" t="s">
        <v>764</v>
      </c>
      <c r="AQ407" s="292">
        <f t="shared" si="188"/>
        <v>7990.6585060880607</v>
      </c>
      <c r="AR407" s="289">
        <f t="shared" si="189"/>
        <v>0</v>
      </c>
      <c r="AS407" s="287"/>
      <c r="AT407" s="287"/>
      <c r="AU407" s="290">
        <f>'Unit Savings Calculations'!Q403</f>
        <v>4.0706360194029854</v>
      </c>
      <c r="AV407" s="287" t="str">
        <f t="shared" si="176"/>
        <v>n/a</v>
      </c>
      <c r="AW407" s="292">
        <f t="shared" si="190"/>
        <v>7990.6585060880607</v>
      </c>
      <c r="AX407" s="289">
        <f t="shared" si="191"/>
        <v>0</v>
      </c>
      <c r="AY407" s="292">
        <f t="shared" si="177"/>
        <v>7990.6585060880607</v>
      </c>
      <c r="AZ407" s="292">
        <f t="shared" si="178"/>
        <v>7990.6585060880607</v>
      </c>
      <c r="BA407" s="292">
        <f t="shared" si="179"/>
        <v>7990.6585060880607</v>
      </c>
      <c r="BB407" s="292">
        <f t="shared" si="180"/>
        <v>7990.6585060880607</v>
      </c>
      <c r="BC407" s="294">
        <f t="shared" si="181"/>
        <v>31962.634024352243</v>
      </c>
      <c r="BD407" s="287" t="s">
        <v>764</v>
      </c>
      <c r="BE407" s="295" t="str">
        <f t="shared" si="182"/>
        <v>Exhibit 1.5B_R Peoples Gas EEPS_Adjustable_Savings_Goal_Template.xlsx, Unit Savings Calculations Tab</v>
      </c>
      <c r="BF407" s="297"/>
    </row>
    <row r="408" spans="1:58" ht="13.5" customHeight="1">
      <c r="A408" s="287" t="str">
        <f>'Unit Savings Calculations'!C404</f>
        <v>Low Income - MF Retrofit</v>
      </c>
      <c r="B408" s="287" t="str">
        <f>'Unit Savings Calculations'!D404</f>
        <v>Air Sealing</v>
      </c>
      <c r="C408" s="288">
        <f t="shared" si="170"/>
        <v>0</v>
      </c>
      <c r="D408" s="287" t="str">
        <f>'Unit Savings Calculations'!T404</f>
        <v>Custom</v>
      </c>
      <c r="E408" s="287">
        <f>INDEX('Unit Savings Calculations'!$H$4:$H$421,MATCH('Measure-Level Adjustments Tab'!$A408&amp;"_"&amp;'Measure-Level Adjustments Tab'!$B408,'Unit Savings Calculations'!$A$4:$A$421,0))</f>
        <v>15</v>
      </c>
      <c r="F408" s="287">
        <f>INDEX('Unit Savings Calculations'!$I$4:$I$421,MATCH('Measure-Level Adjustments Tab'!A408&amp;"_"&amp;'Measure-Level Adjustments Tab'!B408,'Unit Savings Calculations'!$A$4:$A$421,0))</f>
        <v>20</v>
      </c>
      <c r="G408" s="287" t="str">
        <f>'Unit Savings Calculations'!E404</f>
        <v>each</v>
      </c>
      <c r="H408" s="289">
        <f>'Unit Savings Calculations'!$F404*'Unit Savings Calculations'!J404</f>
        <v>94</v>
      </c>
      <c r="I408" s="289">
        <f>'Unit Savings Calculations'!$F404*'Unit Savings Calculations'!K404</f>
        <v>94</v>
      </c>
      <c r="J408" s="289">
        <f>'Unit Savings Calculations'!$F404*'Unit Savings Calculations'!L404</f>
        <v>94</v>
      </c>
      <c r="K408" s="289">
        <f>'Unit Savings Calculations'!$F404*'Unit Savings Calculations'!M404</f>
        <v>94</v>
      </c>
      <c r="L408" s="287" t="str">
        <f>'Unit Savings Calculations'!U404</f>
        <v>Custom</v>
      </c>
      <c r="M408" s="287" t="str">
        <f>'Unit Savings Calculations'!S404</f>
        <v>Custom</v>
      </c>
      <c r="N408" s="290">
        <v>600</v>
      </c>
      <c r="O408" s="290">
        <v>600</v>
      </c>
      <c r="P408" s="290">
        <v>600</v>
      </c>
      <c r="Q408" s="290">
        <v>600</v>
      </c>
      <c r="R408" s="291">
        <f>'Unit Savings Calculations'!$G404</f>
        <v>1</v>
      </c>
      <c r="S408" s="291">
        <f>'Unit Savings Calculations'!$G404</f>
        <v>1</v>
      </c>
      <c r="T408" s="291">
        <f>'Unit Savings Calculations'!$G404</f>
        <v>1</v>
      </c>
      <c r="U408" s="291">
        <f>'Unit Savings Calculations'!$G404</f>
        <v>1</v>
      </c>
      <c r="V408" s="292">
        <f t="shared" si="171"/>
        <v>56400</v>
      </c>
      <c r="W408" s="292">
        <f t="shared" si="172"/>
        <v>56400</v>
      </c>
      <c r="X408" s="292">
        <f t="shared" si="173"/>
        <v>56400</v>
      </c>
      <c r="Y408" s="292">
        <f t="shared" si="174"/>
        <v>56400</v>
      </c>
      <c r="Z408" s="292">
        <f t="shared" si="175"/>
        <v>225600</v>
      </c>
      <c r="AA408" s="364"/>
      <c r="AB408" s="364"/>
      <c r="AC408" s="365">
        <f>'Unit Savings Calculations'!N404</f>
        <v>600</v>
      </c>
      <c r="AD408" s="364"/>
      <c r="AE408" s="366">
        <f t="shared" si="183"/>
        <v>56400</v>
      </c>
      <c r="AF408" s="367">
        <f t="shared" si="184"/>
        <v>0</v>
      </c>
      <c r="AG408" s="364"/>
      <c r="AH408" s="364">
        <f t="shared" si="185"/>
        <v>0</v>
      </c>
      <c r="AI408" s="368">
        <f>'Unit Savings Calculations'!O404</f>
        <v>600</v>
      </c>
      <c r="AJ408" s="364" t="s">
        <v>872</v>
      </c>
      <c r="AK408" s="366">
        <f t="shared" si="186"/>
        <v>56400</v>
      </c>
      <c r="AL408" s="367">
        <f t="shared" si="187"/>
        <v>0</v>
      </c>
      <c r="AM408" s="364"/>
      <c r="AN408" s="364"/>
      <c r="AO408" s="368">
        <f>'Unit Savings Calculations'!P404</f>
        <v>600</v>
      </c>
      <c r="AP408" s="364" t="s">
        <v>764</v>
      </c>
      <c r="AQ408" s="366">
        <f t="shared" si="188"/>
        <v>56400</v>
      </c>
      <c r="AR408" s="367">
        <f t="shared" si="189"/>
        <v>0</v>
      </c>
      <c r="AS408" s="364"/>
      <c r="AT408" s="364"/>
      <c r="AU408" s="368">
        <f>'Unit Savings Calculations'!Q404</f>
        <v>600</v>
      </c>
      <c r="AV408" s="364" t="str">
        <f t="shared" si="176"/>
        <v>n/a</v>
      </c>
      <c r="AW408" s="366">
        <f t="shared" si="190"/>
        <v>56400</v>
      </c>
      <c r="AX408" s="367">
        <f t="shared" si="191"/>
        <v>0</v>
      </c>
      <c r="AY408" s="292">
        <f t="shared" si="177"/>
        <v>56400</v>
      </c>
      <c r="AZ408" s="292">
        <f t="shared" si="178"/>
        <v>56400</v>
      </c>
      <c r="BA408" s="292">
        <f t="shared" si="179"/>
        <v>56400</v>
      </c>
      <c r="BB408" s="292">
        <f t="shared" si="180"/>
        <v>56400</v>
      </c>
      <c r="BC408" s="294">
        <f t="shared" si="181"/>
        <v>225600</v>
      </c>
      <c r="BD408" s="287" t="s">
        <v>764</v>
      </c>
      <c r="BE408" s="295" t="str">
        <f t="shared" si="182"/>
        <v>Custom</v>
      </c>
      <c r="BF408" s="297"/>
    </row>
    <row r="409" spans="1:58" ht="13.5" customHeight="1">
      <c r="A409" s="287" t="str">
        <f>'Unit Savings Calculations'!C405</f>
        <v>Low Income - MF Retrofit</v>
      </c>
      <c r="B409" s="287" t="str">
        <f>'Unit Savings Calculations'!D405</f>
        <v>Attic Insulation &amp; Air Sealing</v>
      </c>
      <c r="C409" s="288">
        <f t="shared" si="170"/>
        <v>0</v>
      </c>
      <c r="D409" s="287" t="str">
        <f>'Unit Savings Calculations'!T405</f>
        <v>Custom</v>
      </c>
      <c r="E409" s="287">
        <f>INDEX('Unit Savings Calculations'!$H$4:$H$421,MATCH('Measure-Level Adjustments Tab'!$A409&amp;"_"&amp;'Measure-Level Adjustments Tab'!$B409,'Unit Savings Calculations'!$A$4:$A$421,0))</f>
        <v>15</v>
      </c>
      <c r="F409" s="287">
        <f>INDEX('Unit Savings Calculations'!$I$4:$I$421,MATCH('Measure-Level Adjustments Tab'!A409&amp;"_"&amp;'Measure-Level Adjustments Tab'!B409,'Unit Savings Calculations'!$A$4:$A$421,0))</f>
        <v>20</v>
      </c>
      <c r="G409" s="287" t="str">
        <f>'Unit Savings Calculations'!E405</f>
        <v>each</v>
      </c>
      <c r="H409" s="289">
        <f>'Unit Savings Calculations'!$F405*'Unit Savings Calculations'!J405</f>
        <v>94</v>
      </c>
      <c r="I409" s="289">
        <f>'Unit Savings Calculations'!$F405*'Unit Savings Calculations'!K405</f>
        <v>94</v>
      </c>
      <c r="J409" s="289">
        <f>'Unit Savings Calculations'!$F405*'Unit Savings Calculations'!L405</f>
        <v>94</v>
      </c>
      <c r="K409" s="289">
        <f>'Unit Savings Calculations'!$F405*'Unit Savings Calculations'!M405</f>
        <v>94</v>
      </c>
      <c r="L409" s="287" t="str">
        <f>'Unit Savings Calculations'!U405</f>
        <v>Custom</v>
      </c>
      <c r="M409" s="287" t="str">
        <f>'Unit Savings Calculations'!S405</f>
        <v>Custom</v>
      </c>
      <c r="N409" s="290">
        <v>1400</v>
      </c>
      <c r="O409" s="290">
        <v>1400</v>
      </c>
      <c r="P409" s="290">
        <v>1400</v>
      </c>
      <c r="Q409" s="290">
        <v>1400</v>
      </c>
      <c r="R409" s="291">
        <f>'Unit Savings Calculations'!$G405</f>
        <v>1</v>
      </c>
      <c r="S409" s="291">
        <f>'Unit Savings Calculations'!$G405</f>
        <v>1</v>
      </c>
      <c r="T409" s="291">
        <f>'Unit Savings Calculations'!$G405</f>
        <v>1</v>
      </c>
      <c r="U409" s="291">
        <f>'Unit Savings Calculations'!$G405</f>
        <v>1</v>
      </c>
      <c r="V409" s="292">
        <f t="shared" si="171"/>
        <v>131600</v>
      </c>
      <c r="W409" s="292">
        <f t="shared" si="172"/>
        <v>131600</v>
      </c>
      <c r="X409" s="292">
        <f t="shared" si="173"/>
        <v>131600</v>
      </c>
      <c r="Y409" s="292">
        <f t="shared" si="174"/>
        <v>131600</v>
      </c>
      <c r="Z409" s="292">
        <f t="shared" si="175"/>
        <v>526400</v>
      </c>
      <c r="AA409" s="364"/>
      <c r="AB409" s="364"/>
      <c r="AC409" s="365">
        <f>'Unit Savings Calculations'!N405</f>
        <v>1400</v>
      </c>
      <c r="AD409" s="364"/>
      <c r="AE409" s="366">
        <f t="shared" si="183"/>
        <v>131600</v>
      </c>
      <c r="AF409" s="367">
        <f t="shared" si="184"/>
        <v>0</v>
      </c>
      <c r="AG409" s="364"/>
      <c r="AH409" s="364">
        <f t="shared" si="185"/>
        <v>0</v>
      </c>
      <c r="AI409" s="368">
        <f>'Unit Savings Calculations'!O405</f>
        <v>1400</v>
      </c>
      <c r="AJ409" s="364" t="s">
        <v>872</v>
      </c>
      <c r="AK409" s="366">
        <f t="shared" si="186"/>
        <v>131600</v>
      </c>
      <c r="AL409" s="367">
        <f t="shared" si="187"/>
        <v>0</v>
      </c>
      <c r="AM409" s="364"/>
      <c r="AN409" s="364"/>
      <c r="AO409" s="368">
        <f>'Unit Savings Calculations'!P405</f>
        <v>1400</v>
      </c>
      <c r="AP409" s="364" t="s">
        <v>764</v>
      </c>
      <c r="AQ409" s="366">
        <f t="shared" si="188"/>
        <v>131600</v>
      </c>
      <c r="AR409" s="367">
        <f t="shared" si="189"/>
        <v>0</v>
      </c>
      <c r="AS409" s="364"/>
      <c r="AT409" s="364"/>
      <c r="AU409" s="368">
        <f>'Unit Savings Calculations'!Q405</f>
        <v>1400</v>
      </c>
      <c r="AV409" s="364" t="str">
        <f t="shared" si="176"/>
        <v>n/a</v>
      </c>
      <c r="AW409" s="366">
        <f t="shared" si="190"/>
        <v>131600</v>
      </c>
      <c r="AX409" s="367">
        <f t="shared" si="191"/>
        <v>0</v>
      </c>
      <c r="AY409" s="292">
        <f t="shared" si="177"/>
        <v>131600</v>
      </c>
      <c r="AZ409" s="292">
        <f t="shared" si="178"/>
        <v>131600</v>
      </c>
      <c r="BA409" s="292">
        <f t="shared" si="179"/>
        <v>131600</v>
      </c>
      <c r="BB409" s="292">
        <f t="shared" si="180"/>
        <v>131600</v>
      </c>
      <c r="BC409" s="294">
        <f t="shared" si="181"/>
        <v>526400</v>
      </c>
      <c r="BD409" s="287" t="s">
        <v>764</v>
      </c>
      <c r="BE409" s="295" t="str">
        <f t="shared" si="182"/>
        <v>Custom</v>
      </c>
      <c r="BF409" s="297"/>
    </row>
    <row r="410" spans="1:58" ht="13.5" customHeight="1">
      <c r="A410" s="287" t="str">
        <f>'Unit Savings Calculations'!C406</f>
        <v>Low Income - MF Retrofit</v>
      </c>
      <c r="B410" s="287" t="str">
        <f>'Unit Savings Calculations'!D406</f>
        <v>Wall Insulation</v>
      </c>
      <c r="C410" s="288">
        <f t="shared" si="170"/>
        <v>0</v>
      </c>
      <c r="D410" s="287" t="str">
        <f>'Unit Savings Calculations'!T406</f>
        <v>Custom</v>
      </c>
      <c r="E410" s="287">
        <f>INDEX('Unit Savings Calculations'!$H$4:$H$421,MATCH('Measure-Level Adjustments Tab'!$A410&amp;"_"&amp;'Measure-Level Adjustments Tab'!$B410,'Unit Savings Calculations'!$A$4:$A$421,0))</f>
        <v>25</v>
      </c>
      <c r="F410" s="287">
        <f>INDEX('Unit Savings Calculations'!$I$4:$I$421,MATCH('Measure-Level Adjustments Tab'!A410&amp;"_"&amp;'Measure-Level Adjustments Tab'!B410,'Unit Savings Calculations'!$A$4:$A$421,0))</f>
        <v>20</v>
      </c>
      <c r="G410" s="287" t="str">
        <f>'Unit Savings Calculations'!E406</f>
        <v>each</v>
      </c>
      <c r="H410" s="289">
        <f>'Unit Savings Calculations'!$F406*'Unit Savings Calculations'!J406</f>
        <v>24</v>
      </c>
      <c r="I410" s="289">
        <f>'Unit Savings Calculations'!$F406*'Unit Savings Calculations'!K406</f>
        <v>24</v>
      </c>
      <c r="J410" s="289">
        <f>'Unit Savings Calculations'!$F406*'Unit Savings Calculations'!L406</f>
        <v>24</v>
      </c>
      <c r="K410" s="289">
        <f>'Unit Savings Calculations'!$F406*'Unit Savings Calculations'!M406</f>
        <v>24</v>
      </c>
      <c r="L410" s="287" t="str">
        <f>'Unit Savings Calculations'!U406</f>
        <v>Custom</v>
      </c>
      <c r="M410" s="287" t="str">
        <f>'Unit Savings Calculations'!S406</f>
        <v>Custom</v>
      </c>
      <c r="N410" s="290">
        <v>1500</v>
      </c>
      <c r="O410" s="290">
        <v>1500</v>
      </c>
      <c r="P410" s="290">
        <v>1500</v>
      </c>
      <c r="Q410" s="290">
        <v>1500</v>
      </c>
      <c r="R410" s="291">
        <f>'Unit Savings Calculations'!$G406</f>
        <v>1</v>
      </c>
      <c r="S410" s="291">
        <f>'Unit Savings Calculations'!$G406</f>
        <v>1</v>
      </c>
      <c r="T410" s="291">
        <f>'Unit Savings Calculations'!$G406</f>
        <v>1</v>
      </c>
      <c r="U410" s="291">
        <f>'Unit Savings Calculations'!$G406</f>
        <v>1</v>
      </c>
      <c r="V410" s="292">
        <f t="shared" si="171"/>
        <v>36000</v>
      </c>
      <c r="W410" s="292">
        <f t="shared" si="172"/>
        <v>36000</v>
      </c>
      <c r="X410" s="292">
        <f t="shared" si="173"/>
        <v>36000</v>
      </c>
      <c r="Y410" s="292">
        <f t="shared" si="174"/>
        <v>36000</v>
      </c>
      <c r="Z410" s="292">
        <f t="shared" si="175"/>
        <v>144000</v>
      </c>
      <c r="AA410" s="364"/>
      <c r="AB410" s="364"/>
      <c r="AC410" s="365">
        <f>'Unit Savings Calculations'!N406</f>
        <v>1500</v>
      </c>
      <c r="AD410" s="364"/>
      <c r="AE410" s="366">
        <f t="shared" si="183"/>
        <v>36000</v>
      </c>
      <c r="AF410" s="367">
        <f t="shared" si="184"/>
        <v>0</v>
      </c>
      <c r="AG410" s="364"/>
      <c r="AH410" s="364">
        <f t="shared" si="185"/>
        <v>0</v>
      </c>
      <c r="AI410" s="368">
        <f>'Unit Savings Calculations'!O406</f>
        <v>1500</v>
      </c>
      <c r="AJ410" s="364" t="s">
        <v>872</v>
      </c>
      <c r="AK410" s="366">
        <f t="shared" si="186"/>
        <v>36000</v>
      </c>
      <c r="AL410" s="367">
        <f t="shared" si="187"/>
        <v>0</v>
      </c>
      <c r="AM410" s="364"/>
      <c r="AN410" s="364"/>
      <c r="AO410" s="368">
        <f>'Unit Savings Calculations'!P406</f>
        <v>1500</v>
      </c>
      <c r="AP410" s="364" t="s">
        <v>764</v>
      </c>
      <c r="AQ410" s="366">
        <f t="shared" si="188"/>
        <v>36000</v>
      </c>
      <c r="AR410" s="367">
        <f t="shared" si="189"/>
        <v>0</v>
      </c>
      <c r="AS410" s="364"/>
      <c r="AT410" s="364"/>
      <c r="AU410" s="368">
        <f>'Unit Savings Calculations'!Q406</f>
        <v>1500</v>
      </c>
      <c r="AV410" s="364" t="str">
        <f t="shared" si="176"/>
        <v>n/a</v>
      </c>
      <c r="AW410" s="366">
        <f t="shared" si="190"/>
        <v>36000</v>
      </c>
      <c r="AX410" s="367">
        <f t="shared" si="191"/>
        <v>0</v>
      </c>
      <c r="AY410" s="292">
        <f t="shared" si="177"/>
        <v>36000</v>
      </c>
      <c r="AZ410" s="292">
        <f t="shared" si="178"/>
        <v>36000</v>
      </c>
      <c r="BA410" s="292">
        <f t="shared" si="179"/>
        <v>36000</v>
      </c>
      <c r="BB410" s="292">
        <f t="shared" si="180"/>
        <v>36000</v>
      </c>
      <c r="BC410" s="294">
        <f t="shared" si="181"/>
        <v>144000</v>
      </c>
      <c r="BD410" s="287" t="s">
        <v>764</v>
      </c>
      <c r="BE410" s="295" t="str">
        <f t="shared" si="182"/>
        <v>Custom</v>
      </c>
      <c r="BF410" s="297"/>
    </row>
    <row r="411" spans="1:58" ht="13.5" customHeight="1">
      <c r="A411" s="287" t="str">
        <f>'Unit Savings Calculations'!C407</f>
        <v>Low Income - MF Retrofit</v>
      </c>
      <c r="B411" s="287" t="str">
        <f>'Unit Savings Calculations'!D407</f>
        <v>Pipe Insulation - DHW</v>
      </c>
      <c r="C411" s="288">
        <f t="shared" si="170"/>
        <v>0</v>
      </c>
      <c r="D411" s="287" t="str">
        <f>'Unit Savings Calculations'!T407</f>
        <v>Custom</v>
      </c>
      <c r="E411" s="287">
        <f>INDEX('Unit Savings Calculations'!$H$4:$H$421,MATCH('Measure-Level Adjustments Tab'!$A411&amp;"_"&amp;'Measure-Level Adjustments Tab'!$B411,'Unit Savings Calculations'!$A$4:$A$421,0))</f>
        <v>15</v>
      </c>
      <c r="F411" s="287">
        <f>INDEX('Unit Savings Calculations'!$I$4:$I$421,MATCH('Measure-Level Adjustments Tab'!A411&amp;"_"&amp;'Measure-Level Adjustments Tab'!B411,'Unit Savings Calculations'!$A$4:$A$421,0))</f>
        <v>15</v>
      </c>
      <c r="G411" s="287" t="str">
        <f>'Unit Savings Calculations'!E407</f>
        <v>each</v>
      </c>
      <c r="H411" s="289">
        <f>'Unit Savings Calculations'!$F407*'Unit Savings Calculations'!J407</f>
        <v>63</v>
      </c>
      <c r="I411" s="289">
        <f>'Unit Savings Calculations'!$F407*'Unit Savings Calculations'!K407</f>
        <v>63</v>
      </c>
      <c r="J411" s="289">
        <f>'Unit Savings Calculations'!$F407*'Unit Savings Calculations'!L407</f>
        <v>63</v>
      </c>
      <c r="K411" s="289">
        <f>'Unit Savings Calculations'!$F407*'Unit Savings Calculations'!M407</f>
        <v>63</v>
      </c>
      <c r="L411" s="287" t="str">
        <f>'Unit Savings Calculations'!U407</f>
        <v>Custom</v>
      </c>
      <c r="M411" s="287" t="str">
        <f>'Unit Savings Calculations'!S407</f>
        <v>Custom</v>
      </c>
      <c r="N411" s="290">
        <v>700</v>
      </c>
      <c r="O411" s="290">
        <v>700</v>
      </c>
      <c r="P411" s="290">
        <v>700</v>
      </c>
      <c r="Q411" s="290">
        <v>700</v>
      </c>
      <c r="R411" s="291">
        <f>'Unit Savings Calculations'!$G407</f>
        <v>1</v>
      </c>
      <c r="S411" s="291">
        <f>'Unit Savings Calculations'!$G407</f>
        <v>1</v>
      </c>
      <c r="T411" s="291">
        <f>'Unit Savings Calculations'!$G407</f>
        <v>1</v>
      </c>
      <c r="U411" s="291">
        <f>'Unit Savings Calculations'!$G407</f>
        <v>1</v>
      </c>
      <c r="V411" s="292">
        <f t="shared" si="171"/>
        <v>44100</v>
      </c>
      <c r="W411" s="292">
        <f t="shared" si="172"/>
        <v>44100</v>
      </c>
      <c r="X411" s="292">
        <f t="shared" si="173"/>
        <v>44100</v>
      </c>
      <c r="Y411" s="292">
        <f t="shared" si="174"/>
        <v>44100</v>
      </c>
      <c r="Z411" s="292">
        <f t="shared" si="175"/>
        <v>176400</v>
      </c>
      <c r="AA411" s="364"/>
      <c r="AB411" s="364"/>
      <c r="AC411" s="365">
        <f>'Unit Savings Calculations'!N407</f>
        <v>700</v>
      </c>
      <c r="AD411" s="364"/>
      <c r="AE411" s="366">
        <f t="shared" si="183"/>
        <v>44100</v>
      </c>
      <c r="AF411" s="367">
        <f t="shared" si="184"/>
        <v>0</v>
      </c>
      <c r="AG411" s="364"/>
      <c r="AH411" s="364">
        <f t="shared" si="185"/>
        <v>0</v>
      </c>
      <c r="AI411" s="368">
        <f>'Unit Savings Calculations'!O407</f>
        <v>700</v>
      </c>
      <c r="AJ411" s="364" t="s">
        <v>872</v>
      </c>
      <c r="AK411" s="366">
        <f t="shared" si="186"/>
        <v>44100</v>
      </c>
      <c r="AL411" s="367">
        <f t="shared" si="187"/>
        <v>0</v>
      </c>
      <c r="AM411" s="364"/>
      <c r="AN411" s="364"/>
      <c r="AO411" s="368">
        <f>'Unit Savings Calculations'!P407</f>
        <v>700</v>
      </c>
      <c r="AP411" s="364" t="s">
        <v>764</v>
      </c>
      <c r="AQ411" s="366">
        <f t="shared" si="188"/>
        <v>44100</v>
      </c>
      <c r="AR411" s="367">
        <f t="shared" si="189"/>
        <v>0</v>
      </c>
      <c r="AS411" s="364"/>
      <c r="AT411" s="364"/>
      <c r="AU411" s="368">
        <f>'Unit Savings Calculations'!Q407</f>
        <v>700</v>
      </c>
      <c r="AV411" s="364" t="str">
        <f t="shared" si="176"/>
        <v>n/a</v>
      </c>
      <c r="AW411" s="366">
        <f t="shared" si="190"/>
        <v>44100</v>
      </c>
      <c r="AX411" s="367">
        <f t="shared" si="191"/>
        <v>0</v>
      </c>
      <c r="AY411" s="292">
        <f t="shared" si="177"/>
        <v>44100</v>
      </c>
      <c r="AZ411" s="292">
        <f t="shared" si="178"/>
        <v>44100</v>
      </c>
      <c r="BA411" s="292">
        <f t="shared" si="179"/>
        <v>44100</v>
      </c>
      <c r="BB411" s="292">
        <f t="shared" si="180"/>
        <v>44100</v>
      </c>
      <c r="BC411" s="294">
        <f t="shared" si="181"/>
        <v>176400</v>
      </c>
      <c r="BD411" s="287" t="s">
        <v>764</v>
      </c>
      <c r="BE411" s="295" t="str">
        <f t="shared" si="182"/>
        <v>Custom</v>
      </c>
      <c r="BF411" s="297"/>
    </row>
    <row r="412" spans="1:58" ht="13.5" customHeight="1">
      <c r="A412" s="287" t="str">
        <f>'Unit Savings Calculations'!C408</f>
        <v>Low Income - MF Retrofit</v>
      </c>
      <c r="B412" s="287" t="str">
        <f>'Unit Savings Calculations'!D408</f>
        <v>Pipe Insulation - Heating</v>
      </c>
      <c r="C412" s="288">
        <f t="shared" si="170"/>
        <v>0</v>
      </c>
      <c r="D412" s="287" t="str">
        <f>'Unit Savings Calculations'!T408</f>
        <v>Custom</v>
      </c>
      <c r="E412" s="287">
        <f>INDEX('Unit Savings Calculations'!$H$4:$H$421,MATCH('Measure-Level Adjustments Tab'!$A412&amp;"_"&amp;'Measure-Level Adjustments Tab'!$B412,'Unit Savings Calculations'!$A$4:$A$421,0))</f>
        <v>15</v>
      </c>
      <c r="F412" s="287">
        <f>INDEX('Unit Savings Calculations'!$I$4:$I$421,MATCH('Measure-Level Adjustments Tab'!A412&amp;"_"&amp;'Measure-Level Adjustments Tab'!B412,'Unit Savings Calculations'!$A$4:$A$421,0))</f>
        <v>15</v>
      </c>
      <c r="G412" s="287" t="str">
        <f>'Unit Savings Calculations'!E408</f>
        <v>each</v>
      </c>
      <c r="H412" s="289">
        <f>'Unit Savings Calculations'!$F408*'Unit Savings Calculations'!J408</f>
        <v>79</v>
      </c>
      <c r="I412" s="289">
        <f>'Unit Savings Calculations'!$F408*'Unit Savings Calculations'!K408</f>
        <v>79</v>
      </c>
      <c r="J412" s="289">
        <f>'Unit Savings Calculations'!$F408*'Unit Savings Calculations'!L408</f>
        <v>79</v>
      </c>
      <c r="K412" s="289">
        <f>'Unit Savings Calculations'!$F408*'Unit Savings Calculations'!M408</f>
        <v>79</v>
      </c>
      <c r="L412" s="287" t="str">
        <f>'Unit Savings Calculations'!U408</f>
        <v>Custom</v>
      </c>
      <c r="M412" s="287" t="str">
        <f>'Unit Savings Calculations'!S408</f>
        <v>Custom</v>
      </c>
      <c r="N412" s="290">
        <v>1100</v>
      </c>
      <c r="O412" s="290">
        <v>1100</v>
      </c>
      <c r="P412" s="290">
        <v>1100</v>
      </c>
      <c r="Q412" s="290">
        <v>1100</v>
      </c>
      <c r="R412" s="291">
        <f>'Unit Savings Calculations'!$G408</f>
        <v>1</v>
      </c>
      <c r="S412" s="291">
        <f>'Unit Savings Calculations'!$G408</f>
        <v>1</v>
      </c>
      <c r="T412" s="291">
        <f>'Unit Savings Calculations'!$G408</f>
        <v>1</v>
      </c>
      <c r="U412" s="291">
        <f>'Unit Savings Calculations'!$G408</f>
        <v>1</v>
      </c>
      <c r="V412" s="292">
        <f t="shared" si="171"/>
        <v>86900</v>
      </c>
      <c r="W412" s="292">
        <f t="shared" si="172"/>
        <v>86900</v>
      </c>
      <c r="X412" s="292">
        <f t="shared" si="173"/>
        <v>86900</v>
      </c>
      <c r="Y412" s="292">
        <f t="shared" si="174"/>
        <v>86900</v>
      </c>
      <c r="Z412" s="292">
        <f t="shared" si="175"/>
        <v>347600</v>
      </c>
      <c r="AA412" s="364"/>
      <c r="AB412" s="364"/>
      <c r="AC412" s="365">
        <f>'Unit Savings Calculations'!N408</f>
        <v>1100</v>
      </c>
      <c r="AD412" s="364"/>
      <c r="AE412" s="366">
        <f t="shared" si="183"/>
        <v>86900</v>
      </c>
      <c r="AF412" s="367">
        <f t="shared" si="184"/>
        <v>0</v>
      </c>
      <c r="AG412" s="364"/>
      <c r="AH412" s="364">
        <f t="shared" si="185"/>
        <v>0</v>
      </c>
      <c r="AI412" s="368">
        <f>'Unit Savings Calculations'!O408</f>
        <v>1100</v>
      </c>
      <c r="AJ412" s="364" t="s">
        <v>872</v>
      </c>
      <c r="AK412" s="366">
        <f t="shared" si="186"/>
        <v>86900</v>
      </c>
      <c r="AL412" s="367">
        <f t="shared" si="187"/>
        <v>0</v>
      </c>
      <c r="AM412" s="364"/>
      <c r="AN412" s="364"/>
      <c r="AO412" s="368">
        <f>'Unit Savings Calculations'!P408</f>
        <v>1100</v>
      </c>
      <c r="AP412" s="364" t="s">
        <v>764</v>
      </c>
      <c r="AQ412" s="366">
        <f t="shared" si="188"/>
        <v>86900</v>
      </c>
      <c r="AR412" s="367">
        <f t="shared" si="189"/>
        <v>0</v>
      </c>
      <c r="AS412" s="364"/>
      <c r="AT412" s="364"/>
      <c r="AU412" s="368">
        <f>'Unit Savings Calculations'!Q408</f>
        <v>1100</v>
      </c>
      <c r="AV412" s="364" t="str">
        <f t="shared" si="176"/>
        <v>n/a</v>
      </c>
      <c r="AW412" s="366">
        <f t="shared" si="190"/>
        <v>86900</v>
      </c>
      <c r="AX412" s="367">
        <f t="shared" si="191"/>
        <v>0</v>
      </c>
      <c r="AY412" s="292">
        <f t="shared" si="177"/>
        <v>86900</v>
      </c>
      <c r="AZ412" s="292">
        <f t="shared" si="178"/>
        <v>86900</v>
      </c>
      <c r="BA412" s="292">
        <f t="shared" si="179"/>
        <v>86900</v>
      </c>
      <c r="BB412" s="292">
        <f t="shared" si="180"/>
        <v>86900</v>
      </c>
      <c r="BC412" s="294">
        <f t="shared" si="181"/>
        <v>347600</v>
      </c>
      <c r="BD412" s="287" t="s">
        <v>764</v>
      </c>
      <c r="BE412" s="295" t="str">
        <f t="shared" si="182"/>
        <v>Custom</v>
      </c>
      <c r="BF412" s="297"/>
    </row>
    <row r="413" spans="1:58" ht="13.5" customHeight="1">
      <c r="A413" s="287" t="str">
        <f>'Unit Savings Calculations'!C409</f>
        <v>Low Income - MF Retrofit</v>
      </c>
      <c r="B413" s="287" t="str">
        <f>'Unit Savings Calculations'!D409</f>
        <v>Boiler Tune-ups</v>
      </c>
      <c r="C413" s="288">
        <f t="shared" ref="C413:C427" si="192">IF(D413="Custom",0,1)</f>
        <v>0</v>
      </c>
      <c r="D413" s="287" t="str">
        <f>'Unit Savings Calculations'!T409</f>
        <v>Custom</v>
      </c>
      <c r="E413" s="287">
        <f>INDEX('Unit Savings Calculations'!$H$4:$H$421,MATCH('Measure-Level Adjustments Tab'!$A413&amp;"_"&amp;'Measure-Level Adjustments Tab'!$B413,'Unit Savings Calculations'!$A$4:$A$421,0))</f>
        <v>3</v>
      </c>
      <c r="F413" s="287">
        <f>INDEX('Unit Savings Calculations'!$I$4:$I$421,MATCH('Measure-Level Adjustments Tab'!A413&amp;"_"&amp;'Measure-Level Adjustments Tab'!B413,'Unit Savings Calculations'!$A$4:$A$421,0))</f>
        <v>3</v>
      </c>
      <c r="G413" s="287" t="str">
        <f>'Unit Savings Calculations'!E409</f>
        <v>each</v>
      </c>
      <c r="H413" s="289">
        <f>'Unit Savings Calculations'!$F409*'Unit Savings Calculations'!J409</f>
        <v>24</v>
      </c>
      <c r="I413" s="289">
        <f>'Unit Savings Calculations'!$F409*'Unit Savings Calculations'!K409</f>
        <v>24</v>
      </c>
      <c r="J413" s="289">
        <f>'Unit Savings Calculations'!$F409*'Unit Savings Calculations'!L409</f>
        <v>24</v>
      </c>
      <c r="K413" s="289">
        <f>'Unit Savings Calculations'!$F409*'Unit Savings Calculations'!M409</f>
        <v>24</v>
      </c>
      <c r="L413" s="287" t="str">
        <f>'Unit Savings Calculations'!U409</f>
        <v>Custom</v>
      </c>
      <c r="M413" s="287" t="str">
        <f>'Unit Savings Calculations'!S409</f>
        <v>Custom</v>
      </c>
      <c r="N413" s="290">
        <v>130</v>
      </c>
      <c r="O413" s="290">
        <v>130</v>
      </c>
      <c r="P413" s="290">
        <v>130</v>
      </c>
      <c r="Q413" s="290">
        <v>130</v>
      </c>
      <c r="R413" s="291">
        <f>'Unit Savings Calculations'!$G409</f>
        <v>1</v>
      </c>
      <c r="S413" s="291">
        <f>'Unit Savings Calculations'!$G409</f>
        <v>1</v>
      </c>
      <c r="T413" s="291">
        <f>'Unit Savings Calculations'!$G409</f>
        <v>1</v>
      </c>
      <c r="U413" s="291">
        <f>'Unit Savings Calculations'!$G409</f>
        <v>1</v>
      </c>
      <c r="V413" s="292">
        <f t="shared" si="171"/>
        <v>3120</v>
      </c>
      <c r="W413" s="292">
        <f t="shared" si="172"/>
        <v>3120</v>
      </c>
      <c r="X413" s="292">
        <f t="shared" si="173"/>
        <v>3120</v>
      </c>
      <c r="Y413" s="292">
        <f t="shared" si="174"/>
        <v>3120</v>
      </c>
      <c r="Z413" s="292">
        <f t="shared" si="175"/>
        <v>12480</v>
      </c>
      <c r="AA413" s="364"/>
      <c r="AB413" s="364"/>
      <c r="AC413" s="365">
        <f>'Unit Savings Calculations'!N409</f>
        <v>130</v>
      </c>
      <c r="AD413" s="364"/>
      <c r="AE413" s="366">
        <f t="shared" si="183"/>
        <v>3120</v>
      </c>
      <c r="AF413" s="367">
        <f t="shared" si="184"/>
        <v>0</v>
      </c>
      <c r="AG413" s="364"/>
      <c r="AH413" s="364">
        <f t="shared" si="185"/>
        <v>0</v>
      </c>
      <c r="AI413" s="368">
        <f>'Unit Savings Calculations'!O409</f>
        <v>130</v>
      </c>
      <c r="AJ413" s="364" t="s">
        <v>872</v>
      </c>
      <c r="AK413" s="366">
        <f t="shared" si="186"/>
        <v>3120</v>
      </c>
      <c r="AL413" s="367">
        <f t="shared" si="187"/>
        <v>0</v>
      </c>
      <c r="AM413" s="364"/>
      <c r="AN413" s="364"/>
      <c r="AO413" s="368">
        <f>'Unit Savings Calculations'!P409</f>
        <v>130</v>
      </c>
      <c r="AP413" s="364" t="s">
        <v>764</v>
      </c>
      <c r="AQ413" s="366">
        <f t="shared" si="188"/>
        <v>3120</v>
      </c>
      <c r="AR413" s="367">
        <f t="shared" si="189"/>
        <v>0</v>
      </c>
      <c r="AS413" s="364"/>
      <c r="AT413" s="364"/>
      <c r="AU413" s="368">
        <f>'Unit Savings Calculations'!Q409</f>
        <v>130</v>
      </c>
      <c r="AV413" s="364" t="str">
        <f t="shared" si="176"/>
        <v>n/a</v>
      </c>
      <c r="AW413" s="366">
        <f t="shared" si="190"/>
        <v>3120</v>
      </c>
      <c r="AX413" s="367">
        <f t="shared" si="191"/>
        <v>0</v>
      </c>
      <c r="AY413" s="292">
        <f t="shared" si="177"/>
        <v>3120</v>
      </c>
      <c r="AZ413" s="292">
        <f t="shared" si="178"/>
        <v>3120</v>
      </c>
      <c r="BA413" s="292">
        <f t="shared" si="179"/>
        <v>3120</v>
      </c>
      <c r="BB413" s="292">
        <f t="shared" si="180"/>
        <v>3120</v>
      </c>
      <c r="BC413" s="294">
        <f t="shared" si="181"/>
        <v>12480</v>
      </c>
      <c r="BD413" s="287" t="s">
        <v>764</v>
      </c>
      <c r="BE413" s="295" t="str">
        <f t="shared" si="182"/>
        <v>Custom</v>
      </c>
      <c r="BF413" s="297"/>
    </row>
    <row r="414" spans="1:58" ht="13.5" customHeight="1">
      <c r="A414" s="287" t="str">
        <f>'Unit Savings Calculations'!C410</f>
        <v>Low Income - MF Retrofit</v>
      </c>
      <c r="B414" s="287" t="str">
        <f>'Unit Savings Calculations'!D410</f>
        <v>Outdoor Resets/Cutouts</v>
      </c>
      <c r="C414" s="288">
        <f t="shared" si="192"/>
        <v>0</v>
      </c>
      <c r="D414" s="287" t="str">
        <f>'Unit Savings Calculations'!T410</f>
        <v>Custom</v>
      </c>
      <c r="E414" s="287">
        <f>INDEX('Unit Savings Calculations'!$H$4:$H$421,MATCH('Measure-Level Adjustments Tab'!$A414&amp;"_"&amp;'Measure-Level Adjustments Tab'!$B414,'Unit Savings Calculations'!$A$4:$A$421,0))</f>
        <v>20</v>
      </c>
      <c r="F414" s="287">
        <f>INDEX('Unit Savings Calculations'!$I$4:$I$421,MATCH('Measure-Level Adjustments Tab'!A414&amp;"_"&amp;'Measure-Level Adjustments Tab'!B414,'Unit Savings Calculations'!$A$4:$A$421,0))</f>
        <v>20</v>
      </c>
      <c r="G414" s="287" t="str">
        <f>'Unit Savings Calculations'!E410</f>
        <v>each</v>
      </c>
      <c r="H414" s="289">
        <f>'Unit Savings Calculations'!$F410*'Unit Savings Calculations'!J410</f>
        <v>9</v>
      </c>
      <c r="I414" s="289">
        <f>'Unit Savings Calculations'!$F410*'Unit Savings Calculations'!K410</f>
        <v>9</v>
      </c>
      <c r="J414" s="289">
        <f>'Unit Savings Calculations'!$F410*'Unit Savings Calculations'!L410</f>
        <v>9</v>
      </c>
      <c r="K414" s="289">
        <f>'Unit Savings Calculations'!$F410*'Unit Savings Calculations'!M410</f>
        <v>9</v>
      </c>
      <c r="L414" s="287" t="str">
        <f>'Unit Savings Calculations'!U410</f>
        <v>Custom</v>
      </c>
      <c r="M414" s="287" t="str">
        <f>'Unit Savings Calculations'!S410</f>
        <v>Custom</v>
      </c>
      <c r="N414" s="290">
        <v>1000</v>
      </c>
      <c r="O414" s="290">
        <v>1000</v>
      </c>
      <c r="P414" s="290">
        <v>1000</v>
      </c>
      <c r="Q414" s="290">
        <v>1000</v>
      </c>
      <c r="R414" s="291">
        <f>'Unit Savings Calculations'!$G410</f>
        <v>1</v>
      </c>
      <c r="S414" s="291">
        <f>'Unit Savings Calculations'!$G410</f>
        <v>1</v>
      </c>
      <c r="T414" s="291">
        <f>'Unit Savings Calculations'!$G410</f>
        <v>1</v>
      </c>
      <c r="U414" s="291">
        <f>'Unit Savings Calculations'!$G410</f>
        <v>1</v>
      </c>
      <c r="V414" s="292">
        <f t="shared" ref="V414:V425" si="193">H414*N414*R414</f>
        <v>9000</v>
      </c>
      <c r="W414" s="292">
        <f t="shared" ref="W414:W425" si="194">I414*O414*S414</f>
        <v>9000</v>
      </c>
      <c r="X414" s="292">
        <f t="shared" ref="X414:X425" si="195">J414*P414*T414</f>
        <v>9000</v>
      </c>
      <c r="Y414" s="292">
        <f t="shared" ref="Y414:Y425" si="196">K414*Q414*U414</f>
        <v>9000</v>
      </c>
      <c r="Z414" s="292">
        <f t="shared" ref="Z414:Z425" si="197">V414+W414+X414+Y414</f>
        <v>36000</v>
      </c>
      <c r="AA414" s="364"/>
      <c r="AB414" s="364"/>
      <c r="AC414" s="365">
        <f>'Unit Savings Calculations'!N410</f>
        <v>1000</v>
      </c>
      <c r="AD414" s="364"/>
      <c r="AE414" s="366">
        <f t="shared" si="183"/>
        <v>9000</v>
      </c>
      <c r="AF414" s="367">
        <f t="shared" si="184"/>
        <v>0</v>
      </c>
      <c r="AG414" s="364"/>
      <c r="AH414" s="364">
        <f t="shared" si="185"/>
        <v>0</v>
      </c>
      <c r="AI414" s="368">
        <f>'Unit Savings Calculations'!O410</f>
        <v>1000</v>
      </c>
      <c r="AJ414" s="364" t="s">
        <v>872</v>
      </c>
      <c r="AK414" s="366">
        <f t="shared" si="186"/>
        <v>9000</v>
      </c>
      <c r="AL414" s="367">
        <f t="shared" si="187"/>
        <v>0</v>
      </c>
      <c r="AM414" s="364"/>
      <c r="AN414" s="364"/>
      <c r="AO414" s="368">
        <f>'Unit Savings Calculations'!P410</f>
        <v>1000</v>
      </c>
      <c r="AP414" s="364" t="s">
        <v>764</v>
      </c>
      <c r="AQ414" s="366">
        <f t="shared" si="188"/>
        <v>9000</v>
      </c>
      <c r="AR414" s="367">
        <f t="shared" si="189"/>
        <v>0</v>
      </c>
      <c r="AS414" s="364"/>
      <c r="AT414" s="364"/>
      <c r="AU414" s="368">
        <f>'Unit Savings Calculations'!Q410</f>
        <v>1000</v>
      </c>
      <c r="AV414" s="364" t="str">
        <f t="shared" si="176"/>
        <v>n/a</v>
      </c>
      <c r="AW414" s="366">
        <f t="shared" si="190"/>
        <v>9000</v>
      </c>
      <c r="AX414" s="367">
        <f t="shared" si="191"/>
        <v>0</v>
      </c>
      <c r="AY414" s="292">
        <f t="shared" si="177"/>
        <v>9000</v>
      </c>
      <c r="AZ414" s="292">
        <f t="shared" si="178"/>
        <v>9000</v>
      </c>
      <c r="BA414" s="292">
        <f t="shared" si="179"/>
        <v>9000</v>
      </c>
      <c r="BB414" s="292">
        <f t="shared" si="180"/>
        <v>9000</v>
      </c>
      <c r="BC414" s="294">
        <f t="shared" si="181"/>
        <v>36000</v>
      </c>
      <c r="BD414" s="287" t="s">
        <v>764</v>
      </c>
      <c r="BE414" s="295" t="str">
        <f t="shared" si="182"/>
        <v>Custom</v>
      </c>
      <c r="BF414" s="297"/>
    </row>
    <row r="415" spans="1:58" ht="13.5" customHeight="1">
      <c r="A415" s="287" t="str">
        <f>'Unit Savings Calculations'!C411</f>
        <v>Low Income - MF Retrofit</v>
      </c>
      <c r="B415" s="287" t="str">
        <f>'Unit Savings Calculations'!D411</f>
        <v>Steam Trap</v>
      </c>
      <c r="C415" s="288">
        <f t="shared" si="192"/>
        <v>0</v>
      </c>
      <c r="D415" s="287" t="str">
        <f>'Unit Savings Calculations'!T411</f>
        <v>Custom</v>
      </c>
      <c r="E415" s="287">
        <f>INDEX('Unit Savings Calculations'!$H$4:$H$421,MATCH('Measure-Level Adjustments Tab'!$A415&amp;"_"&amp;'Measure-Level Adjustments Tab'!$B415,'Unit Savings Calculations'!$A$4:$A$421,0))</f>
        <v>6</v>
      </c>
      <c r="F415" s="287">
        <f>INDEX('Unit Savings Calculations'!$I$4:$I$421,MATCH('Measure-Level Adjustments Tab'!A415&amp;"_"&amp;'Measure-Level Adjustments Tab'!B415,'Unit Savings Calculations'!$A$4:$A$421,0))</f>
        <v>6</v>
      </c>
      <c r="G415" s="287" t="str">
        <f>'Unit Savings Calculations'!E411</f>
        <v>each</v>
      </c>
      <c r="H415" s="289">
        <f>'Unit Savings Calculations'!$F411*'Unit Savings Calculations'!J411</f>
        <v>1200</v>
      </c>
      <c r="I415" s="289">
        <f>'Unit Savings Calculations'!$F411*'Unit Savings Calculations'!K411</f>
        <v>1200</v>
      </c>
      <c r="J415" s="289">
        <f>'Unit Savings Calculations'!$F411*'Unit Savings Calculations'!L411</f>
        <v>1200</v>
      </c>
      <c r="K415" s="289">
        <f>'Unit Savings Calculations'!$F411*'Unit Savings Calculations'!M411</f>
        <v>1200</v>
      </c>
      <c r="L415" s="287" t="str">
        <f>'Unit Savings Calculations'!U411</f>
        <v>Custom</v>
      </c>
      <c r="M415" s="287" t="str">
        <f>'Unit Savings Calculations'!S411</f>
        <v>Custom</v>
      </c>
      <c r="N415" s="290">
        <v>110</v>
      </c>
      <c r="O415" s="290">
        <v>110</v>
      </c>
      <c r="P415" s="290">
        <v>110</v>
      </c>
      <c r="Q415" s="290">
        <v>110</v>
      </c>
      <c r="R415" s="291">
        <f>'Unit Savings Calculations'!$G411</f>
        <v>1</v>
      </c>
      <c r="S415" s="291">
        <f>'Unit Savings Calculations'!$G411</f>
        <v>1</v>
      </c>
      <c r="T415" s="291">
        <f>'Unit Savings Calculations'!$G411</f>
        <v>1</v>
      </c>
      <c r="U415" s="291">
        <f>'Unit Savings Calculations'!$G411</f>
        <v>1</v>
      </c>
      <c r="V415" s="292">
        <f t="shared" si="193"/>
        <v>132000</v>
      </c>
      <c r="W415" s="292">
        <f t="shared" si="194"/>
        <v>132000</v>
      </c>
      <c r="X415" s="292">
        <f t="shared" si="195"/>
        <v>132000</v>
      </c>
      <c r="Y415" s="292">
        <f t="shared" si="196"/>
        <v>132000</v>
      </c>
      <c r="Z415" s="292">
        <f t="shared" si="197"/>
        <v>528000</v>
      </c>
      <c r="AA415" s="364"/>
      <c r="AB415" s="364"/>
      <c r="AC415" s="365">
        <f>'Unit Savings Calculations'!N411</f>
        <v>110</v>
      </c>
      <c r="AD415" s="364"/>
      <c r="AE415" s="366">
        <f t="shared" si="183"/>
        <v>132000</v>
      </c>
      <c r="AF415" s="367">
        <f t="shared" si="184"/>
        <v>0</v>
      </c>
      <c r="AG415" s="364"/>
      <c r="AH415" s="364">
        <f t="shared" si="185"/>
        <v>0</v>
      </c>
      <c r="AI415" s="368">
        <f>'Unit Savings Calculations'!O411</f>
        <v>110</v>
      </c>
      <c r="AJ415" s="364" t="s">
        <v>872</v>
      </c>
      <c r="AK415" s="366">
        <f t="shared" si="186"/>
        <v>132000</v>
      </c>
      <c r="AL415" s="367">
        <f t="shared" si="187"/>
        <v>0</v>
      </c>
      <c r="AM415" s="364"/>
      <c r="AN415" s="364"/>
      <c r="AO415" s="368">
        <f>'Unit Savings Calculations'!P411</f>
        <v>110</v>
      </c>
      <c r="AP415" s="364" t="s">
        <v>764</v>
      </c>
      <c r="AQ415" s="366">
        <f t="shared" si="188"/>
        <v>132000</v>
      </c>
      <c r="AR415" s="367">
        <f t="shared" si="189"/>
        <v>0</v>
      </c>
      <c r="AS415" s="364"/>
      <c r="AT415" s="364"/>
      <c r="AU415" s="368">
        <f>'Unit Savings Calculations'!Q411</f>
        <v>110</v>
      </c>
      <c r="AV415" s="364" t="str">
        <f t="shared" si="176"/>
        <v>n/a</v>
      </c>
      <c r="AW415" s="366">
        <f t="shared" si="190"/>
        <v>132000</v>
      </c>
      <c r="AX415" s="367">
        <f t="shared" si="191"/>
        <v>0</v>
      </c>
      <c r="AY415" s="292">
        <f t="shared" si="177"/>
        <v>132000</v>
      </c>
      <c r="AZ415" s="292">
        <f t="shared" si="178"/>
        <v>132000</v>
      </c>
      <c r="BA415" s="292">
        <f t="shared" si="179"/>
        <v>132000</v>
      </c>
      <c r="BB415" s="292">
        <f t="shared" si="180"/>
        <v>132000</v>
      </c>
      <c r="BC415" s="294">
        <f t="shared" si="181"/>
        <v>528000</v>
      </c>
      <c r="BD415" s="287" t="s">
        <v>764</v>
      </c>
      <c r="BE415" s="295" t="str">
        <f t="shared" si="182"/>
        <v>Custom</v>
      </c>
      <c r="BF415" s="297"/>
    </row>
    <row r="416" spans="1:58" ht="13.5" customHeight="1">
      <c r="A416" s="287" t="str">
        <f>'Unit Savings Calculations'!C412</f>
        <v>Low Income - MF Retrofit</v>
      </c>
      <c r="B416" s="287" t="str">
        <f>'Unit Savings Calculations'!D412</f>
        <v>Controls for Central DHW Pumps</v>
      </c>
      <c r="C416" s="288">
        <f t="shared" si="192"/>
        <v>0</v>
      </c>
      <c r="D416" s="287" t="str">
        <f>'Unit Savings Calculations'!T412</f>
        <v>Custom</v>
      </c>
      <c r="E416" s="287">
        <f>INDEX('Unit Savings Calculations'!$H$4:$H$421,MATCH('Measure-Level Adjustments Tab'!$A416&amp;"_"&amp;'Measure-Level Adjustments Tab'!$B416,'Unit Savings Calculations'!$A$4:$A$421,0))</f>
        <v>15</v>
      </c>
      <c r="F416" s="287">
        <f>INDEX('Unit Savings Calculations'!$I$4:$I$421,MATCH('Measure-Level Adjustments Tab'!A416&amp;"_"&amp;'Measure-Level Adjustments Tab'!B416,'Unit Savings Calculations'!$A$4:$A$421,0))</f>
        <v>15</v>
      </c>
      <c r="G416" s="287" t="str">
        <f>'Unit Savings Calculations'!E412</f>
        <v>each</v>
      </c>
      <c r="H416" s="289">
        <f>'Unit Savings Calculations'!$F412*'Unit Savings Calculations'!J412</f>
        <v>16</v>
      </c>
      <c r="I416" s="289">
        <f>'Unit Savings Calculations'!$F412*'Unit Savings Calculations'!K412</f>
        <v>16</v>
      </c>
      <c r="J416" s="289">
        <f>'Unit Savings Calculations'!$F412*'Unit Savings Calculations'!L412</f>
        <v>16</v>
      </c>
      <c r="K416" s="289">
        <f>'Unit Savings Calculations'!$F412*'Unit Savings Calculations'!M412</f>
        <v>16</v>
      </c>
      <c r="L416" s="287" t="str">
        <f>'Unit Savings Calculations'!U412</f>
        <v>Custom</v>
      </c>
      <c r="M416" s="287" t="str">
        <f>'Unit Savings Calculations'!S412</f>
        <v>Custom</v>
      </c>
      <c r="N416" s="290">
        <v>1300</v>
      </c>
      <c r="O416" s="290">
        <v>1300</v>
      </c>
      <c r="P416" s="290">
        <v>1300</v>
      </c>
      <c r="Q416" s="290">
        <v>1300</v>
      </c>
      <c r="R416" s="291">
        <f>'Unit Savings Calculations'!$G412</f>
        <v>1</v>
      </c>
      <c r="S416" s="291">
        <f>'Unit Savings Calculations'!$G412</f>
        <v>1</v>
      </c>
      <c r="T416" s="291">
        <f>'Unit Savings Calculations'!$G412</f>
        <v>1</v>
      </c>
      <c r="U416" s="291">
        <f>'Unit Savings Calculations'!$G412</f>
        <v>1</v>
      </c>
      <c r="V416" s="292">
        <f t="shared" si="193"/>
        <v>20800</v>
      </c>
      <c r="W416" s="292">
        <f t="shared" si="194"/>
        <v>20800</v>
      </c>
      <c r="X416" s="292">
        <f t="shared" si="195"/>
        <v>20800</v>
      </c>
      <c r="Y416" s="292">
        <f t="shared" si="196"/>
        <v>20800</v>
      </c>
      <c r="Z416" s="292">
        <f t="shared" si="197"/>
        <v>83200</v>
      </c>
      <c r="AA416" s="364"/>
      <c r="AB416" s="364"/>
      <c r="AC416" s="365">
        <f>'Unit Savings Calculations'!N412</f>
        <v>1300</v>
      </c>
      <c r="AD416" s="364"/>
      <c r="AE416" s="366">
        <f t="shared" si="183"/>
        <v>20800</v>
      </c>
      <c r="AF416" s="367">
        <f t="shared" si="184"/>
        <v>0</v>
      </c>
      <c r="AG416" s="364"/>
      <c r="AH416" s="364">
        <f t="shared" si="185"/>
        <v>0</v>
      </c>
      <c r="AI416" s="368">
        <f>'Unit Savings Calculations'!O412</f>
        <v>1300</v>
      </c>
      <c r="AJ416" s="364" t="s">
        <v>872</v>
      </c>
      <c r="AK416" s="366">
        <f t="shared" si="186"/>
        <v>20800</v>
      </c>
      <c r="AL416" s="367">
        <f t="shared" si="187"/>
        <v>0</v>
      </c>
      <c r="AM416" s="364"/>
      <c r="AN416" s="364"/>
      <c r="AO416" s="368">
        <f>'Unit Savings Calculations'!P412</f>
        <v>1300</v>
      </c>
      <c r="AP416" s="364" t="s">
        <v>764</v>
      </c>
      <c r="AQ416" s="366">
        <f t="shared" si="188"/>
        <v>20800</v>
      </c>
      <c r="AR416" s="367">
        <f t="shared" si="189"/>
        <v>0</v>
      </c>
      <c r="AS416" s="364"/>
      <c r="AT416" s="364"/>
      <c r="AU416" s="368">
        <f>'Unit Savings Calculations'!Q412</f>
        <v>1300</v>
      </c>
      <c r="AV416" s="364" t="str">
        <f t="shared" si="176"/>
        <v>n/a</v>
      </c>
      <c r="AW416" s="366">
        <f t="shared" si="190"/>
        <v>20800</v>
      </c>
      <c r="AX416" s="367">
        <f t="shared" si="191"/>
        <v>0</v>
      </c>
      <c r="AY416" s="292">
        <f t="shared" si="177"/>
        <v>20800</v>
      </c>
      <c r="AZ416" s="292">
        <f t="shared" si="178"/>
        <v>20800</v>
      </c>
      <c r="BA416" s="292">
        <f t="shared" si="179"/>
        <v>20800</v>
      </c>
      <c r="BB416" s="292">
        <f t="shared" si="180"/>
        <v>20800</v>
      </c>
      <c r="BC416" s="294">
        <f t="shared" si="181"/>
        <v>83200</v>
      </c>
      <c r="BD416" s="287" t="s">
        <v>764</v>
      </c>
      <c r="BE416" s="295" t="str">
        <f t="shared" si="182"/>
        <v>Custom</v>
      </c>
      <c r="BF416" s="297"/>
    </row>
    <row r="417" spans="1:58" ht="13.5" customHeight="1">
      <c r="A417" s="287" t="str">
        <f>'Unit Savings Calculations'!C413</f>
        <v>Low Income - MF Retrofit</v>
      </c>
      <c r="B417" s="287" t="str">
        <f>'Unit Savings Calculations'!D413</f>
        <v>Steam Boiler Averaging Controls</v>
      </c>
      <c r="C417" s="288">
        <f t="shared" si="192"/>
        <v>0</v>
      </c>
      <c r="D417" s="287" t="str">
        <f>'Unit Savings Calculations'!T413</f>
        <v>Custom</v>
      </c>
      <c r="E417" s="287">
        <f>INDEX('Unit Savings Calculations'!$H$4:$H$421,MATCH('Measure-Level Adjustments Tab'!$A417&amp;"_"&amp;'Measure-Level Adjustments Tab'!$B417,'Unit Savings Calculations'!$A$4:$A$421,0))</f>
        <v>15</v>
      </c>
      <c r="F417" s="287">
        <f>INDEX('Unit Savings Calculations'!$I$4:$I$421,MATCH('Measure-Level Adjustments Tab'!A417&amp;"_"&amp;'Measure-Level Adjustments Tab'!B417,'Unit Savings Calculations'!$A$4:$A$421,0))</f>
        <v>15</v>
      </c>
      <c r="G417" s="287" t="str">
        <f>'Unit Savings Calculations'!E413</f>
        <v>each</v>
      </c>
      <c r="H417" s="289">
        <f>'Unit Savings Calculations'!$F413*'Unit Savings Calculations'!J413</f>
        <v>25</v>
      </c>
      <c r="I417" s="289">
        <f>'Unit Savings Calculations'!$F413*'Unit Savings Calculations'!K413</f>
        <v>25</v>
      </c>
      <c r="J417" s="289">
        <f>'Unit Savings Calculations'!$F413*'Unit Savings Calculations'!L413</f>
        <v>25</v>
      </c>
      <c r="K417" s="289">
        <f>'Unit Savings Calculations'!$F413*'Unit Savings Calculations'!M413</f>
        <v>25</v>
      </c>
      <c r="L417" s="287" t="str">
        <f>'Unit Savings Calculations'!U413</f>
        <v>Custom</v>
      </c>
      <c r="M417" s="287" t="str">
        <f>'Unit Savings Calculations'!S413</f>
        <v>Custom</v>
      </c>
      <c r="N417" s="290">
        <v>1200</v>
      </c>
      <c r="O417" s="290">
        <v>1200</v>
      </c>
      <c r="P417" s="290">
        <v>1200</v>
      </c>
      <c r="Q417" s="290">
        <v>1200</v>
      </c>
      <c r="R417" s="291">
        <f>'Unit Savings Calculations'!$G413</f>
        <v>1</v>
      </c>
      <c r="S417" s="291">
        <f>'Unit Savings Calculations'!$G413</f>
        <v>1</v>
      </c>
      <c r="T417" s="291">
        <f>'Unit Savings Calculations'!$G413</f>
        <v>1</v>
      </c>
      <c r="U417" s="291">
        <f>'Unit Savings Calculations'!$G413</f>
        <v>1</v>
      </c>
      <c r="V417" s="292">
        <f t="shared" si="193"/>
        <v>30000</v>
      </c>
      <c r="W417" s="292">
        <f t="shared" si="194"/>
        <v>30000</v>
      </c>
      <c r="X417" s="292">
        <f t="shared" si="195"/>
        <v>30000</v>
      </c>
      <c r="Y417" s="292">
        <f t="shared" si="196"/>
        <v>30000</v>
      </c>
      <c r="Z417" s="292">
        <f t="shared" si="197"/>
        <v>120000</v>
      </c>
      <c r="AA417" s="364"/>
      <c r="AB417" s="364"/>
      <c r="AC417" s="365">
        <f>'Unit Savings Calculations'!N413</f>
        <v>1200</v>
      </c>
      <c r="AD417" s="364"/>
      <c r="AE417" s="366">
        <f t="shared" si="183"/>
        <v>30000</v>
      </c>
      <c r="AF417" s="367">
        <f t="shared" si="184"/>
        <v>0</v>
      </c>
      <c r="AG417" s="364"/>
      <c r="AH417" s="364">
        <f t="shared" si="185"/>
        <v>0</v>
      </c>
      <c r="AI417" s="368">
        <f>'Unit Savings Calculations'!O413</f>
        <v>1200</v>
      </c>
      <c r="AJ417" s="364" t="s">
        <v>872</v>
      </c>
      <c r="AK417" s="366">
        <f t="shared" si="186"/>
        <v>30000</v>
      </c>
      <c r="AL417" s="367">
        <f t="shared" si="187"/>
        <v>0</v>
      </c>
      <c r="AM417" s="364"/>
      <c r="AN417" s="364"/>
      <c r="AO417" s="368">
        <f>'Unit Savings Calculations'!P413</f>
        <v>1200</v>
      </c>
      <c r="AP417" s="364" t="s">
        <v>764</v>
      </c>
      <c r="AQ417" s="366">
        <f t="shared" si="188"/>
        <v>30000</v>
      </c>
      <c r="AR417" s="367">
        <f t="shared" si="189"/>
        <v>0</v>
      </c>
      <c r="AS417" s="364"/>
      <c r="AT417" s="364"/>
      <c r="AU417" s="368">
        <f>'Unit Savings Calculations'!Q413</f>
        <v>1200</v>
      </c>
      <c r="AV417" s="364" t="str">
        <f t="shared" si="176"/>
        <v>n/a</v>
      </c>
      <c r="AW417" s="366">
        <f t="shared" si="190"/>
        <v>30000</v>
      </c>
      <c r="AX417" s="367">
        <f t="shared" si="191"/>
        <v>0</v>
      </c>
      <c r="AY417" s="292">
        <f t="shared" si="177"/>
        <v>30000</v>
      </c>
      <c r="AZ417" s="292">
        <f t="shared" si="178"/>
        <v>30000</v>
      </c>
      <c r="BA417" s="292">
        <f t="shared" si="179"/>
        <v>30000</v>
      </c>
      <c r="BB417" s="292">
        <f t="shared" si="180"/>
        <v>30000</v>
      </c>
      <c r="BC417" s="294">
        <f t="shared" si="181"/>
        <v>120000</v>
      </c>
      <c r="BD417" s="287" t="s">
        <v>764</v>
      </c>
      <c r="BE417" s="295" t="str">
        <f t="shared" si="182"/>
        <v>Custom</v>
      </c>
      <c r="BF417" s="297"/>
    </row>
    <row r="418" spans="1:58" ht="13.5" customHeight="1">
      <c r="A418" s="287" t="str">
        <f>'Unit Savings Calculations'!C414</f>
        <v>Low Income - MF Retrofit</v>
      </c>
      <c r="B418" s="287" t="str">
        <f>'Unit Savings Calculations'!D414</f>
        <v>Boiler Replacement</v>
      </c>
      <c r="C418" s="288">
        <f t="shared" si="192"/>
        <v>0</v>
      </c>
      <c r="D418" s="287" t="str">
        <f>'Unit Savings Calculations'!T414</f>
        <v>Custom</v>
      </c>
      <c r="E418" s="287">
        <f>INDEX('Unit Savings Calculations'!$H$4:$H$421,MATCH('Measure-Level Adjustments Tab'!$A418&amp;"_"&amp;'Measure-Level Adjustments Tab'!$B418,'Unit Savings Calculations'!$A$4:$A$421,0))</f>
        <v>20</v>
      </c>
      <c r="F418" s="287">
        <f>INDEX('Unit Savings Calculations'!$I$4:$I$421,MATCH('Measure-Level Adjustments Tab'!A418&amp;"_"&amp;'Measure-Level Adjustments Tab'!B418,'Unit Savings Calculations'!$A$4:$A$421,0))</f>
        <v>20</v>
      </c>
      <c r="G418" s="287" t="str">
        <f>'Unit Savings Calculations'!E414</f>
        <v>each</v>
      </c>
      <c r="H418" s="289">
        <f>'Unit Savings Calculations'!$F414*'Unit Savings Calculations'!J414</f>
        <v>16</v>
      </c>
      <c r="I418" s="289">
        <f>'Unit Savings Calculations'!$F414*'Unit Savings Calculations'!K414</f>
        <v>16</v>
      </c>
      <c r="J418" s="289">
        <f>'Unit Savings Calculations'!$F414*'Unit Savings Calculations'!L414</f>
        <v>16</v>
      </c>
      <c r="K418" s="289">
        <f>'Unit Savings Calculations'!$F414*'Unit Savings Calculations'!M414</f>
        <v>16</v>
      </c>
      <c r="L418" s="287" t="str">
        <f>'Unit Savings Calculations'!U414</f>
        <v>Custom</v>
      </c>
      <c r="M418" s="287" t="str">
        <f>'Unit Savings Calculations'!S414</f>
        <v>Custom</v>
      </c>
      <c r="N418" s="290">
        <v>1300</v>
      </c>
      <c r="O418" s="290">
        <v>1300</v>
      </c>
      <c r="P418" s="290">
        <v>1300</v>
      </c>
      <c r="Q418" s="290">
        <v>1300</v>
      </c>
      <c r="R418" s="291">
        <f>'Unit Savings Calculations'!$G414</f>
        <v>1</v>
      </c>
      <c r="S418" s="291">
        <f>'Unit Savings Calculations'!$G414</f>
        <v>1</v>
      </c>
      <c r="T418" s="291">
        <f>'Unit Savings Calculations'!$G414</f>
        <v>1</v>
      </c>
      <c r="U418" s="291">
        <f>'Unit Savings Calculations'!$G414</f>
        <v>1</v>
      </c>
      <c r="V418" s="292">
        <f t="shared" si="193"/>
        <v>20800</v>
      </c>
      <c r="W418" s="292">
        <f t="shared" si="194"/>
        <v>20800</v>
      </c>
      <c r="X418" s="292">
        <f t="shared" si="195"/>
        <v>20800</v>
      </c>
      <c r="Y418" s="292">
        <f t="shared" si="196"/>
        <v>20800</v>
      </c>
      <c r="Z418" s="292">
        <f t="shared" si="197"/>
        <v>83200</v>
      </c>
      <c r="AA418" s="364"/>
      <c r="AB418" s="364"/>
      <c r="AC418" s="365">
        <f>'Unit Savings Calculations'!N414</f>
        <v>1300</v>
      </c>
      <c r="AD418" s="364"/>
      <c r="AE418" s="366">
        <f t="shared" si="183"/>
        <v>20800</v>
      </c>
      <c r="AF418" s="367">
        <f t="shared" si="184"/>
        <v>0</v>
      </c>
      <c r="AG418" s="364"/>
      <c r="AH418" s="364">
        <f t="shared" si="185"/>
        <v>0</v>
      </c>
      <c r="AI418" s="368">
        <f>'Unit Savings Calculations'!O414</f>
        <v>1300</v>
      </c>
      <c r="AJ418" s="364" t="s">
        <v>872</v>
      </c>
      <c r="AK418" s="366">
        <f t="shared" si="186"/>
        <v>20800</v>
      </c>
      <c r="AL418" s="367">
        <f t="shared" si="187"/>
        <v>0</v>
      </c>
      <c r="AM418" s="364"/>
      <c r="AN418" s="364"/>
      <c r="AO418" s="368">
        <f>'Unit Savings Calculations'!P414</f>
        <v>1300</v>
      </c>
      <c r="AP418" s="364" t="s">
        <v>764</v>
      </c>
      <c r="AQ418" s="366">
        <f t="shared" si="188"/>
        <v>20800</v>
      </c>
      <c r="AR418" s="367">
        <f t="shared" si="189"/>
        <v>0</v>
      </c>
      <c r="AS418" s="364"/>
      <c r="AT418" s="364"/>
      <c r="AU418" s="368">
        <f>'Unit Savings Calculations'!Q414</f>
        <v>1300</v>
      </c>
      <c r="AV418" s="364" t="str">
        <f t="shared" si="176"/>
        <v>n/a</v>
      </c>
      <c r="AW418" s="366">
        <f t="shared" si="190"/>
        <v>20800</v>
      </c>
      <c r="AX418" s="367">
        <f t="shared" si="191"/>
        <v>0</v>
      </c>
      <c r="AY418" s="292">
        <f t="shared" si="177"/>
        <v>20800</v>
      </c>
      <c r="AZ418" s="292">
        <f t="shared" si="178"/>
        <v>20800</v>
      </c>
      <c r="BA418" s="292">
        <f t="shared" si="179"/>
        <v>20800</v>
      </c>
      <c r="BB418" s="292">
        <f t="shared" si="180"/>
        <v>20800</v>
      </c>
      <c r="BC418" s="294">
        <f t="shared" si="181"/>
        <v>83200</v>
      </c>
      <c r="BD418" s="287" t="s">
        <v>764</v>
      </c>
      <c r="BE418" s="295" t="str">
        <f t="shared" si="182"/>
        <v>Custom</v>
      </c>
      <c r="BF418" s="297"/>
    </row>
    <row r="419" spans="1:58" ht="13.5" customHeight="1">
      <c r="A419" s="287" t="str">
        <f>'Unit Savings Calculations'!C415</f>
        <v>Low Income - MF Retrofit</v>
      </c>
      <c r="B419" s="287" t="str">
        <f>'Unit Savings Calculations'!D415</f>
        <v>DHW Replacement</v>
      </c>
      <c r="C419" s="288">
        <f t="shared" si="192"/>
        <v>0</v>
      </c>
      <c r="D419" s="287" t="str">
        <f>'Unit Savings Calculations'!T415</f>
        <v>Custom</v>
      </c>
      <c r="E419" s="287">
        <f>INDEX('Unit Savings Calculations'!$H$4:$H$421,MATCH('Measure-Level Adjustments Tab'!$A419&amp;"_"&amp;'Measure-Level Adjustments Tab'!$B419,'Unit Savings Calculations'!$A$4:$A$421,0))</f>
        <v>15</v>
      </c>
      <c r="F419" s="287">
        <f>INDEX('Unit Savings Calculations'!$I$4:$I$421,MATCH('Measure-Level Adjustments Tab'!A419&amp;"_"&amp;'Measure-Level Adjustments Tab'!B419,'Unit Savings Calculations'!$A$4:$A$421,0))</f>
        <v>15</v>
      </c>
      <c r="G419" s="287" t="str">
        <f>'Unit Savings Calculations'!E415</f>
        <v>each</v>
      </c>
      <c r="H419" s="289">
        <f>'Unit Savings Calculations'!$F415*'Unit Savings Calculations'!J415</f>
        <v>11</v>
      </c>
      <c r="I419" s="289">
        <f>'Unit Savings Calculations'!$F415*'Unit Savings Calculations'!K415</f>
        <v>11</v>
      </c>
      <c r="J419" s="289">
        <f>'Unit Savings Calculations'!$F415*'Unit Savings Calculations'!L415</f>
        <v>11</v>
      </c>
      <c r="K419" s="289">
        <f>'Unit Savings Calculations'!$F415*'Unit Savings Calculations'!M415</f>
        <v>11</v>
      </c>
      <c r="L419" s="287" t="str">
        <f>'Unit Savings Calculations'!U415</f>
        <v>Custom</v>
      </c>
      <c r="M419" s="287" t="str">
        <f>'Unit Savings Calculations'!S415</f>
        <v>Custom</v>
      </c>
      <c r="N419" s="290">
        <v>800</v>
      </c>
      <c r="O419" s="290">
        <v>800</v>
      </c>
      <c r="P419" s="290">
        <v>800</v>
      </c>
      <c r="Q419" s="290">
        <v>800</v>
      </c>
      <c r="R419" s="291">
        <f>'Unit Savings Calculations'!$G415</f>
        <v>1</v>
      </c>
      <c r="S419" s="291">
        <f>'Unit Savings Calculations'!$G415</f>
        <v>1</v>
      </c>
      <c r="T419" s="291">
        <f>'Unit Savings Calculations'!$G415</f>
        <v>1</v>
      </c>
      <c r="U419" s="291">
        <f>'Unit Savings Calculations'!$G415</f>
        <v>1</v>
      </c>
      <c r="V419" s="292">
        <f t="shared" si="193"/>
        <v>8800</v>
      </c>
      <c r="W419" s="292">
        <f t="shared" si="194"/>
        <v>8800</v>
      </c>
      <c r="X419" s="292">
        <f t="shared" si="195"/>
        <v>8800</v>
      </c>
      <c r="Y419" s="292">
        <f t="shared" si="196"/>
        <v>8800</v>
      </c>
      <c r="Z419" s="292">
        <f t="shared" si="197"/>
        <v>35200</v>
      </c>
      <c r="AA419" s="364"/>
      <c r="AB419" s="364"/>
      <c r="AC419" s="365">
        <f>'Unit Savings Calculations'!N415</f>
        <v>800</v>
      </c>
      <c r="AD419" s="364"/>
      <c r="AE419" s="366">
        <f t="shared" si="183"/>
        <v>8800</v>
      </c>
      <c r="AF419" s="367">
        <f t="shared" si="184"/>
        <v>0</v>
      </c>
      <c r="AG419" s="364"/>
      <c r="AH419" s="364">
        <f t="shared" si="185"/>
        <v>0</v>
      </c>
      <c r="AI419" s="368">
        <f>'Unit Savings Calculations'!O415</f>
        <v>800</v>
      </c>
      <c r="AJ419" s="364" t="s">
        <v>872</v>
      </c>
      <c r="AK419" s="366">
        <f t="shared" si="186"/>
        <v>8800</v>
      </c>
      <c r="AL419" s="367">
        <f t="shared" si="187"/>
        <v>0</v>
      </c>
      <c r="AM419" s="364"/>
      <c r="AN419" s="364"/>
      <c r="AO419" s="368">
        <f>'Unit Savings Calculations'!P415</f>
        <v>800</v>
      </c>
      <c r="AP419" s="364" t="s">
        <v>764</v>
      </c>
      <c r="AQ419" s="366">
        <f t="shared" si="188"/>
        <v>8800</v>
      </c>
      <c r="AR419" s="367">
        <f t="shared" si="189"/>
        <v>0</v>
      </c>
      <c r="AS419" s="364"/>
      <c r="AT419" s="364"/>
      <c r="AU419" s="368">
        <f>'Unit Savings Calculations'!Q415</f>
        <v>800</v>
      </c>
      <c r="AV419" s="364" t="str">
        <f t="shared" si="176"/>
        <v>n/a</v>
      </c>
      <c r="AW419" s="366">
        <f t="shared" si="190"/>
        <v>8800</v>
      </c>
      <c r="AX419" s="367">
        <f t="shared" si="191"/>
        <v>0</v>
      </c>
      <c r="AY419" s="292">
        <f t="shared" si="177"/>
        <v>8800</v>
      </c>
      <c r="AZ419" s="292">
        <f t="shared" si="178"/>
        <v>8800</v>
      </c>
      <c r="BA419" s="292">
        <f t="shared" si="179"/>
        <v>8800</v>
      </c>
      <c r="BB419" s="292">
        <f t="shared" si="180"/>
        <v>8800</v>
      </c>
      <c r="BC419" s="294">
        <f t="shared" si="181"/>
        <v>35200</v>
      </c>
      <c r="BD419" s="287" t="s">
        <v>764</v>
      </c>
      <c r="BE419" s="295" t="str">
        <f t="shared" si="182"/>
        <v>Custom</v>
      </c>
      <c r="BF419" s="297"/>
    </row>
    <row r="420" spans="1:58" ht="13.5" customHeight="1">
      <c r="A420" s="287" t="str">
        <f>'Unit Savings Calculations'!C416</f>
        <v>Low Income - MF Retrofit</v>
      </c>
      <c r="B420" s="287" t="str">
        <f>'Unit Savings Calculations'!D416</f>
        <v>HVAC Balancing/Optimizing</v>
      </c>
      <c r="C420" s="288">
        <f t="shared" si="192"/>
        <v>0</v>
      </c>
      <c r="D420" s="287" t="str">
        <f>'Unit Savings Calculations'!T416</f>
        <v>Custom</v>
      </c>
      <c r="E420" s="287">
        <f>INDEX('Unit Savings Calculations'!$H$4:$H$421,MATCH('Measure-Level Adjustments Tab'!$A420&amp;"_"&amp;'Measure-Level Adjustments Tab'!$B420,'Unit Savings Calculations'!$A$4:$A$421,0))</f>
        <v>15</v>
      </c>
      <c r="F420" s="287">
        <f>INDEX('Unit Savings Calculations'!$I$4:$I$421,MATCH('Measure-Level Adjustments Tab'!A420&amp;"_"&amp;'Measure-Level Adjustments Tab'!B420,'Unit Savings Calculations'!$A$4:$A$421,0))</f>
        <v>15</v>
      </c>
      <c r="G420" s="287" t="str">
        <f>'Unit Savings Calculations'!E416</f>
        <v>each</v>
      </c>
      <c r="H420" s="289">
        <f>'Unit Savings Calculations'!$F416*'Unit Savings Calculations'!J416</f>
        <v>25</v>
      </c>
      <c r="I420" s="289">
        <f>'Unit Savings Calculations'!$F416*'Unit Savings Calculations'!K416</f>
        <v>25</v>
      </c>
      <c r="J420" s="289">
        <f>'Unit Savings Calculations'!$F416*'Unit Savings Calculations'!L416</f>
        <v>25</v>
      </c>
      <c r="K420" s="289">
        <f>'Unit Savings Calculations'!$F416*'Unit Savings Calculations'!M416</f>
        <v>25</v>
      </c>
      <c r="L420" s="287" t="str">
        <f>'Unit Savings Calculations'!U416</f>
        <v>Custom</v>
      </c>
      <c r="M420" s="287" t="str">
        <f>'Unit Savings Calculations'!S416</f>
        <v>Custom</v>
      </c>
      <c r="N420" s="290">
        <v>680</v>
      </c>
      <c r="O420" s="290">
        <v>680</v>
      </c>
      <c r="P420" s="290">
        <v>680</v>
      </c>
      <c r="Q420" s="290">
        <v>680</v>
      </c>
      <c r="R420" s="291">
        <f>'Unit Savings Calculations'!$G416</f>
        <v>1</v>
      </c>
      <c r="S420" s="291">
        <f>'Unit Savings Calculations'!$G416</f>
        <v>1</v>
      </c>
      <c r="T420" s="291">
        <f>'Unit Savings Calculations'!$G416</f>
        <v>1</v>
      </c>
      <c r="U420" s="291">
        <f>'Unit Savings Calculations'!$G416</f>
        <v>1</v>
      </c>
      <c r="V420" s="292">
        <f t="shared" si="193"/>
        <v>17000</v>
      </c>
      <c r="W420" s="292">
        <f t="shared" si="194"/>
        <v>17000</v>
      </c>
      <c r="X420" s="292">
        <f t="shared" si="195"/>
        <v>17000</v>
      </c>
      <c r="Y420" s="292">
        <f t="shared" si="196"/>
        <v>17000</v>
      </c>
      <c r="Z420" s="292">
        <f t="shared" si="197"/>
        <v>68000</v>
      </c>
      <c r="AA420" s="364"/>
      <c r="AB420" s="364"/>
      <c r="AC420" s="365">
        <f>'Unit Savings Calculations'!N416</f>
        <v>680</v>
      </c>
      <c r="AD420" s="364"/>
      <c r="AE420" s="366">
        <f t="shared" si="183"/>
        <v>17000</v>
      </c>
      <c r="AF420" s="367">
        <f t="shared" si="184"/>
        <v>0</v>
      </c>
      <c r="AG420" s="364"/>
      <c r="AH420" s="364">
        <f t="shared" si="185"/>
        <v>0</v>
      </c>
      <c r="AI420" s="368">
        <f>'Unit Savings Calculations'!O416</f>
        <v>680</v>
      </c>
      <c r="AJ420" s="364" t="s">
        <v>872</v>
      </c>
      <c r="AK420" s="366">
        <f t="shared" si="186"/>
        <v>17000</v>
      </c>
      <c r="AL420" s="367">
        <f t="shared" si="187"/>
        <v>0</v>
      </c>
      <c r="AM420" s="364"/>
      <c r="AN420" s="364"/>
      <c r="AO420" s="368">
        <f>'Unit Savings Calculations'!P416</f>
        <v>680</v>
      </c>
      <c r="AP420" s="364" t="s">
        <v>764</v>
      </c>
      <c r="AQ420" s="366">
        <f t="shared" si="188"/>
        <v>17000</v>
      </c>
      <c r="AR420" s="367">
        <f t="shared" si="189"/>
        <v>0</v>
      </c>
      <c r="AS420" s="364"/>
      <c r="AT420" s="364"/>
      <c r="AU420" s="368">
        <f>'Unit Savings Calculations'!Q416</f>
        <v>680</v>
      </c>
      <c r="AV420" s="364" t="str">
        <f t="shared" si="176"/>
        <v>n/a</v>
      </c>
      <c r="AW420" s="366">
        <f t="shared" si="190"/>
        <v>17000</v>
      </c>
      <c r="AX420" s="367">
        <f t="shared" si="191"/>
        <v>0</v>
      </c>
      <c r="AY420" s="292">
        <f t="shared" si="177"/>
        <v>17000</v>
      </c>
      <c r="AZ420" s="292">
        <f t="shared" si="178"/>
        <v>17000</v>
      </c>
      <c r="BA420" s="292">
        <f t="shared" si="179"/>
        <v>17000</v>
      </c>
      <c r="BB420" s="292">
        <f t="shared" si="180"/>
        <v>17000</v>
      </c>
      <c r="BC420" s="294">
        <f t="shared" si="181"/>
        <v>68000</v>
      </c>
      <c r="BD420" s="287" t="s">
        <v>764</v>
      </c>
      <c r="BE420" s="295" t="str">
        <f t="shared" si="182"/>
        <v>Custom</v>
      </c>
      <c r="BF420" s="297"/>
    </row>
    <row r="421" spans="1:58" ht="13.5" customHeight="1">
      <c r="A421" s="287" t="str">
        <f>'Unit Savings Calculations'!C417</f>
        <v>Low Income - SF New Construction</v>
      </c>
      <c r="B421" s="287" t="str">
        <f>'Unit Savings Calculations'!D417</f>
        <v>Furnace &gt;95% AFUE</v>
      </c>
      <c r="C421" s="288">
        <f t="shared" si="192"/>
        <v>1</v>
      </c>
      <c r="D421" s="287" t="str">
        <f>'Unit Savings Calculations'!T417</f>
        <v>5.3.7</v>
      </c>
      <c r="E421" s="287">
        <f>INDEX('Unit Savings Calculations'!$H$4:$H$421,MATCH('Measure-Level Adjustments Tab'!$A421&amp;"_"&amp;'Measure-Level Adjustments Tab'!$B421,'Unit Savings Calculations'!$A$4:$A$421,0))</f>
        <v>20</v>
      </c>
      <c r="F421" s="287">
        <f>INDEX('Unit Savings Calculations'!$I$4:$I$421,MATCH('Measure-Level Adjustments Tab'!A421&amp;"_"&amp;'Measure-Level Adjustments Tab'!B421,'Unit Savings Calculations'!$A$4:$A$421,0))</f>
        <v>20</v>
      </c>
      <c r="G421" s="287" t="str">
        <f>'Unit Savings Calculations'!E417</f>
        <v>each</v>
      </c>
      <c r="H421" s="289">
        <f>'Unit Savings Calculations'!$F417*'Unit Savings Calculations'!J417</f>
        <v>100</v>
      </c>
      <c r="I421" s="289">
        <f>'Unit Savings Calculations'!$F417*'Unit Savings Calculations'!K417</f>
        <v>100</v>
      </c>
      <c r="J421" s="289">
        <f>'Unit Savings Calculations'!$F417*'Unit Savings Calculations'!L417</f>
        <v>100</v>
      </c>
      <c r="K421" s="289">
        <f>'Unit Savings Calculations'!$F417*'Unit Savings Calculations'!M417</f>
        <v>100</v>
      </c>
      <c r="L421" s="287" t="str">
        <f>'Unit Savings Calculations'!U417</f>
        <v>RS-HVC-GHEF-V07-180101</v>
      </c>
      <c r="M421" s="363" t="s">
        <v>830</v>
      </c>
      <c r="N421" s="290">
        <v>175.86032388663946</v>
      </c>
      <c r="O421" s="290">
        <v>175.86032388663946</v>
      </c>
      <c r="P421" s="290">
        <v>175.86032388663946</v>
      </c>
      <c r="Q421" s="290">
        <v>175.86032388663946</v>
      </c>
      <c r="R421" s="291">
        <f>'Unit Savings Calculations'!$G417</f>
        <v>1</v>
      </c>
      <c r="S421" s="291">
        <f>'Unit Savings Calculations'!$G417</f>
        <v>1</v>
      </c>
      <c r="T421" s="291">
        <f>'Unit Savings Calculations'!$G417</f>
        <v>1</v>
      </c>
      <c r="U421" s="291">
        <f>'Unit Savings Calculations'!$G417</f>
        <v>1</v>
      </c>
      <c r="V421" s="292">
        <f t="shared" si="193"/>
        <v>17586.032388663945</v>
      </c>
      <c r="W421" s="292">
        <f t="shared" si="194"/>
        <v>17586.032388663945</v>
      </c>
      <c r="X421" s="292">
        <f t="shared" si="195"/>
        <v>17586.032388663945</v>
      </c>
      <c r="Y421" s="292">
        <f t="shared" si="196"/>
        <v>17586.032388663945</v>
      </c>
      <c r="Z421" s="292">
        <f t="shared" si="197"/>
        <v>70344.129554655781</v>
      </c>
      <c r="AA421" s="287"/>
      <c r="AB421" s="287"/>
      <c r="AC421" s="293">
        <f>'Unit Savings Calculations'!N417</f>
        <v>156.41025641025624</v>
      </c>
      <c r="AD421" s="287"/>
      <c r="AE421" s="292">
        <f t="shared" si="183"/>
        <v>15641.025641025624</v>
      </c>
      <c r="AF421" s="289">
        <f t="shared" si="184"/>
        <v>-1945.006747638321</v>
      </c>
      <c r="AG421" s="287"/>
      <c r="AH421" s="287">
        <f t="shared" si="185"/>
        <v>0</v>
      </c>
      <c r="AI421" s="290">
        <f>'Unit Savings Calculations'!O417</f>
        <v>156.41025641025624</v>
      </c>
      <c r="AJ421" s="287" t="s">
        <v>994</v>
      </c>
      <c r="AK421" s="292">
        <f t="shared" si="186"/>
        <v>15641.025641025624</v>
      </c>
      <c r="AL421" s="289">
        <f t="shared" si="187"/>
        <v>-1945.006747638321</v>
      </c>
      <c r="AM421" s="287"/>
      <c r="AN421" s="287"/>
      <c r="AO421" s="290">
        <f>'Unit Savings Calculations'!P417</f>
        <v>156.41025641025624</v>
      </c>
      <c r="AP421" s="287" t="s">
        <v>764</v>
      </c>
      <c r="AQ421" s="292">
        <f t="shared" si="188"/>
        <v>15641.025641025624</v>
      </c>
      <c r="AR421" s="289">
        <f t="shared" si="189"/>
        <v>-1945.006747638321</v>
      </c>
      <c r="AS421" s="287"/>
      <c r="AT421" s="287"/>
      <c r="AU421" s="290">
        <f>'Unit Savings Calculations'!Q417</f>
        <v>156.41025641025624</v>
      </c>
      <c r="AV421" s="287" t="str">
        <f t="shared" si="176"/>
        <v>n/a</v>
      </c>
      <c r="AW421" s="292">
        <f t="shared" si="190"/>
        <v>15641.025641025624</v>
      </c>
      <c r="AX421" s="289">
        <f t="shared" si="191"/>
        <v>-1945.006747638321</v>
      </c>
      <c r="AY421" s="292">
        <f t="shared" si="177"/>
        <v>15641.025641025624</v>
      </c>
      <c r="AZ421" s="292">
        <f t="shared" si="178"/>
        <v>15641.025641025624</v>
      </c>
      <c r="BA421" s="292">
        <f t="shared" si="179"/>
        <v>15641.025641025624</v>
      </c>
      <c r="BB421" s="292">
        <f t="shared" si="180"/>
        <v>15641.025641025624</v>
      </c>
      <c r="BC421" s="294">
        <f t="shared" si="181"/>
        <v>62564.102564102497</v>
      </c>
      <c r="BD421" s="287" t="s">
        <v>764</v>
      </c>
      <c r="BE421" s="295" t="str">
        <f t="shared" si="182"/>
        <v>Exhibit 1.5B_R Peoples Gas EEPS_Adjustable_Savings_Goal_Template.xlsx, Unit Savings Calculations Tab</v>
      </c>
      <c r="BF421" s="297"/>
    </row>
    <row r="422" spans="1:58" ht="13.5" customHeight="1">
      <c r="A422" s="287" t="str">
        <f>'Unit Savings Calculations'!C418</f>
        <v>Low Income - SF New Construction</v>
      </c>
      <c r="B422" s="287" t="str">
        <f>'Unit Savings Calculations'!D418</f>
        <v>Water Heater - Storage 0.67 EF</v>
      </c>
      <c r="C422" s="288">
        <f t="shared" si="192"/>
        <v>1</v>
      </c>
      <c r="D422" s="287" t="str">
        <f>'Unit Savings Calculations'!T418</f>
        <v>5.4.2</v>
      </c>
      <c r="E422" s="287">
        <f>INDEX('Unit Savings Calculations'!$H$4:$H$421,MATCH('Measure-Level Adjustments Tab'!$A422&amp;"_"&amp;'Measure-Level Adjustments Tab'!$B422,'Unit Savings Calculations'!$A$4:$A$421,0))</f>
        <v>13</v>
      </c>
      <c r="F422" s="287">
        <f>INDEX('Unit Savings Calculations'!$I$4:$I$421,MATCH('Measure-Level Adjustments Tab'!A422&amp;"_"&amp;'Measure-Level Adjustments Tab'!B422,'Unit Savings Calculations'!$A$4:$A$421,0))</f>
        <v>13</v>
      </c>
      <c r="G422" s="287" t="str">
        <f>'Unit Savings Calculations'!E418</f>
        <v>each</v>
      </c>
      <c r="H422" s="289">
        <f>'Unit Savings Calculations'!$F418*'Unit Savings Calculations'!J418</f>
        <v>100</v>
      </c>
      <c r="I422" s="289">
        <f>'Unit Savings Calculations'!$F418*'Unit Savings Calculations'!K418</f>
        <v>100</v>
      </c>
      <c r="J422" s="289">
        <f>'Unit Savings Calculations'!$F418*'Unit Savings Calculations'!L418</f>
        <v>100</v>
      </c>
      <c r="K422" s="289">
        <f>'Unit Savings Calculations'!$F418*'Unit Savings Calculations'!M418</f>
        <v>100</v>
      </c>
      <c r="L422" s="287" t="str">
        <f>'Unit Savings Calculations'!U418</f>
        <v>RS-HWE-GWHT-V07-180101</v>
      </c>
      <c r="M422" s="363" t="s">
        <v>830</v>
      </c>
      <c r="N422" s="290">
        <v>12.991490464011658</v>
      </c>
      <c r="O422" s="290">
        <v>12.991490464011658</v>
      </c>
      <c r="P422" s="290">
        <v>12.991490464011658</v>
      </c>
      <c r="Q422" s="290">
        <v>12.991490464011658</v>
      </c>
      <c r="R422" s="291">
        <f>'Unit Savings Calculations'!$G418</f>
        <v>1</v>
      </c>
      <c r="S422" s="291">
        <f>'Unit Savings Calculations'!$G418</f>
        <v>1</v>
      </c>
      <c r="T422" s="291">
        <f>'Unit Savings Calculations'!$G418</f>
        <v>1</v>
      </c>
      <c r="U422" s="291">
        <f>'Unit Savings Calculations'!$G418</f>
        <v>1</v>
      </c>
      <c r="V422" s="292">
        <f t="shared" si="193"/>
        <v>1299.1490464011658</v>
      </c>
      <c r="W422" s="292">
        <f t="shared" si="194"/>
        <v>1299.1490464011658</v>
      </c>
      <c r="X422" s="292">
        <f t="shared" si="195"/>
        <v>1299.1490464011658</v>
      </c>
      <c r="Y422" s="292">
        <f t="shared" si="196"/>
        <v>1299.1490464011658</v>
      </c>
      <c r="Z422" s="292">
        <f t="shared" si="197"/>
        <v>5196.5961856046633</v>
      </c>
      <c r="AA422" s="287"/>
      <c r="AB422" s="287"/>
      <c r="AC422" s="293">
        <f>'Unit Savings Calculations'!N418</f>
        <v>15.645447674402874</v>
      </c>
      <c r="AD422" s="287"/>
      <c r="AE422" s="292">
        <f t="shared" si="183"/>
        <v>1564.5447674402874</v>
      </c>
      <c r="AF422" s="289">
        <f t="shared" si="184"/>
        <v>265.39572103912155</v>
      </c>
      <c r="AG422" s="287"/>
      <c r="AH422" s="287">
        <f t="shared" si="185"/>
        <v>0</v>
      </c>
      <c r="AI422" s="290">
        <f>'Unit Savings Calculations'!O418</f>
        <v>15.645447674402874</v>
      </c>
      <c r="AJ422" s="287" t="s">
        <v>1006</v>
      </c>
      <c r="AK422" s="292">
        <f t="shared" si="186"/>
        <v>1564.5447674402874</v>
      </c>
      <c r="AL422" s="289">
        <f t="shared" si="187"/>
        <v>265.39572103912155</v>
      </c>
      <c r="AM422" s="287"/>
      <c r="AN422" s="287"/>
      <c r="AO422" s="290">
        <f>'Unit Savings Calculations'!P418</f>
        <v>15.645447674402874</v>
      </c>
      <c r="AP422" s="287" t="s">
        <v>764</v>
      </c>
      <c r="AQ422" s="292">
        <f t="shared" si="188"/>
        <v>1564.5447674402874</v>
      </c>
      <c r="AR422" s="289">
        <f t="shared" si="189"/>
        <v>265.39572103912155</v>
      </c>
      <c r="AS422" s="287"/>
      <c r="AT422" s="287"/>
      <c r="AU422" s="290">
        <f>'Unit Savings Calculations'!Q418</f>
        <v>15.645447674402874</v>
      </c>
      <c r="AV422" s="287" t="str">
        <f t="shared" si="176"/>
        <v>n/a</v>
      </c>
      <c r="AW422" s="292">
        <f t="shared" si="190"/>
        <v>1564.5447674402874</v>
      </c>
      <c r="AX422" s="289">
        <f t="shared" si="191"/>
        <v>265.39572103912155</v>
      </c>
      <c r="AY422" s="292">
        <f t="shared" si="177"/>
        <v>1564.5447674402874</v>
      </c>
      <c r="AZ422" s="292">
        <f t="shared" si="178"/>
        <v>1564.5447674402874</v>
      </c>
      <c r="BA422" s="292">
        <f t="shared" si="179"/>
        <v>1564.5447674402874</v>
      </c>
      <c r="BB422" s="292">
        <f t="shared" si="180"/>
        <v>1564.5447674402874</v>
      </c>
      <c r="BC422" s="294">
        <f t="shared" si="181"/>
        <v>6258.1790697611495</v>
      </c>
      <c r="BD422" s="287" t="s">
        <v>764</v>
      </c>
      <c r="BE422" s="295" t="str">
        <f t="shared" si="182"/>
        <v>Exhibit 1.5B_R Peoples Gas EEPS_Adjustable_Savings_Goal_Template.xlsx, Unit Savings Calculations Tab</v>
      </c>
      <c r="BF422" s="297"/>
    </row>
    <row r="423" spans="1:58" ht="13.5" customHeight="1">
      <c r="A423" s="287" t="str">
        <f>'Unit Savings Calculations'!C419</f>
        <v>Low Income - SF New Construction</v>
      </c>
      <c r="B423" s="287" t="str">
        <f>'Unit Savings Calculations'!D419</f>
        <v>Programmable Thermostat - Furnace</v>
      </c>
      <c r="C423" s="288">
        <f t="shared" si="192"/>
        <v>1</v>
      </c>
      <c r="D423" s="287" t="str">
        <f>'Unit Savings Calculations'!T419</f>
        <v>5.3.11</v>
      </c>
      <c r="E423" s="287">
        <f>INDEX('Unit Savings Calculations'!$H$4:$H$421,MATCH('Measure-Level Adjustments Tab'!$A423&amp;"_"&amp;'Measure-Level Adjustments Tab'!$B423,'Unit Savings Calculations'!$A$4:$A$421,0))</f>
        <v>5</v>
      </c>
      <c r="F423" s="287">
        <f>INDEX('Unit Savings Calculations'!$I$4:$I$421,MATCH('Measure-Level Adjustments Tab'!A423&amp;"_"&amp;'Measure-Level Adjustments Tab'!B423,'Unit Savings Calculations'!$A$4:$A$421,0))</f>
        <v>8</v>
      </c>
      <c r="G423" s="287" t="str">
        <f>'Unit Savings Calculations'!E419</f>
        <v>each</v>
      </c>
      <c r="H423" s="289">
        <f>'Unit Savings Calculations'!$F419*'Unit Savings Calculations'!J419</f>
        <v>100</v>
      </c>
      <c r="I423" s="289">
        <f>'Unit Savings Calculations'!$F419*'Unit Savings Calculations'!K419</f>
        <v>100</v>
      </c>
      <c r="J423" s="289">
        <f>'Unit Savings Calculations'!$F419*'Unit Savings Calculations'!L419</f>
        <v>100</v>
      </c>
      <c r="K423" s="289">
        <f>'Unit Savings Calculations'!$F419*'Unit Savings Calculations'!M419</f>
        <v>100</v>
      </c>
      <c r="L423" s="287" t="str">
        <f>'Unit Savings Calculations'!U419</f>
        <v>RS-HVC-PROG-V04-180101</v>
      </c>
      <c r="M423" s="363" t="s">
        <v>830</v>
      </c>
      <c r="N423" s="290">
        <v>34.893600000000006</v>
      </c>
      <c r="O423" s="290">
        <v>34.893600000000006</v>
      </c>
      <c r="P423" s="290">
        <v>34.893600000000006</v>
      </c>
      <c r="Q423" s="290">
        <v>34.893600000000006</v>
      </c>
      <c r="R423" s="291">
        <f>'Unit Savings Calculations'!$G419</f>
        <v>1</v>
      </c>
      <c r="S423" s="291">
        <f>'Unit Savings Calculations'!$G419</f>
        <v>1</v>
      </c>
      <c r="T423" s="291">
        <f>'Unit Savings Calculations'!$G419</f>
        <v>1</v>
      </c>
      <c r="U423" s="291">
        <f>'Unit Savings Calculations'!$G419</f>
        <v>1</v>
      </c>
      <c r="V423" s="292">
        <f t="shared" si="193"/>
        <v>3489.3600000000006</v>
      </c>
      <c r="W423" s="292">
        <f t="shared" si="194"/>
        <v>3489.3600000000006</v>
      </c>
      <c r="X423" s="292">
        <f t="shared" si="195"/>
        <v>3489.3600000000006</v>
      </c>
      <c r="Y423" s="292">
        <f t="shared" si="196"/>
        <v>3489.3600000000006</v>
      </c>
      <c r="Z423" s="292">
        <f t="shared" si="197"/>
        <v>13957.440000000002</v>
      </c>
      <c r="AA423" s="287"/>
      <c r="AB423" s="287"/>
      <c r="AC423" s="293">
        <f>'Unit Savings Calculations'!N419</f>
        <v>34.893600000000006</v>
      </c>
      <c r="AD423" s="287"/>
      <c r="AE423" s="292">
        <f t="shared" si="183"/>
        <v>3489.3600000000006</v>
      </c>
      <c r="AF423" s="289">
        <f t="shared" si="184"/>
        <v>0</v>
      </c>
      <c r="AG423" s="287"/>
      <c r="AH423" s="287">
        <f t="shared" si="185"/>
        <v>0</v>
      </c>
      <c r="AI423" s="290">
        <f>'Unit Savings Calculations'!O419</f>
        <v>34.893600000000006</v>
      </c>
      <c r="AJ423" s="287" t="s">
        <v>872</v>
      </c>
      <c r="AK423" s="292">
        <f t="shared" si="186"/>
        <v>3489.3600000000006</v>
      </c>
      <c r="AL423" s="289">
        <f t="shared" si="187"/>
        <v>0</v>
      </c>
      <c r="AM423" s="287"/>
      <c r="AN423" s="287"/>
      <c r="AO423" s="290">
        <f>'Unit Savings Calculations'!P419</f>
        <v>34.893600000000006</v>
      </c>
      <c r="AP423" s="287" t="s">
        <v>764</v>
      </c>
      <c r="AQ423" s="292">
        <f t="shared" si="188"/>
        <v>3489.3600000000006</v>
      </c>
      <c r="AR423" s="289">
        <f t="shared" si="189"/>
        <v>0</v>
      </c>
      <c r="AS423" s="287"/>
      <c r="AT423" s="287"/>
      <c r="AU423" s="290">
        <f>'Unit Savings Calculations'!Q419</f>
        <v>34.893600000000006</v>
      </c>
      <c r="AV423" s="287" t="str">
        <f t="shared" si="176"/>
        <v>n/a</v>
      </c>
      <c r="AW423" s="292">
        <f t="shared" si="190"/>
        <v>3489.3600000000006</v>
      </c>
      <c r="AX423" s="289">
        <f t="shared" si="191"/>
        <v>0</v>
      </c>
      <c r="AY423" s="292">
        <f t="shared" si="177"/>
        <v>3489.3600000000006</v>
      </c>
      <c r="AZ423" s="292">
        <f t="shared" si="178"/>
        <v>3489.3600000000006</v>
      </c>
      <c r="BA423" s="292">
        <f t="shared" si="179"/>
        <v>3489.3600000000006</v>
      </c>
      <c r="BB423" s="292">
        <f t="shared" si="180"/>
        <v>3489.3600000000006</v>
      </c>
      <c r="BC423" s="294">
        <f t="shared" si="181"/>
        <v>13957.440000000002</v>
      </c>
      <c r="BD423" s="287" t="s">
        <v>764</v>
      </c>
      <c r="BE423" s="295" t="str">
        <f t="shared" si="182"/>
        <v>Exhibit 1.5B_R Peoples Gas EEPS_Adjustable_Savings_Goal_Template.xlsx, Unit Savings Calculations Tab</v>
      </c>
      <c r="BF423" s="297"/>
    </row>
    <row r="424" spans="1:58" ht="13.5" customHeight="1">
      <c r="A424" s="287" t="str">
        <f>'Unit Savings Calculations'!C420</f>
        <v>Low Income - SF New Construction</v>
      </c>
      <c r="B424" s="287" t="str">
        <f>'Unit Savings Calculations'!D420</f>
        <v>Duct Sealing</v>
      </c>
      <c r="C424" s="288">
        <f t="shared" si="192"/>
        <v>1</v>
      </c>
      <c r="D424" s="287" t="str">
        <f>'Unit Savings Calculations'!T420</f>
        <v>5.3.4</v>
      </c>
      <c r="E424" s="287">
        <f>INDEX('Unit Savings Calculations'!$H$4:$H$421,MATCH('Measure-Level Adjustments Tab'!$A424&amp;"_"&amp;'Measure-Level Adjustments Tab'!$B424,'Unit Savings Calculations'!$A$4:$A$421,0))</f>
        <v>20</v>
      </c>
      <c r="F424" s="287">
        <f>INDEX('Unit Savings Calculations'!$I$4:$I$421,MATCH('Measure-Level Adjustments Tab'!A424&amp;"_"&amp;'Measure-Level Adjustments Tab'!B424,'Unit Savings Calculations'!$A$4:$A$421,0))</f>
        <v>20</v>
      </c>
      <c r="G424" s="287" t="str">
        <f>'Unit Savings Calculations'!E420</f>
        <v>CFM_25</v>
      </c>
      <c r="H424" s="289">
        <f>'Unit Savings Calculations'!$F420*'Unit Savings Calculations'!J420</f>
        <v>12000</v>
      </c>
      <c r="I424" s="289">
        <f>'Unit Savings Calculations'!$F420*'Unit Savings Calculations'!K420</f>
        <v>12000</v>
      </c>
      <c r="J424" s="289">
        <f>'Unit Savings Calculations'!$F420*'Unit Savings Calculations'!L420</f>
        <v>12000</v>
      </c>
      <c r="K424" s="289">
        <f>'Unit Savings Calculations'!$F420*'Unit Savings Calculations'!M420</f>
        <v>12000</v>
      </c>
      <c r="L424" s="287" t="str">
        <f>'Unit Savings Calculations'!U420</f>
        <v>RS-HVC-DINS-V06-160601</v>
      </c>
      <c r="M424" s="363" t="s">
        <v>830</v>
      </c>
      <c r="N424" s="290">
        <v>0.70950058072009281</v>
      </c>
      <c r="O424" s="290">
        <v>0.70950058072009281</v>
      </c>
      <c r="P424" s="290">
        <v>0.70950058072009281</v>
      </c>
      <c r="Q424" s="290">
        <v>0.70950058072009281</v>
      </c>
      <c r="R424" s="291">
        <f>'Unit Savings Calculations'!$G420</f>
        <v>1</v>
      </c>
      <c r="S424" s="291">
        <f>'Unit Savings Calculations'!$G420</f>
        <v>1</v>
      </c>
      <c r="T424" s="291">
        <f>'Unit Savings Calculations'!$G420</f>
        <v>1</v>
      </c>
      <c r="U424" s="291">
        <f>'Unit Savings Calculations'!$G420</f>
        <v>1</v>
      </c>
      <c r="V424" s="292">
        <f t="shared" si="193"/>
        <v>8514.0069686411134</v>
      </c>
      <c r="W424" s="292">
        <f t="shared" si="194"/>
        <v>8514.0069686411134</v>
      </c>
      <c r="X424" s="292">
        <f t="shared" si="195"/>
        <v>8514.0069686411134</v>
      </c>
      <c r="Y424" s="292">
        <f t="shared" si="196"/>
        <v>8514.0069686411134</v>
      </c>
      <c r="Z424" s="292">
        <f t="shared" si="197"/>
        <v>34056.027874564454</v>
      </c>
      <c r="AA424" s="287"/>
      <c r="AB424" s="287"/>
      <c r="AC424" s="293">
        <f>'Unit Savings Calculations'!N420</f>
        <v>0.70950058072009281</v>
      </c>
      <c r="AD424" s="287"/>
      <c r="AE424" s="292">
        <f t="shared" si="183"/>
        <v>8514.0069686411134</v>
      </c>
      <c r="AF424" s="289">
        <f t="shared" si="184"/>
        <v>0</v>
      </c>
      <c r="AG424" s="287"/>
      <c r="AH424" s="287">
        <f t="shared" si="185"/>
        <v>0</v>
      </c>
      <c r="AI424" s="290">
        <f>'Unit Savings Calculations'!O420</f>
        <v>0.70950058072009281</v>
      </c>
      <c r="AJ424" s="287" t="s">
        <v>872</v>
      </c>
      <c r="AK424" s="292">
        <f t="shared" si="186"/>
        <v>8514.0069686411134</v>
      </c>
      <c r="AL424" s="289">
        <f t="shared" si="187"/>
        <v>0</v>
      </c>
      <c r="AM424" s="287"/>
      <c r="AN424" s="287"/>
      <c r="AO424" s="290">
        <f>'Unit Savings Calculations'!P420</f>
        <v>0.70950058072009281</v>
      </c>
      <c r="AP424" s="287" t="s">
        <v>764</v>
      </c>
      <c r="AQ424" s="292">
        <f t="shared" si="188"/>
        <v>8514.0069686411134</v>
      </c>
      <c r="AR424" s="289">
        <f t="shared" si="189"/>
        <v>0</v>
      </c>
      <c r="AS424" s="287"/>
      <c r="AT424" s="287"/>
      <c r="AU424" s="290">
        <f>'Unit Savings Calculations'!Q420</f>
        <v>0.70950058072009281</v>
      </c>
      <c r="AV424" s="287" t="str">
        <f t="shared" si="176"/>
        <v>n/a</v>
      </c>
      <c r="AW424" s="292">
        <f t="shared" si="190"/>
        <v>8514.0069686411134</v>
      </c>
      <c r="AX424" s="289">
        <f t="shared" si="191"/>
        <v>0</v>
      </c>
      <c r="AY424" s="292">
        <f t="shared" si="177"/>
        <v>8514.0069686411134</v>
      </c>
      <c r="AZ424" s="292">
        <f t="shared" si="178"/>
        <v>8514.0069686411134</v>
      </c>
      <c r="BA424" s="292">
        <f t="shared" si="179"/>
        <v>8514.0069686411134</v>
      </c>
      <c r="BB424" s="292">
        <f t="shared" si="180"/>
        <v>8514.0069686411134</v>
      </c>
      <c r="BC424" s="294">
        <f t="shared" si="181"/>
        <v>34056.027874564454</v>
      </c>
      <c r="BD424" s="287" t="s">
        <v>764</v>
      </c>
      <c r="BE424" s="295" t="str">
        <f t="shared" si="182"/>
        <v>Exhibit 1.5B_R Peoples Gas EEPS_Adjustable_Savings_Goal_Template.xlsx, Unit Savings Calculations Tab</v>
      </c>
      <c r="BF424" s="297"/>
    </row>
    <row r="425" spans="1:58" ht="13.5" customHeight="1">
      <c r="A425" s="287" t="str">
        <f>'Unit Savings Calculations'!C421</f>
        <v>Low Income - MF New Construction</v>
      </c>
      <c r="B425" s="287" t="str">
        <f>'Unit Savings Calculations'!D421</f>
        <v>New Construction</v>
      </c>
      <c r="C425" s="288">
        <f t="shared" si="192"/>
        <v>0</v>
      </c>
      <c r="D425" s="287" t="str">
        <f>'Unit Savings Calculations'!T421</f>
        <v>Custom</v>
      </c>
      <c r="E425" s="287">
        <f>INDEX('Unit Savings Calculations'!$H$4:$H$421,MATCH('Measure-Level Adjustments Tab'!$A425&amp;"_"&amp;'Measure-Level Adjustments Tab'!$B425,'Unit Savings Calculations'!$A$4:$A$421,0))</f>
        <v>15</v>
      </c>
      <c r="F425" s="287">
        <f>INDEX('Unit Savings Calculations'!$I$4:$I$421,MATCH('Measure-Level Adjustments Tab'!A425&amp;"_"&amp;'Measure-Level Adjustments Tab'!B425,'Unit Savings Calculations'!$A$4:$A$421,0))</f>
        <v>15</v>
      </c>
      <c r="G425" s="287" t="str">
        <f>'Unit Savings Calculations'!E421</f>
        <v>each</v>
      </c>
      <c r="H425" s="289">
        <f>'Unit Savings Calculations'!$F421*'Unit Savings Calculations'!J421</f>
        <v>10</v>
      </c>
      <c r="I425" s="289">
        <f>'Unit Savings Calculations'!$F421*'Unit Savings Calculations'!K421</f>
        <v>10</v>
      </c>
      <c r="J425" s="289">
        <f>'Unit Savings Calculations'!$F421*'Unit Savings Calculations'!L421</f>
        <v>10</v>
      </c>
      <c r="K425" s="289">
        <f>'Unit Savings Calculations'!$F421*'Unit Savings Calculations'!M421</f>
        <v>10</v>
      </c>
      <c r="L425" s="287" t="str">
        <f>'Unit Savings Calculations'!U421</f>
        <v>Custom</v>
      </c>
      <c r="M425" s="287" t="str">
        <f>'Unit Savings Calculations'!S421</f>
        <v>Custom</v>
      </c>
      <c r="N425" s="290">
        <v>6100</v>
      </c>
      <c r="O425" s="290">
        <v>6100</v>
      </c>
      <c r="P425" s="290">
        <v>6100</v>
      </c>
      <c r="Q425" s="290">
        <v>6100</v>
      </c>
      <c r="R425" s="291">
        <f>'Unit Savings Calculations'!$G421</f>
        <v>1</v>
      </c>
      <c r="S425" s="291">
        <f>'Unit Savings Calculations'!$G421</f>
        <v>1</v>
      </c>
      <c r="T425" s="291">
        <f>'Unit Savings Calculations'!$G421</f>
        <v>1</v>
      </c>
      <c r="U425" s="291">
        <f>'Unit Savings Calculations'!$G421</f>
        <v>1</v>
      </c>
      <c r="V425" s="292">
        <f t="shared" si="193"/>
        <v>61000</v>
      </c>
      <c r="W425" s="292">
        <f t="shared" si="194"/>
        <v>61000</v>
      </c>
      <c r="X425" s="292">
        <f t="shared" si="195"/>
        <v>61000</v>
      </c>
      <c r="Y425" s="292">
        <f t="shared" si="196"/>
        <v>61000</v>
      </c>
      <c r="Z425" s="292">
        <f t="shared" si="197"/>
        <v>244000</v>
      </c>
      <c r="AA425" s="364"/>
      <c r="AB425" s="364"/>
      <c r="AC425" s="365">
        <f>'Unit Savings Calculations'!N421</f>
        <v>6100</v>
      </c>
      <c r="AD425" s="364"/>
      <c r="AE425" s="366">
        <f t="shared" si="183"/>
        <v>61000</v>
      </c>
      <c r="AF425" s="367">
        <f t="shared" si="184"/>
        <v>0</v>
      </c>
      <c r="AG425" s="364"/>
      <c r="AH425" s="364">
        <f t="shared" si="185"/>
        <v>0</v>
      </c>
      <c r="AI425" s="368">
        <f>'Unit Savings Calculations'!O421</f>
        <v>6100</v>
      </c>
      <c r="AJ425" s="364" t="s">
        <v>872</v>
      </c>
      <c r="AK425" s="366">
        <f t="shared" si="186"/>
        <v>61000</v>
      </c>
      <c r="AL425" s="367">
        <f t="shared" si="187"/>
        <v>0</v>
      </c>
      <c r="AM425" s="364"/>
      <c r="AN425" s="364"/>
      <c r="AO425" s="368">
        <f>'Unit Savings Calculations'!P421</f>
        <v>6100</v>
      </c>
      <c r="AP425" s="364" t="s">
        <v>764</v>
      </c>
      <c r="AQ425" s="366">
        <f t="shared" si="188"/>
        <v>61000</v>
      </c>
      <c r="AR425" s="367">
        <f t="shared" si="189"/>
        <v>0</v>
      </c>
      <c r="AS425" s="364"/>
      <c r="AT425" s="364"/>
      <c r="AU425" s="368">
        <f>'Unit Savings Calculations'!Q421</f>
        <v>6100</v>
      </c>
      <c r="AV425" s="364" t="str">
        <f t="shared" si="176"/>
        <v>n/a</v>
      </c>
      <c r="AW425" s="366">
        <f t="shared" si="190"/>
        <v>61000</v>
      </c>
      <c r="AX425" s="367">
        <f t="shared" si="191"/>
        <v>0</v>
      </c>
      <c r="AY425" s="292">
        <f t="shared" si="177"/>
        <v>61000</v>
      </c>
      <c r="AZ425" s="292">
        <f t="shared" si="178"/>
        <v>61000</v>
      </c>
      <c r="BA425" s="292">
        <f t="shared" si="179"/>
        <v>61000</v>
      </c>
      <c r="BB425" s="292">
        <f t="shared" si="180"/>
        <v>61000</v>
      </c>
      <c r="BC425" s="294">
        <f t="shared" si="181"/>
        <v>244000</v>
      </c>
      <c r="BD425" s="287" t="s">
        <v>764</v>
      </c>
      <c r="BE425" s="295" t="str">
        <f t="shared" si="182"/>
        <v>Custom</v>
      </c>
      <c r="BF425" s="297"/>
    </row>
    <row r="426" spans="1:58" ht="13.5" customHeight="1" thickBot="1">
      <c r="A426" s="287"/>
      <c r="B426" s="287"/>
      <c r="C426" s="288">
        <f t="shared" si="192"/>
        <v>1</v>
      </c>
      <c r="D426" s="348"/>
      <c r="E426" s="287" t="e">
        <f>INDEX('Unit Savings Calculations'!$H$4:$H$421,MATCH('Measure-Level Adjustments Tab'!$A426&amp;"_"&amp;'Measure-Level Adjustments Tab'!$B426,'Unit Savings Calculations'!$A$4:$A$421,0))</f>
        <v>#N/A</v>
      </c>
      <c r="F426" s="287"/>
      <c r="G426" s="348"/>
      <c r="H426" s="349"/>
      <c r="I426" s="349"/>
      <c r="J426" s="349"/>
      <c r="K426" s="349"/>
      <c r="L426" s="348"/>
      <c r="M426" s="348"/>
      <c r="N426" s="350"/>
      <c r="O426" s="350"/>
      <c r="P426" s="350"/>
      <c r="Q426" s="350"/>
      <c r="R426" s="347"/>
      <c r="S426" s="347"/>
      <c r="T426" s="347"/>
      <c r="U426" s="347"/>
      <c r="V426" s="351"/>
      <c r="W426" s="351"/>
      <c r="X426" s="351"/>
      <c r="Y426" s="351"/>
      <c r="Z426" s="347"/>
      <c r="AA426" s="348"/>
      <c r="AB426" s="348"/>
      <c r="AC426" s="352"/>
      <c r="AD426" s="353"/>
      <c r="AE426" s="351"/>
      <c r="AF426" s="348"/>
      <c r="AG426" s="348"/>
      <c r="AH426" s="348"/>
      <c r="AI426" s="350"/>
      <c r="AJ426" s="353"/>
      <c r="AK426" s="351"/>
      <c r="AL426" s="348"/>
      <c r="AM426" s="348"/>
      <c r="AN426" s="348"/>
      <c r="AO426" s="350"/>
      <c r="AP426" s="353"/>
      <c r="AQ426" s="351"/>
      <c r="AR426" s="348"/>
      <c r="AS426" s="348"/>
      <c r="AT426" s="348"/>
      <c r="AU426" s="350"/>
      <c r="AV426" s="353"/>
      <c r="AW426" s="351"/>
      <c r="AX426" s="348"/>
      <c r="AY426" s="292"/>
      <c r="AZ426" s="292"/>
      <c r="BA426" s="292"/>
      <c r="BB426" s="292"/>
      <c r="BC426" s="294"/>
      <c r="BD426" s="287"/>
      <c r="BE426" s="295"/>
      <c r="BF426" s="297"/>
    </row>
    <row r="427" spans="1:58" ht="15" thickTop="1" thickBot="1">
      <c r="A427" s="306" t="s">
        <v>41</v>
      </c>
      <c r="B427" s="307"/>
      <c r="C427" s="288">
        <f t="shared" si="192"/>
        <v>1</v>
      </c>
      <c r="D427" s="298"/>
      <c r="E427" s="287" t="e">
        <f>INDEX('Unit Savings Calculations'!$H$4:$H$421,MATCH('Measure-Level Adjustments Tab'!$A427&amp;"_"&amp;'Measure-Level Adjustments Tab'!$B427,'Unit Savings Calculations'!$A$4:$A$421,0))</f>
        <v>#N/A</v>
      </c>
      <c r="F427" s="287"/>
      <c r="G427" s="298"/>
      <c r="H427" s="300"/>
      <c r="I427" s="300"/>
      <c r="J427" s="300"/>
      <c r="K427" s="300"/>
      <c r="L427" s="298"/>
      <c r="M427" s="298"/>
      <c r="N427" s="301"/>
      <c r="O427" s="301"/>
      <c r="P427" s="301"/>
      <c r="Q427" s="301"/>
      <c r="R427" s="299"/>
      <c r="S427" s="299"/>
      <c r="T427" s="299"/>
      <c r="U427" s="299"/>
      <c r="V427" s="302"/>
      <c r="W427" s="302"/>
      <c r="X427" s="302"/>
      <c r="Y427" s="302"/>
      <c r="Z427" s="299"/>
      <c r="AA427" s="298"/>
      <c r="AB427" s="298"/>
      <c r="AC427" s="303"/>
      <c r="AD427" s="304"/>
      <c r="AE427" s="302"/>
      <c r="AF427" s="298"/>
      <c r="AG427" s="298"/>
      <c r="AH427" s="298"/>
      <c r="AI427" s="301"/>
      <c r="AJ427" s="304"/>
      <c r="AK427" s="302"/>
      <c r="AL427" s="298"/>
      <c r="AM427" s="298"/>
      <c r="AN427" s="298"/>
      <c r="AO427" s="301"/>
      <c r="AP427" s="304"/>
      <c r="AQ427" s="302"/>
      <c r="AR427" s="298"/>
      <c r="AS427" s="298"/>
      <c r="AT427" s="298"/>
      <c r="AU427" s="301"/>
      <c r="AV427" s="304"/>
      <c r="AW427" s="302"/>
      <c r="AX427" s="298"/>
      <c r="AY427" s="302"/>
      <c r="AZ427" s="302"/>
      <c r="BA427" s="302"/>
      <c r="BB427" s="302"/>
      <c r="BC427" s="302"/>
      <c r="BD427" s="298"/>
      <c r="BE427" s="305"/>
      <c r="BF427" s="297"/>
    </row>
    <row r="428" spans="1:58" ht="14.5" thickTop="1">
      <c r="C428" s="308"/>
      <c r="D428" s="309"/>
      <c r="E428" s="309"/>
      <c r="F428" s="309"/>
      <c r="G428" s="309"/>
      <c r="H428" s="309"/>
      <c r="I428" s="309"/>
      <c r="J428" s="309"/>
      <c r="K428" s="309"/>
      <c r="L428" s="309"/>
      <c r="M428" s="309"/>
      <c r="N428" s="309"/>
      <c r="O428" s="309"/>
      <c r="P428" s="309"/>
      <c r="Q428" s="309"/>
      <c r="R428" s="309"/>
      <c r="S428" s="309"/>
      <c r="T428" s="310"/>
      <c r="U428" s="310"/>
      <c r="V428" s="311">
        <f>SUM(V8:V425)</f>
        <v>9868975.2791560777</v>
      </c>
      <c r="W428" s="311">
        <f>SUM(W8:W425)</f>
        <v>9505670.4081856888</v>
      </c>
      <c r="X428" s="311">
        <f>SUM(X8:X425)</f>
        <v>9457540.6548361853</v>
      </c>
      <c r="Y428" s="311">
        <f>SUM(Y8:Y425)</f>
        <v>9493166.8810523525</v>
      </c>
      <c r="Z428" s="312">
        <f>SUM(Z8:Z425)</f>
        <v>38325353.22323031</v>
      </c>
      <c r="AA428" s="313"/>
      <c r="AB428" s="314"/>
      <c r="AC428" s="314"/>
      <c r="AD428" s="314"/>
      <c r="AE428" s="315"/>
      <c r="AF428" s="316">
        <f>SUM(AF8:AF425)</f>
        <v>-169671.31879089205</v>
      </c>
      <c r="AG428" s="313"/>
      <c r="AH428" s="314"/>
      <c r="AI428" s="314"/>
      <c r="AJ428" s="314"/>
      <c r="AK428" s="315"/>
      <c r="AL428" s="316">
        <f>SUM(AL8:AL425)</f>
        <v>-169671.31879089205</v>
      </c>
      <c r="AM428" s="313"/>
      <c r="AN428" s="314"/>
      <c r="AO428" s="314"/>
      <c r="AP428" s="314"/>
      <c r="AQ428" s="315"/>
      <c r="AR428" s="316">
        <f>SUM(AR8:AR425)</f>
        <v>-165604.03605896156</v>
      </c>
      <c r="AS428" s="313"/>
      <c r="AT428" s="314"/>
      <c r="AU428" s="314"/>
      <c r="AV428" s="314"/>
      <c r="AW428" s="315"/>
      <c r="AX428" s="316">
        <f t="shared" ref="AX428:BC428" si="198">SUM(AX8:AX425)</f>
        <v>-169671.31879089205</v>
      </c>
      <c r="AY428" s="317">
        <f t="shared" si="198"/>
        <v>9699303.9603651837</v>
      </c>
      <c r="AZ428" s="318">
        <f t="shared" si="198"/>
        <v>9335999.0893947948</v>
      </c>
      <c r="BA428" s="319">
        <f t="shared" si="198"/>
        <v>9291936.6187772211</v>
      </c>
      <c r="BB428" s="320">
        <f t="shared" si="198"/>
        <v>9323495.5622614603</v>
      </c>
      <c r="BC428" s="321">
        <f t="shared" si="198"/>
        <v>37650735.230798654</v>
      </c>
      <c r="BD428" s="313"/>
      <c r="BE428" s="322"/>
      <c r="BF428" s="297"/>
    </row>
    <row r="429" spans="1:58">
      <c r="Z429" s="323"/>
    </row>
  </sheetData>
  <autoFilter ref="A6:BF428" xr:uid="{FC7478B5-9181-411C-B27F-F38BA19B94F7}"/>
  <mergeCells count="17">
    <mergeCell ref="G4:K4"/>
    <mergeCell ref="G5:K5"/>
    <mergeCell ref="AG4:AL4"/>
    <mergeCell ref="AG5:AJ5"/>
    <mergeCell ref="AM4:AR4"/>
    <mergeCell ref="AM5:AP5"/>
    <mergeCell ref="AA4:AF4"/>
    <mergeCell ref="AA5:AD5"/>
    <mergeCell ref="L5:Q5"/>
    <mergeCell ref="L4:Q4"/>
    <mergeCell ref="R4:Z4"/>
    <mergeCell ref="R5:U5"/>
    <mergeCell ref="V5:Z5"/>
    <mergeCell ref="AS4:AX4"/>
    <mergeCell ref="AS5:AV5"/>
    <mergeCell ref="BD4:BE4"/>
    <mergeCell ref="AY4:BC5"/>
  </mergeCells>
  <printOptions headings="1" gridLines="1"/>
  <pageMargins left="0.25" right="0.25" top="0.75" bottom="0.75" header="0.3" footer="0.3"/>
  <pageSetup scale="29" fitToWidth="5" orientation="landscape" r:id="rId1"/>
  <headerFooter>
    <oddFooter>&amp;L&amp;"Arial,Regular"&amp;14&amp;A
&amp;F&amp;C&amp;"Arial,Regular"&amp;14&amp;P</oddFooter>
  </headerFooter>
  <rowBreaks count="1" manualBreakCount="1">
    <brk id="319" max="54" man="1"/>
  </rowBreaks>
  <colBreaks count="4" manualBreakCount="4">
    <brk id="13" max="427" man="1"/>
    <brk id="26" max="26" man="1"/>
    <brk id="38" max="26" man="1"/>
    <brk id="50" max="26"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B0213-C2F7-4703-9E73-1379B937D9C4}">
  <dimension ref="C3:H11"/>
  <sheetViews>
    <sheetView view="pageBreakPreview" zoomScale="60" zoomScaleNormal="100" workbookViewId="0"/>
  </sheetViews>
  <sheetFormatPr defaultColWidth="9.1796875" defaultRowHeight="14.5"/>
  <cols>
    <col min="1" max="2" width="9.1796875" style="464"/>
    <col min="3" max="3" width="33.54296875" style="464" customWidth="1"/>
    <col min="4" max="6" width="14.54296875" style="464" customWidth="1"/>
    <col min="7" max="7" width="12" style="464" customWidth="1"/>
    <col min="8" max="8" width="11.7265625" style="464" customWidth="1"/>
    <col min="9" max="16384" width="9.1796875" style="464"/>
  </cols>
  <sheetData>
    <row r="3" spans="3:8">
      <c r="C3" s="474" t="s">
        <v>667</v>
      </c>
      <c r="D3" s="532" t="s">
        <v>1066</v>
      </c>
      <c r="E3" s="533"/>
      <c r="F3" s="533"/>
      <c r="G3" s="533"/>
      <c r="H3" s="534"/>
    </row>
    <row r="4" spans="3:8">
      <c r="C4" s="474"/>
      <c r="D4" s="475" t="s">
        <v>695</v>
      </c>
      <c r="E4" s="475" t="s">
        <v>694</v>
      </c>
      <c r="F4" s="475" t="s">
        <v>693</v>
      </c>
      <c r="G4" s="475" t="s">
        <v>692</v>
      </c>
      <c r="H4" s="475" t="s">
        <v>1067</v>
      </c>
    </row>
    <row r="5" spans="3:8">
      <c r="C5" s="474" t="s">
        <v>1068</v>
      </c>
      <c r="D5" s="476">
        <v>11.72254284078879</v>
      </c>
      <c r="E5" s="477">
        <v>12.442638120387498</v>
      </c>
      <c r="F5" s="478">
        <v>12.475923214612523</v>
      </c>
      <c r="G5" s="478">
        <v>12.469080067276327</v>
      </c>
      <c r="H5" s="478">
        <v>12.268343765215404</v>
      </c>
    </row>
    <row r="6" spans="3:8">
      <c r="C6" s="474" t="s">
        <v>1074</v>
      </c>
      <c r="D6" s="480">
        <f>SUMPRODUCT('Measure-Level Adjustments Tab'!$F$8:$F$425,'Measure-Level Adjustments Tab'!V$8:V$425)/SUM('Measure-Level Adjustments Tab'!V$8:V$425)</f>
        <v>12.673617540318544</v>
      </c>
      <c r="E6" s="480">
        <f>SUMPRODUCT('Measure-Level Adjustments Tab'!$F$8:$F$425,'Measure-Level Adjustments Tab'!W$8:W$425)/SUM('Measure-Level Adjustments Tab'!W$8:W$425)</f>
        <v>13.119780928288627</v>
      </c>
      <c r="F6" s="480">
        <f>SUMPRODUCT('Measure-Level Adjustments Tab'!$F$8:$F$425,'Measure-Level Adjustments Tab'!X$8:X$425)/SUM('Measure-Level Adjustments Tab'!X$8:X$425)</f>
        <v>13.147071050124465</v>
      </c>
      <c r="G6" s="480">
        <f>SUMPRODUCT('Measure-Level Adjustments Tab'!$F$8:$F$425,'Measure-Level Adjustments Tab'!Y$8:Y$425)/SUM('Measure-Level Adjustments Tab'!Y$8:Y$425)</f>
        <v>13.13574399009779</v>
      </c>
      <c r="H6" s="480">
        <f>SUMPRODUCT('Measure-Level Adjustments Tab'!$F$8:$F$425,'Measure-Level Adjustments Tab'!Z$8:Z$425)/SUM('Measure-Level Adjustments Tab'!Z$8:Z$425)</f>
        <v>13.015579983899263</v>
      </c>
    </row>
    <row r="7" spans="3:8">
      <c r="C7" s="474" t="s">
        <v>1069</v>
      </c>
      <c r="D7" s="479">
        <f>SUMPRODUCT('Measure-Level Adjustments Tab'!$F$8:$F$425,'Measure-Level Adjustments Tab'!AY$8:AY$425)/SUM('Measure-Level Adjustments Tab'!AY$8:AY$425)</f>
        <v>12.696700680916459</v>
      </c>
      <c r="E7" s="479">
        <f>SUMPRODUCT('Measure-Level Adjustments Tab'!$F$8:$F$425,'Measure-Level Adjustments Tab'!AZ$8:AZ$425)/SUM('Measure-Level Adjustments Tab'!AZ$8:AZ$425)</f>
        <v>13.151870855095973</v>
      </c>
      <c r="F7" s="479">
        <f>SUMPRODUCT('Measure-Level Adjustments Tab'!$F$8:$F$425,'Measure-Level Adjustments Tab'!BA$8:BA$425)/SUM('Measure-Level Adjustments Tab'!BA$8:BA$425)</f>
        <v>13.178720380638207</v>
      </c>
      <c r="G7" s="479">
        <f>SUMPRODUCT('Measure-Level Adjustments Tab'!$F$8:$F$425,'Measure-Level Adjustments Tab'!BB$8:BB$425)/SUM('Measure-Level Adjustments Tab'!BB$8:BB$425)</f>
        <v>13.168167451790081</v>
      </c>
      <c r="H7" s="479">
        <f>SUMPRODUCT('Measure-Level Adjustments Tab'!$F$8:$F$425,'Measure-Level Adjustments Tab'!BC$8:BC$425)/SUM('Measure-Level Adjustments Tab'!BC$8:BC$425)</f>
        <v>13.045275100407066</v>
      </c>
    </row>
    <row r="9" spans="3:8">
      <c r="C9" s="535" t="s">
        <v>1072</v>
      </c>
      <c r="D9" s="535"/>
      <c r="E9" s="535"/>
      <c r="F9" s="535"/>
      <c r="G9" s="535"/>
      <c r="H9" s="535"/>
    </row>
    <row r="10" spans="3:8">
      <c r="C10" s="535" t="s">
        <v>1073</v>
      </c>
      <c r="D10" s="535"/>
      <c r="E10" s="535"/>
      <c r="F10" s="535"/>
      <c r="G10" s="535"/>
      <c r="H10" s="535"/>
    </row>
    <row r="11" spans="3:8">
      <c r="C11" s="473"/>
    </row>
  </sheetData>
  <mergeCells count="3">
    <mergeCell ref="D3:H3"/>
    <mergeCell ref="C9:H9"/>
    <mergeCell ref="C10:H10"/>
  </mergeCells>
  <pageMargins left="0.7" right="0.7" top="0.75" bottom="0.75" header="0.3" footer="0.3"/>
  <pageSetup scale="70" orientation="portrait"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BA425"/>
  <sheetViews>
    <sheetView zoomScale="60" zoomScaleNormal="60" zoomScaleSheetLayoutView="70" workbookViewId="0">
      <pane ySplit="3" topLeftCell="A4" activePane="bottomLeft" state="frozen"/>
      <selection activeCell="A7" sqref="A7:A8"/>
      <selection pane="bottomLeft"/>
    </sheetView>
  </sheetViews>
  <sheetFormatPr defaultColWidth="9.1796875" defaultRowHeight="13"/>
  <cols>
    <col min="1" max="1" width="6.1796875" style="5" customWidth="1"/>
    <col min="2" max="2" width="10.26953125" style="5" bestFit="1" customWidth="1"/>
    <col min="3" max="3" width="24.54296875" style="5" bestFit="1" customWidth="1"/>
    <col min="4" max="4" width="44.453125" style="5" customWidth="1"/>
    <col min="5" max="5" width="11" style="5" customWidth="1"/>
    <col min="6" max="6" width="7.54296875" style="5" customWidth="1"/>
    <col min="7" max="7" width="8.453125" style="5" customWidth="1"/>
    <col min="8" max="8" width="9.26953125" style="5" customWidth="1"/>
    <col min="9" max="9" width="9.7265625" style="5" customWidth="1"/>
    <col min="10" max="13" width="9.453125" style="5" customWidth="1"/>
    <col min="14" max="17" width="10.453125" style="207" customWidth="1"/>
    <col min="18" max="18" width="26.7265625" style="5" hidden="1" customWidth="1"/>
    <col min="19" max="19" width="26.7265625" style="5" bestFit="1" customWidth="1"/>
    <col min="20" max="20" width="9.453125" style="5" customWidth="1"/>
    <col min="21" max="21" width="29.7265625" style="67" customWidth="1"/>
    <col min="22" max="22" width="83" style="5" customWidth="1"/>
    <col min="23" max="23" width="22.54296875" style="9" customWidth="1"/>
    <col min="24" max="24" width="10.453125" style="9" customWidth="1"/>
    <col min="25" max="25" width="18.1796875" style="67" customWidth="1"/>
    <col min="26" max="26" width="11.81640625" style="455" customWidth="1"/>
    <col min="27" max="27" width="17.7265625" style="7" customWidth="1"/>
    <col min="28" max="28" width="11.1796875" style="5" customWidth="1"/>
    <col min="29" max="29" width="23.1796875" style="6" customWidth="1"/>
    <col min="30" max="30" width="11" style="5" customWidth="1"/>
    <col min="31" max="31" width="14.81640625" style="6" bestFit="1" customWidth="1"/>
    <col min="32" max="32" width="11.26953125" style="5" customWidth="1"/>
    <col min="33" max="33" width="11" style="5" customWidth="1"/>
    <col min="34" max="34" width="9.81640625" style="5" customWidth="1"/>
    <col min="35" max="35" width="20.7265625" style="5" bestFit="1" customWidth="1"/>
    <col min="36" max="36" width="9.54296875" style="5" customWidth="1"/>
    <col min="37" max="37" width="20.7265625" style="5" bestFit="1" customWidth="1"/>
    <col min="38" max="38" width="6" style="5" customWidth="1"/>
    <col min="39" max="39" width="15.54296875" style="5" customWidth="1"/>
    <col min="40" max="40" width="8.26953125" style="5" customWidth="1"/>
    <col min="41" max="41" width="16.7265625" style="5" customWidth="1"/>
    <col min="42" max="44" width="6.26953125" style="5" customWidth="1"/>
    <col min="45" max="45" width="11" style="5" customWidth="1"/>
    <col min="46" max="46" width="6.26953125" style="5" customWidth="1"/>
    <col min="47" max="47" width="9.1796875" style="5" customWidth="1"/>
    <col min="48" max="48" width="33.1796875" style="5" customWidth="1"/>
    <col min="49" max="49" width="14.7265625" style="5" customWidth="1"/>
    <col min="50" max="16384" width="9.1796875" style="5"/>
  </cols>
  <sheetData>
    <row r="1" spans="1:52">
      <c r="B1" s="69"/>
      <c r="C1" s="69" t="s">
        <v>667</v>
      </c>
      <c r="D1" s="396"/>
      <c r="J1" s="397"/>
      <c r="K1" s="397"/>
      <c r="L1" s="397"/>
      <c r="M1" s="397"/>
      <c r="N1" s="398"/>
      <c r="O1" s="398"/>
      <c r="P1" s="398"/>
      <c r="Q1" s="398"/>
      <c r="R1" s="399"/>
      <c r="S1" s="399"/>
      <c r="T1" s="400"/>
      <c r="U1" s="399"/>
      <c r="W1" s="5"/>
      <c r="X1" s="5"/>
      <c r="Y1" s="5"/>
      <c r="Z1" s="5"/>
      <c r="AA1" s="5"/>
      <c r="AC1" s="5"/>
      <c r="AE1" s="5"/>
    </row>
    <row r="2" spans="1:52" ht="15" customHeight="1">
      <c r="B2" s="399"/>
      <c r="C2" s="399"/>
      <c r="D2" s="399"/>
      <c r="E2" s="398"/>
      <c r="F2" s="398"/>
      <c r="H2" s="471"/>
      <c r="I2" s="471"/>
      <c r="J2" s="536" t="s">
        <v>697</v>
      </c>
      <c r="K2" s="537"/>
      <c r="L2" s="537"/>
      <c r="M2" s="538"/>
      <c r="N2" s="536" t="s">
        <v>785</v>
      </c>
      <c r="O2" s="537"/>
      <c r="P2" s="537"/>
      <c r="Q2" s="538"/>
      <c r="R2" s="10"/>
      <c r="S2" s="10"/>
      <c r="T2" s="10"/>
      <c r="U2" s="10"/>
      <c r="W2" s="5"/>
      <c r="X2" s="5"/>
      <c r="Y2" s="5"/>
      <c r="Z2" s="5"/>
      <c r="AA2" s="6"/>
    </row>
    <row r="3" spans="1:52">
      <c r="B3" s="401" t="s">
        <v>863</v>
      </c>
      <c r="C3" s="401"/>
      <c r="D3" s="401" t="s">
        <v>1</v>
      </c>
      <c r="E3" s="402" t="s">
        <v>499</v>
      </c>
      <c r="F3" s="402" t="s">
        <v>499</v>
      </c>
      <c r="G3" s="403" t="s">
        <v>696</v>
      </c>
      <c r="H3" s="403" t="s">
        <v>1070</v>
      </c>
      <c r="I3" s="403" t="s">
        <v>1071</v>
      </c>
      <c r="J3" s="404" t="s">
        <v>695</v>
      </c>
      <c r="K3" s="404" t="s">
        <v>694</v>
      </c>
      <c r="L3" s="404" t="s">
        <v>693</v>
      </c>
      <c r="M3" s="404" t="s">
        <v>692</v>
      </c>
      <c r="N3" s="404" t="s">
        <v>695</v>
      </c>
      <c r="O3" s="404" t="s">
        <v>694</v>
      </c>
      <c r="P3" s="404" t="s">
        <v>693</v>
      </c>
      <c r="Q3" s="404" t="s">
        <v>692</v>
      </c>
      <c r="R3" s="392"/>
      <c r="S3" s="392" t="s">
        <v>498</v>
      </c>
      <c r="T3" s="392" t="s">
        <v>497</v>
      </c>
      <c r="U3" s="392" t="s">
        <v>496</v>
      </c>
      <c r="V3" s="405" t="s">
        <v>471</v>
      </c>
      <c r="W3" s="405" t="s">
        <v>495</v>
      </c>
      <c r="X3" s="405" t="s">
        <v>494</v>
      </c>
      <c r="Y3" s="405" t="s">
        <v>493</v>
      </c>
      <c r="Z3" s="405" t="s">
        <v>492</v>
      </c>
      <c r="AA3" s="406" t="s">
        <v>491</v>
      </c>
      <c r="AB3" s="405" t="s">
        <v>490</v>
      </c>
      <c r="AC3" s="406" t="s">
        <v>489</v>
      </c>
      <c r="AD3" s="405" t="s">
        <v>488</v>
      </c>
      <c r="AE3" s="406" t="s">
        <v>487</v>
      </c>
      <c r="AF3" s="405" t="s">
        <v>486</v>
      </c>
      <c r="AG3" s="405" t="s">
        <v>485</v>
      </c>
      <c r="AH3" s="405" t="s">
        <v>484</v>
      </c>
      <c r="AI3" s="405" t="s">
        <v>483</v>
      </c>
      <c r="AJ3" s="405" t="s">
        <v>482</v>
      </c>
      <c r="AK3" s="405" t="s">
        <v>481</v>
      </c>
      <c r="AL3" s="405" t="s">
        <v>480</v>
      </c>
      <c r="AM3" s="405" t="s">
        <v>479</v>
      </c>
      <c r="AN3" s="405" t="s">
        <v>478</v>
      </c>
      <c r="AO3" s="405" t="s">
        <v>477</v>
      </c>
      <c r="AP3" s="405" t="s">
        <v>476</v>
      </c>
      <c r="AQ3" s="405" t="s">
        <v>475</v>
      </c>
      <c r="AR3" s="405" t="s">
        <v>474</v>
      </c>
      <c r="AS3" s="405" t="s">
        <v>473</v>
      </c>
      <c r="AT3" s="405" t="s">
        <v>472</v>
      </c>
    </row>
    <row r="4" spans="1:52">
      <c r="A4" s="5" t="str">
        <f t="shared" ref="A4:A14" si="0">C4&amp;"_"&amp;D4</f>
        <v>Res - Outreach &amp; Education_Behavior 2018 1st Year</v>
      </c>
      <c r="B4" s="407">
        <v>1</v>
      </c>
      <c r="C4" s="407" t="s">
        <v>698</v>
      </c>
      <c r="D4" s="407" t="s">
        <v>781</v>
      </c>
      <c r="E4" s="408" t="s">
        <v>150</v>
      </c>
      <c r="F4" s="408">
        <v>1</v>
      </c>
      <c r="G4" s="409">
        <v>1</v>
      </c>
      <c r="H4" s="470">
        <v>1</v>
      </c>
      <c r="I4" s="463">
        <v>1</v>
      </c>
      <c r="J4" s="408">
        <v>46800</v>
      </c>
      <c r="K4" s="408">
        <v>0</v>
      </c>
      <c r="L4" s="408">
        <v>0</v>
      </c>
      <c r="M4" s="408">
        <v>0</v>
      </c>
      <c r="N4" s="461">
        <v>17.606837606837608</v>
      </c>
      <c r="O4" s="461">
        <v>0</v>
      </c>
      <c r="P4" s="461">
        <v>0</v>
      </c>
      <c r="Q4" s="461">
        <v>0</v>
      </c>
      <c r="R4" s="411"/>
      <c r="S4" s="411" t="s">
        <v>1046</v>
      </c>
      <c r="T4" s="407" t="s">
        <v>759</v>
      </c>
      <c r="U4" s="407" t="s">
        <v>760</v>
      </c>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V4" s="413"/>
      <c r="AW4" s="413"/>
      <c r="AX4" s="414"/>
      <c r="AY4" s="415"/>
      <c r="AZ4" s="416"/>
    </row>
    <row r="5" spans="1:52">
      <c r="A5" s="5" t="str">
        <f t="shared" si="0"/>
        <v>Res - Outreach &amp; Education_Behavior 2019 1st Year</v>
      </c>
      <c r="B5" s="407">
        <v>2</v>
      </c>
      <c r="C5" s="407" t="s">
        <v>698</v>
      </c>
      <c r="D5" s="407" t="s">
        <v>782</v>
      </c>
      <c r="E5" s="408" t="s">
        <v>150</v>
      </c>
      <c r="F5" s="408">
        <v>1</v>
      </c>
      <c r="G5" s="409">
        <v>1</v>
      </c>
      <c r="H5" s="470">
        <v>1</v>
      </c>
      <c r="I5" s="463">
        <v>1</v>
      </c>
      <c r="J5" s="408">
        <v>0</v>
      </c>
      <c r="K5" s="408">
        <v>45900</v>
      </c>
      <c r="L5" s="408"/>
      <c r="M5" s="408"/>
      <c r="N5" s="461">
        <v>0</v>
      </c>
      <c r="O5" s="461">
        <v>10.036930915677852</v>
      </c>
      <c r="P5" s="461">
        <v>0</v>
      </c>
      <c r="Q5" s="461">
        <v>0</v>
      </c>
      <c r="R5" s="411"/>
      <c r="S5" s="411" t="s">
        <v>1046</v>
      </c>
      <c r="T5" s="407" t="s">
        <v>759</v>
      </c>
      <c r="U5" s="407" t="s">
        <v>760</v>
      </c>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c r="AV5" s="413"/>
      <c r="AW5" s="413"/>
      <c r="AX5" s="414"/>
      <c r="AY5" s="415"/>
      <c r="AZ5" s="416"/>
    </row>
    <row r="6" spans="1:52">
      <c r="A6" s="5" t="str">
        <f t="shared" si="0"/>
        <v>Res - Outreach &amp; Education_Behavior 2020 1st Year</v>
      </c>
      <c r="B6" s="407">
        <v>3</v>
      </c>
      <c r="C6" s="407" t="s">
        <v>698</v>
      </c>
      <c r="D6" s="407" t="s">
        <v>783</v>
      </c>
      <c r="E6" s="408" t="s">
        <v>150</v>
      </c>
      <c r="F6" s="408">
        <v>1</v>
      </c>
      <c r="G6" s="409">
        <v>1</v>
      </c>
      <c r="H6" s="470">
        <v>1</v>
      </c>
      <c r="I6" s="463">
        <v>1</v>
      </c>
      <c r="J6" s="408"/>
      <c r="K6" s="408"/>
      <c r="L6" s="408">
        <v>44900</v>
      </c>
      <c r="M6" s="408"/>
      <c r="N6" s="461">
        <v>0</v>
      </c>
      <c r="O6" s="461">
        <v>0</v>
      </c>
      <c r="P6" s="461">
        <v>10.113619383930006</v>
      </c>
      <c r="Q6" s="461">
        <v>0</v>
      </c>
      <c r="R6" s="411"/>
      <c r="S6" s="411" t="s">
        <v>1046</v>
      </c>
      <c r="T6" s="407" t="s">
        <v>759</v>
      </c>
      <c r="U6" s="407" t="s">
        <v>760</v>
      </c>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V6" s="413"/>
      <c r="AW6" s="413"/>
      <c r="AX6" s="414"/>
      <c r="AY6" s="415"/>
      <c r="AZ6" s="416"/>
    </row>
    <row r="7" spans="1:52">
      <c r="A7" s="5" t="str">
        <f t="shared" si="0"/>
        <v>Res - Outreach &amp; Education_Behavior 2021 1st Year</v>
      </c>
      <c r="B7" s="407">
        <v>4</v>
      </c>
      <c r="C7" s="407" t="s">
        <v>698</v>
      </c>
      <c r="D7" s="407" t="s">
        <v>784</v>
      </c>
      <c r="E7" s="408" t="s">
        <v>150</v>
      </c>
      <c r="F7" s="408">
        <v>1</v>
      </c>
      <c r="G7" s="409">
        <v>1</v>
      </c>
      <c r="H7" s="470">
        <v>1</v>
      </c>
      <c r="I7" s="463">
        <v>1</v>
      </c>
      <c r="J7" s="408"/>
      <c r="K7" s="408"/>
      <c r="L7" s="408"/>
      <c r="M7" s="408">
        <v>44000</v>
      </c>
      <c r="N7" s="461">
        <v>0</v>
      </c>
      <c r="O7" s="461">
        <v>0</v>
      </c>
      <c r="P7" s="461">
        <v>0</v>
      </c>
      <c r="Q7" s="461">
        <v>10.186172770369932</v>
      </c>
      <c r="R7" s="411"/>
      <c r="S7" s="411" t="s">
        <v>1046</v>
      </c>
      <c r="T7" s="407" t="s">
        <v>759</v>
      </c>
      <c r="U7" s="407" t="s">
        <v>760</v>
      </c>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V7" s="413"/>
      <c r="AW7" s="413"/>
      <c r="AX7" s="414"/>
      <c r="AY7" s="415"/>
      <c r="AZ7" s="416"/>
    </row>
    <row r="8" spans="1:52">
      <c r="A8" s="5" t="str">
        <f t="shared" si="0"/>
        <v>Res - Outreach &amp; Education_Behavior 2018 Y1 Persistence</v>
      </c>
      <c r="B8" s="407">
        <v>5</v>
      </c>
      <c r="C8" s="407" t="s">
        <v>698</v>
      </c>
      <c r="D8" s="407" t="s">
        <v>765</v>
      </c>
      <c r="E8" s="408" t="s">
        <v>150</v>
      </c>
      <c r="F8" s="408">
        <v>1</v>
      </c>
      <c r="G8" s="409">
        <v>1</v>
      </c>
      <c r="H8" s="470">
        <v>0</v>
      </c>
      <c r="I8" s="463">
        <v>0</v>
      </c>
      <c r="J8" s="408">
        <v>46800</v>
      </c>
      <c r="K8" s="408"/>
      <c r="L8" s="408"/>
      <c r="M8" s="408"/>
      <c r="N8" s="461">
        <v>7.7415570720168079</v>
      </c>
      <c r="O8" s="461">
        <v>0</v>
      </c>
      <c r="P8" s="461">
        <v>0</v>
      </c>
      <c r="Q8" s="461">
        <v>0</v>
      </c>
      <c r="R8" s="411"/>
      <c r="S8" s="411" t="s">
        <v>1046</v>
      </c>
      <c r="T8" s="407" t="s">
        <v>759</v>
      </c>
      <c r="U8" s="407" t="s">
        <v>760</v>
      </c>
      <c r="V8" s="412"/>
      <c r="W8" s="412"/>
      <c r="X8" s="412"/>
      <c r="Y8" s="412"/>
      <c r="Z8" s="412"/>
      <c r="AA8" s="412"/>
      <c r="AB8" s="412"/>
      <c r="AC8" s="412"/>
      <c r="AD8" s="412"/>
      <c r="AE8" s="412"/>
      <c r="AF8" s="412"/>
      <c r="AG8" s="412"/>
      <c r="AH8" s="412"/>
      <c r="AI8" s="412"/>
      <c r="AJ8" s="412"/>
      <c r="AK8" s="412"/>
      <c r="AL8" s="412"/>
      <c r="AM8" s="412"/>
      <c r="AN8" s="412"/>
      <c r="AO8" s="412"/>
      <c r="AP8" s="412"/>
      <c r="AQ8" s="412"/>
      <c r="AR8" s="412"/>
      <c r="AS8" s="412"/>
      <c r="AT8" s="412"/>
      <c r="AV8" s="413"/>
      <c r="AW8" s="413"/>
      <c r="AX8" s="414"/>
      <c r="AY8" s="415"/>
      <c r="AZ8" s="416"/>
    </row>
    <row r="9" spans="1:52">
      <c r="A9" s="5" t="str">
        <f t="shared" si="0"/>
        <v>Res - Outreach &amp; Education_Behavior 2018 Y2 Persistence</v>
      </c>
      <c r="B9" s="407">
        <v>6</v>
      </c>
      <c r="C9" s="407" t="s">
        <v>698</v>
      </c>
      <c r="D9" s="407" t="s">
        <v>766</v>
      </c>
      <c r="E9" s="408" t="s">
        <v>150</v>
      </c>
      <c r="F9" s="408">
        <v>1</v>
      </c>
      <c r="G9" s="409">
        <v>1</v>
      </c>
      <c r="H9" s="470">
        <v>0</v>
      </c>
      <c r="I9" s="463">
        <v>0</v>
      </c>
      <c r="J9" s="408">
        <v>46800</v>
      </c>
      <c r="K9" s="408"/>
      <c r="L9" s="408"/>
      <c r="M9" s="408"/>
      <c r="N9" s="461">
        <v>3.3618648400898152</v>
      </c>
      <c r="O9" s="461">
        <v>0</v>
      </c>
      <c r="P9" s="461">
        <v>0</v>
      </c>
      <c r="Q9" s="461">
        <v>0</v>
      </c>
      <c r="R9" s="411"/>
      <c r="S9" s="411" t="s">
        <v>1046</v>
      </c>
      <c r="T9" s="407" t="s">
        <v>759</v>
      </c>
      <c r="U9" s="407" t="s">
        <v>760</v>
      </c>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V9" s="413"/>
      <c r="AW9" s="413"/>
      <c r="AX9" s="414"/>
      <c r="AY9" s="415"/>
      <c r="AZ9" s="416"/>
    </row>
    <row r="10" spans="1:52">
      <c r="A10" s="5" t="str">
        <f t="shared" si="0"/>
        <v>Res - Outreach &amp; Education_Behavior 2018 Y3 Persistence</v>
      </c>
      <c r="B10" s="407">
        <v>7</v>
      </c>
      <c r="C10" s="407" t="s">
        <v>698</v>
      </c>
      <c r="D10" s="407" t="s">
        <v>767</v>
      </c>
      <c r="E10" s="408" t="s">
        <v>150</v>
      </c>
      <c r="F10" s="408">
        <v>1</v>
      </c>
      <c r="G10" s="409">
        <v>1</v>
      </c>
      <c r="H10" s="470">
        <v>0</v>
      </c>
      <c r="I10" s="463">
        <v>0</v>
      </c>
      <c r="J10" s="408">
        <v>46800</v>
      </c>
      <c r="K10" s="408"/>
      <c r="L10" s="408"/>
      <c r="M10" s="408"/>
      <c r="N10" s="461">
        <v>1.4781796202774511</v>
      </c>
      <c r="O10" s="461">
        <v>0</v>
      </c>
      <c r="P10" s="461">
        <v>0</v>
      </c>
      <c r="Q10" s="461">
        <v>0</v>
      </c>
      <c r="R10" s="411"/>
      <c r="S10" s="411" t="s">
        <v>1046</v>
      </c>
      <c r="T10" s="407" t="s">
        <v>759</v>
      </c>
      <c r="U10" s="407" t="s">
        <v>760</v>
      </c>
      <c r="V10" s="412"/>
      <c r="W10" s="412"/>
      <c r="X10" s="412"/>
      <c r="Y10" s="412"/>
      <c r="Z10" s="412"/>
      <c r="AA10" s="412"/>
      <c r="AB10" s="412"/>
      <c r="AC10" s="412"/>
      <c r="AD10" s="412"/>
      <c r="AE10" s="412"/>
      <c r="AF10" s="412"/>
      <c r="AG10" s="412"/>
      <c r="AH10" s="412"/>
      <c r="AI10" s="412"/>
      <c r="AJ10" s="412"/>
      <c r="AK10" s="412"/>
      <c r="AL10" s="412"/>
      <c r="AM10" s="412"/>
      <c r="AN10" s="412"/>
      <c r="AO10" s="412"/>
      <c r="AP10" s="412"/>
      <c r="AQ10" s="412"/>
      <c r="AR10" s="412"/>
      <c r="AS10" s="412"/>
      <c r="AT10" s="412"/>
      <c r="AV10" s="413"/>
      <c r="AW10" s="413"/>
      <c r="AX10" s="414"/>
      <c r="AY10" s="415"/>
      <c r="AZ10" s="416"/>
    </row>
    <row r="11" spans="1:52">
      <c r="A11" s="5" t="str">
        <f t="shared" si="0"/>
        <v>Res - Outreach &amp; Education_Behavior 2018 Y4 Persistence</v>
      </c>
      <c r="B11" s="407">
        <v>8</v>
      </c>
      <c r="C11" s="407" t="s">
        <v>698</v>
      </c>
      <c r="D11" s="407" t="s">
        <v>768</v>
      </c>
      <c r="E11" s="408" t="s">
        <v>150</v>
      </c>
      <c r="F11" s="408">
        <v>1</v>
      </c>
      <c r="G11" s="409">
        <v>1</v>
      </c>
      <c r="H11" s="470">
        <v>0</v>
      </c>
      <c r="I11" s="463">
        <v>0</v>
      </c>
      <c r="J11" s="408">
        <v>46800</v>
      </c>
      <c r="K11" s="408"/>
      <c r="L11" s="408"/>
      <c r="M11" s="408"/>
      <c r="N11" s="461">
        <v>0.64191738774502805</v>
      </c>
      <c r="O11" s="461">
        <v>0</v>
      </c>
      <c r="P11" s="461">
        <v>0</v>
      </c>
      <c r="Q11" s="461">
        <v>0</v>
      </c>
      <c r="R11" s="411"/>
      <c r="S11" s="411" t="s">
        <v>1046</v>
      </c>
      <c r="T11" s="407" t="s">
        <v>759</v>
      </c>
      <c r="U11" s="407" t="s">
        <v>760</v>
      </c>
      <c r="V11" s="412"/>
      <c r="W11" s="412"/>
      <c r="X11" s="412"/>
      <c r="Y11" s="412"/>
      <c r="Z11" s="412"/>
      <c r="AA11" s="412"/>
      <c r="AB11" s="412"/>
      <c r="AC11" s="412"/>
      <c r="AD11" s="412"/>
      <c r="AE11" s="412"/>
      <c r="AF11" s="412"/>
      <c r="AG11" s="412"/>
      <c r="AH11" s="412"/>
      <c r="AI11" s="412"/>
      <c r="AJ11" s="412"/>
      <c r="AK11" s="412"/>
      <c r="AL11" s="412"/>
      <c r="AM11" s="412"/>
      <c r="AN11" s="412"/>
      <c r="AO11" s="412"/>
      <c r="AP11" s="412"/>
      <c r="AQ11" s="412"/>
      <c r="AR11" s="412"/>
      <c r="AS11" s="412"/>
      <c r="AT11" s="412"/>
      <c r="AV11" s="413"/>
      <c r="AW11" s="413"/>
      <c r="AX11" s="414"/>
      <c r="AY11" s="415"/>
      <c r="AZ11" s="416"/>
    </row>
    <row r="12" spans="1:52">
      <c r="A12" s="5" t="str">
        <f t="shared" si="0"/>
        <v>Res - Outreach &amp; Education_Behavior 2019 Y1 Persistence</v>
      </c>
      <c r="B12" s="407">
        <v>9</v>
      </c>
      <c r="C12" s="407" t="s">
        <v>698</v>
      </c>
      <c r="D12" s="407" t="s">
        <v>769</v>
      </c>
      <c r="E12" s="408" t="s">
        <v>150</v>
      </c>
      <c r="F12" s="408">
        <v>1</v>
      </c>
      <c r="G12" s="409">
        <v>1</v>
      </c>
      <c r="H12" s="470">
        <v>0</v>
      </c>
      <c r="I12" s="463">
        <v>0</v>
      </c>
      <c r="J12" s="408"/>
      <c r="K12" s="408">
        <v>45900</v>
      </c>
      <c r="L12" s="408"/>
      <c r="M12" s="408"/>
      <c r="N12" s="461">
        <v>0</v>
      </c>
      <c r="O12" s="461">
        <v>4.4131419421642573</v>
      </c>
      <c r="P12" s="461">
        <v>0</v>
      </c>
      <c r="Q12" s="461">
        <v>0</v>
      </c>
      <c r="R12" s="411"/>
      <c r="S12" s="411" t="s">
        <v>1046</v>
      </c>
      <c r="T12" s="407" t="s">
        <v>759</v>
      </c>
      <c r="U12" s="407" t="s">
        <v>760</v>
      </c>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V12" s="413"/>
      <c r="AW12" s="413"/>
      <c r="AX12" s="414"/>
      <c r="AY12" s="415"/>
      <c r="AZ12" s="416"/>
    </row>
    <row r="13" spans="1:52">
      <c r="A13" s="5" t="str">
        <f t="shared" si="0"/>
        <v>Res - Outreach &amp; Education_Behavior 2019 Y2 Persistence</v>
      </c>
      <c r="B13" s="407">
        <v>10</v>
      </c>
      <c r="C13" s="407" t="s">
        <v>698</v>
      </c>
      <c r="D13" s="407" t="s">
        <v>770</v>
      </c>
      <c r="E13" s="408" t="s">
        <v>150</v>
      </c>
      <c r="F13" s="408">
        <v>1</v>
      </c>
      <c r="G13" s="409">
        <v>1</v>
      </c>
      <c r="H13" s="470">
        <v>0</v>
      </c>
      <c r="I13" s="463">
        <v>0</v>
      </c>
      <c r="J13" s="408"/>
      <c r="K13" s="408">
        <v>45900</v>
      </c>
      <c r="L13" s="408"/>
      <c r="M13" s="408"/>
      <c r="N13" s="461">
        <v>0</v>
      </c>
      <c r="O13" s="461">
        <v>1.9164602923766301</v>
      </c>
      <c r="P13" s="461">
        <v>0</v>
      </c>
      <c r="Q13" s="461">
        <v>0</v>
      </c>
      <c r="R13" s="411"/>
      <c r="S13" s="411" t="s">
        <v>1046</v>
      </c>
      <c r="T13" s="407" t="s">
        <v>759</v>
      </c>
      <c r="U13" s="407" t="s">
        <v>760</v>
      </c>
      <c r="V13" s="412"/>
      <c r="W13" s="412"/>
      <c r="X13" s="412"/>
      <c r="Y13" s="412"/>
      <c r="Z13" s="412"/>
      <c r="AA13" s="412"/>
      <c r="AB13" s="412"/>
      <c r="AC13" s="412"/>
      <c r="AD13" s="412"/>
      <c r="AE13" s="412"/>
      <c r="AF13" s="412"/>
      <c r="AG13" s="412"/>
      <c r="AH13" s="412"/>
      <c r="AI13" s="412"/>
      <c r="AJ13" s="412"/>
      <c r="AK13" s="412"/>
      <c r="AL13" s="412"/>
      <c r="AM13" s="412"/>
      <c r="AN13" s="412"/>
      <c r="AO13" s="412"/>
      <c r="AP13" s="412"/>
      <c r="AQ13" s="412"/>
      <c r="AR13" s="412"/>
      <c r="AS13" s="412"/>
      <c r="AT13" s="412"/>
      <c r="AV13" s="413"/>
      <c r="AW13" s="413"/>
      <c r="AX13" s="414"/>
      <c r="AY13" s="415"/>
      <c r="AZ13" s="416"/>
    </row>
    <row r="14" spans="1:52">
      <c r="A14" s="5" t="str">
        <f t="shared" si="0"/>
        <v>Res - Outreach &amp; Education_Behavior 2019 Y3 Persistence</v>
      </c>
      <c r="B14" s="407">
        <v>11</v>
      </c>
      <c r="C14" s="407" t="s">
        <v>698</v>
      </c>
      <c r="D14" s="407" t="s">
        <v>771</v>
      </c>
      <c r="E14" s="408" t="s">
        <v>150</v>
      </c>
      <c r="F14" s="408">
        <v>1</v>
      </c>
      <c r="G14" s="409">
        <v>1</v>
      </c>
      <c r="H14" s="470">
        <v>0</v>
      </c>
      <c r="I14" s="463">
        <v>0</v>
      </c>
      <c r="J14" s="408"/>
      <c r="K14" s="408">
        <v>45900</v>
      </c>
      <c r="L14" s="408"/>
      <c r="M14" s="408"/>
      <c r="N14" s="461">
        <v>0</v>
      </c>
      <c r="O14" s="461">
        <v>0.84264914921041756</v>
      </c>
      <c r="P14" s="461">
        <v>0</v>
      </c>
      <c r="Q14" s="461">
        <v>0</v>
      </c>
      <c r="R14" s="411"/>
      <c r="S14" s="411" t="s">
        <v>1046</v>
      </c>
      <c r="T14" s="407" t="s">
        <v>759</v>
      </c>
      <c r="U14" s="407" t="s">
        <v>760</v>
      </c>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V14" s="413"/>
      <c r="AW14" s="413"/>
      <c r="AX14" s="414"/>
      <c r="AY14" s="415"/>
      <c r="AZ14" s="416"/>
    </row>
    <row r="15" spans="1:52">
      <c r="A15" s="5" t="str">
        <f t="shared" ref="A15:A70" si="1">C15&amp;"_"&amp;D15</f>
        <v>Res - Outreach &amp; Education_Behavior 2019 Y4 Persistence</v>
      </c>
      <c r="B15" s="407">
        <v>12</v>
      </c>
      <c r="C15" s="407" t="s">
        <v>698</v>
      </c>
      <c r="D15" s="407" t="s">
        <v>772</v>
      </c>
      <c r="E15" s="408" t="s">
        <v>150</v>
      </c>
      <c r="F15" s="408">
        <v>1</v>
      </c>
      <c r="G15" s="409">
        <v>1</v>
      </c>
      <c r="H15" s="470">
        <v>0</v>
      </c>
      <c r="I15" s="463">
        <v>0</v>
      </c>
      <c r="J15" s="408"/>
      <c r="K15" s="408">
        <v>45900</v>
      </c>
      <c r="L15" s="408"/>
      <c r="M15" s="408"/>
      <c r="N15" s="461">
        <v>0</v>
      </c>
      <c r="O15" s="461">
        <v>0.36593059004912665</v>
      </c>
      <c r="P15" s="461">
        <v>0</v>
      </c>
      <c r="Q15" s="461">
        <v>0</v>
      </c>
      <c r="R15" s="411"/>
      <c r="S15" s="411" t="s">
        <v>1046</v>
      </c>
      <c r="T15" s="407" t="s">
        <v>759</v>
      </c>
      <c r="U15" s="407" t="s">
        <v>760</v>
      </c>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V15" s="413"/>
      <c r="AW15" s="413"/>
      <c r="AX15" s="414"/>
      <c r="AY15" s="415"/>
      <c r="AZ15" s="416"/>
    </row>
    <row r="16" spans="1:52">
      <c r="A16" s="5" t="str">
        <f t="shared" si="1"/>
        <v>Res - Outreach &amp; Education_Behavior 2020 Y1 Persistence</v>
      </c>
      <c r="B16" s="407">
        <v>13</v>
      </c>
      <c r="C16" s="407" t="s">
        <v>698</v>
      </c>
      <c r="D16" s="407" t="s">
        <v>773</v>
      </c>
      <c r="E16" s="408" t="s">
        <v>150</v>
      </c>
      <c r="F16" s="408">
        <v>1</v>
      </c>
      <c r="G16" s="409">
        <v>1</v>
      </c>
      <c r="H16" s="470">
        <v>0</v>
      </c>
      <c r="I16" s="463">
        <v>0</v>
      </c>
      <c r="J16" s="408"/>
      <c r="K16" s="408"/>
      <c r="L16" s="408">
        <v>44900</v>
      </c>
      <c r="M16" s="408"/>
      <c r="N16" s="461">
        <v>0</v>
      </c>
      <c r="O16" s="461">
        <v>0</v>
      </c>
      <c r="P16" s="461">
        <v>4.4468611237116038</v>
      </c>
      <c r="Q16" s="461">
        <v>0</v>
      </c>
      <c r="R16" s="411"/>
      <c r="S16" s="411" t="s">
        <v>1046</v>
      </c>
      <c r="T16" s="407" t="s">
        <v>759</v>
      </c>
      <c r="U16" s="407" t="s">
        <v>760</v>
      </c>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V16" s="413"/>
      <c r="AW16" s="413"/>
      <c r="AX16" s="414"/>
      <c r="AY16" s="415"/>
      <c r="AZ16" s="416"/>
    </row>
    <row r="17" spans="1:52">
      <c r="A17" s="5" t="str">
        <f t="shared" si="1"/>
        <v>Res - Outreach &amp; Education_Behavior 2020 Y2 Persistence</v>
      </c>
      <c r="B17" s="407">
        <v>14</v>
      </c>
      <c r="C17" s="407" t="s">
        <v>698</v>
      </c>
      <c r="D17" s="407" t="s">
        <v>774</v>
      </c>
      <c r="E17" s="408" t="s">
        <v>150</v>
      </c>
      <c r="F17" s="408">
        <v>1</v>
      </c>
      <c r="G17" s="409">
        <v>1</v>
      </c>
      <c r="H17" s="470">
        <v>0</v>
      </c>
      <c r="I17" s="463">
        <v>0</v>
      </c>
      <c r="J17" s="408"/>
      <c r="K17" s="408"/>
      <c r="L17" s="408">
        <v>44900</v>
      </c>
      <c r="M17" s="408"/>
      <c r="N17" s="461">
        <v>0</v>
      </c>
      <c r="O17" s="461">
        <v>0</v>
      </c>
      <c r="P17" s="461">
        <v>1.9311032550036686</v>
      </c>
      <c r="Q17" s="461">
        <v>0</v>
      </c>
      <c r="R17" s="411"/>
      <c r="S17" s="411" t="s">
        <v>1046</v>
      </c>
      <c r="T17" s="407" t="s">
        <v>759</v>
      </c>
      <c r="U17" s="407" t="s">
        <v>760</v>
      </c>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V17" s="413"/>
      <c r="AW17" s="413"/>
      <c r="AX17" s="414"/>
      <c r="AY17" s="415"/>
      <c r="AZ17" s="416"/>
    </row>
    <row r="18" spans="1:52">
      <c r="A18" s="5" t="str">
        <f t="shared" si="1"/>
        <v>Res - Outreach &amp; Education_Behavior 2020 Y3 Persistence</v>
      </c>
      <c r="B18" s="407">
        <v>15</v>
      </c>
      <c r="C18" s="407" t="s">
        <v>698</v>
      </c>
      <c r="D18" s="407" t="s">
        <v>775</v>
      </c>
      <c r="E18" s="408" t="s">
        <v>150</v>
      </c>
      <c r="F18" s="408">
        <v>1</v>
      </c>
      <c r="G18" s="409">
        <v>1</v>
      </c>
      <c r="H18" s="470">
        <v>0</v>
      </c>
      <c r="I18" s="463">
        <v>0</v>
      </c>
      <c r="J18" s="408"/>
      <c r="K18" s="408"/>
      <c r="L18" s="408">
        <v>44900</v>
      </c>
      <c r="M18" s="408"/>
      <c r="N18" s="461">
        <v>0</v>
      </c>
      <c r="O18" s="461">
        <v>0</v>
      </c>
      <c r="P18" s="461">
        <v>0.84908751897402623</v>
      </c>
      <c r="Q18" s="461">
        <v>0</v>
      </c>
      <c r="R18" s="411"/>
      <c r="S18" s="411" t="s">
        <v>1046</v>
      </c>
      <c r="T18" s="407" t="s">
        <v>759</v>
      </c>
      <c r="U18" s="407" t="s">
        <v>760</v>
      </c>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V18" s="413"/>
      <c r="AW18" s="413"/>
      <c r="AX18" s="414"/>
      <c r="AY18" s="415"/>
      <c r="AZ18" s="416"/>
    </row>
    <row r="19" spans="1:52">
      <c r="A19" s="5" t="str">
        <f t="shared" si="1"/>
        <v>Res - Outreach &amp; Education_Behavior 2020 Y4 Persistence</v>
      </c>
      <c r="B19" s="407">
        <v>16</v>
      </c>
      <c r="C19" s="407" t="s">
        <v>698</v>
      </c>
      <c r="D19" s="407" t="s">
        <v>776</v>
      </c>
      <c r="E19" s="408" t="s">
        <v>150</v>
      </c>
      <c r="F19" s="408">
        <v>1</v>
      </c>
      <c r="G19" s="409">
        <v>1</v>
      </c>
      <c r="H19" s="470">
        <v>0</v>
      </c>
      <c r="I19" s="463">
        <v>0</v>
      </c>
      <c r="J19" s="408"/>
      <c r="K19" s="408"/>
      <c r="L19" s="408">
        <v>44900</v>
      </c>
      <c r="M19" s="408"/>
      <c r="N19" s="461">
        <v>0</v>
      </c>
      <c r="O19" s="461">
        <v>0</v>
      </c>
      <c r="P19" s="461">
        <v>0.36872653003050482</v>
      </c>
      <c r="Q19" s="461">
        <v>0</v>
      </c>
      <c r="R19" s="411"/>
      <c r="S19" s="411" t="s">
        <v>1046</v>
      </c>
      <c r="T19" s="407" t="s">
        <v>759</v>
      </c>
      <c r="U19" s="407" t="s">
        <v>760</v>
      </c>
      <c r="V19" s="412"/>
      <c r="W19" s="412"/>
      <c r="X19" s="412"/>
      <c r="Y19" s="412"/>
      <c r="Z19" s="412"/>
      <c r="AA19" s="412"/>
      <c r="AB19" s="412"/>
      <c r="AC19" s="412"/>
      <c r="AD19" s="412"/>
      <c r="AE19" s="412"/>
      <c r="AF19" s="412"/>
      <c r="AG19" s="412"/>
      <c r="AH19" s="412"/>
      <c r="AI19" s="412"/>
      <c r="AJ19" s="412"/>
      <c r="AK19" s="412"/>
      <c r="AL19" s="412"/>
      <c r="AM19" s="412"/>
      <c r="AN19" s="412"/>
      <c r="AO19" s="412"/>
      <c r="AP19" s="412"/>
      <c r="AQ19" s="412"/>
      <c r="AR19" s="412"/>
      <c r="AS19" s="412"/>
      <c r="AT19" s="412"/>
      <c r="AV19" s="413"/>
      <c r="AW19" s="413"/>
      <c r="AX19" s="414"/>
      <c r="AY19" s="415"/>
      <c r="AZ19" s="416"/>
    </row>
    <row r="20" spans="1:52">
      <c r="A20" s="5" t="str">
        <f t="shared" si="1"/>
        <v>Res - Outreach &amp; Education_Behavior 2021 Y1 Persistence</v>
      </c>
      <c r="B20" s="407">
        <v>17</v>
      </c>
      <c r="C20" s="407" t="s">
        <v>698</v>
      </c>
      <c r="D20" s="407" t="s">
        <v>777</v>
      </c>
      <c r="E20" s="408" t="s">
        <v>150</v>
      </c>
      <c r="F20" s="408">
        <v>1</v>
      </c>
      <c r="G20" s="409">
        <v>1</v>
      </c>
      <c r="H20" s="470">
        <v>0</v>
      </c>
      <c r="I20" s="463">
        <v>0</v>
      </c>
      <c r="J20" s="408"/>
      <c r="K20" s="408"/>
      <c r="L20" s="408"/>
      <c r="M20" s="408">
        <v>44000</v>
      </c>
      <c r="N20" s="461">
        <v>0</v>
      </c>
      <c r="O20" s="461">
        <v>0</v>
      </c>
      <c r="P20" s="461">
        <v>0</v>
      </c>
      <c r="Q20" s="461">
        <v>4.4787621495763874</v>
      </c>
      <c r="R20" s="411"/>
      <c r="S20" s="411" t="s">
        <v>1046</v>
      </c>
      <c r="T20" s="407" t="s">
        <v>759</v>
      </c>
      <c r="U20" s="407" t="s">
        <v>760</v>
      </c>
      <c r="V20" s="412"/>
      <c r="W20" s="412"/>
      <c r="X20" s="412"/>
      <c r="Y20" s="412"/>
      <c r="Z20" s="412"/>
      <c r="AA20" s="412"/>
      <c r="AB20" s="412"/>
      <c r="AC20" s="412"/>
      <c r="AD20" s="412"/>
      <c r="AE20" s="412"/>
      <c r="AF20" s="412"/>
      <c r="AG20" s="412"/>
      <c r="AH20" s="412"/>
      <c r="AI20" s="412"/>
      <c r="AJ20" s="412"/>
      <c r="AK20" s="412"/>
      <c r="AL20" s="412"/>
      <c r="AM20" s="412"/>
      <c r="AN20" s="412"/>
      <c r="AO20" s="412"/>
      <c r="AP20" s="412"/>
      <c r="AQ20" s="412"/>
      <c r="AR20" s="412"/>
      <c r="AS20" s="412"/>
      <c r="AT20" s="412"/>
      <c r="AV20" s="413"/>
      <c r="AW20" s="413"/>
      <c r="AX20" s="414"/>
      <c r="AY20" s="415"/>
      <c r="AZ20" s="416"/>
    </row>
    <row r="21" spans="1:52">
      <c r="A21" s="5" t="str">
        <f t="shared" si="1"/>
        <v>Res - Outreach &amp; Education_Behavior 2021 Y2 Persistence</v>
      </c>
      <c r="B21" s="407">
        <v>18</v>
      </c>
      <c r="C21" s="407" t="s">
        <v>698</v>
      </c>
      <c r="D21" s="407" t="s">
        <v>778</v>
      </c>
      <c r="E21" s="408" t="s">
        <v>150</v>
      </c>
      <c r="F21" s="408">
        <v>1</v>
      </c>
      <c r="G21" s="409">
        <v>1</v>
      </c>
      <c r="H21" s="470">
        <v>0</v>
      </c>
      <c r="I21" s="463">
        <v>0</v>
      </c>
      <c r="J21" s="408"/>
      <c r="K21" s="408"/>
      <c r="L21" s="408"/>
      <c r="M21" s="408">
        <v>44000</v>
      </c>
      <c r="N21" s="461">
        <v>0</v>
      </c>
      <c r="O21" s="461">
        <v>0</v>
      </c>
      <c r="P21" s="461">
        <v>0</v>
      </c>
      <c r="Q21" s="461">
        <v>1.9449566615238212</v>
      </c>
      <c r="R21" s="411"/>
      <c r="S21" s="411" t="s">
        <v>1046</v>
      </c>
      <c r="T21" s="407" t="s">
        <v>759</v>
      </c>
      <c r="U21" s="407" t="s">
        <v>760</v>
      </c>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V21" s="413"/>
      <c r="AW21" s="413"/>
      <c r="AX21" s="414"/>
      <c r="AY21" s="415"/>
      <c r="AZ21" s="416"/>
    </row>
    <row r="22" spans="1:52">
      <c r="A22" s="5" t="str">
        <f t="shared" si="1"/>
        <v>Res - Outreach &amp; Education_Behavior 2021 Y3 Persistence</v>
      </c>
      <c r="B22" s="407">
        <v>19</v>
      </c>
      <c r="C22" s="407" t="s">
        <v>698</v>
      </c>
      <c r="D22" s="407" t="s">
        <v>779</v>
      </c>
      <c r="E22" s="408" t="s">
        <v>150</v>
      </c>
      <c r="F22" s="408">
        <v>1</v>
      </c>
      <c r="G22" s="409">
        <v>1</v>
      </c>
      <c r="H22" s="470">
        <v>0</v>
      </c>
      <c r="I22" s="463">
        <v>0</v>
      </c>
      <c r="J22" s="408"/>
      <c r="K22" s="408"/>
      <c r="L22" s="408"/>
      <c r="M22" s="408">
        <v>44000</v>
      </c>
      <c r="N22" s="461">
        <v>0</v>
      </c>
      <c r="O22" s="461">
        <v>0</v>
      </c>
      <c r="P22" s="461">
        <v>0</v>
      </c>
      <c r="Q22" s="461">
        <v>0.85517872851502641</v>
      </c>
      <c r="R22" s="411"/>
      <c r="S22" s="411" t="s">
        <v>1046</v>
      </c>
      <c r="T22" s="407" t="s">
        <v>759</v>
      </c>
      <c r="U22" s="407" t="s">
        <v>760</v>
      </c>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12"/>
      <c r="AV22" s="413"/>
      <c r="AW22" s="413"/>
      <c r="AX22" s="414"/>
      <c r="AY22" s="415"/>
      <c r="AZ22" s="416"/>
    </row>
    <row r="23" spans="1:52">
      <c r="A23" s="5" t="str">
        <f t="shared" si="1"/>
        <v>Res - Outreach &amp; Education_Behavior 2021 Y4 Persistence</v>
      </c>
      <c r="B23" s="407">
        <v>20</v>
      </c>
      <c r="C23" s="407" t="s">
        <v>698</v>
      </c>
      <c r="D23" s="407" t="s">
        <v>780</v>
      </c>
      <c r="E23" s="408" t="s">
        <v>150</v>
      </c>
      <c r="F23" s="408">
        <v>1</v>
      </c>
      <c r="G23" s="409">
        <v>1</v>
      </c>
      <c r="H23" s="470">
        <v>0</v>
      </c>
      <c r="I23" s="463">
        <v>0</v>
      </c>
      <c r="J23" s="408"/>
      <c r="K23" s="408"/>
      <c r="L23" s="408"/>
      <c r="M23" s="408">
        <v>44000</v>
      </c>
      <c r="N23" s="461">
        <v>0</v>
      </c>
      <c r="O23" s="461">
        <v>0</v>
      </c>
      <c r="P23" s="461">
        <v>0</v>
      </c>
      <c r="Q23" s="461">
        <v>0.37137171148418541</v>
      </c>
      <c r="R23" s="411"/>
      <c r="S23" s="411" t="s">
        <v>1046</v>
      </c>
      <c r="T23" s="407" t="s">
        <v>759</v>
      </c>
      <c r="U23" s="407" t="s">
        <v>760</v>
      </c>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V23" s="413"/>
      <c r="AW23" s="413"/>
      <c r="AX23" s="414"/>
      <c r="AY23" s="415"/>
      <c r="AZ23" s="416"/>
    </row>
    <row r="24" spans="1:52">
      <c r="A24" s="5" t="str">
        <f t="shared" si="1"/>
        <v>Res - Outreach &amp; Education_Energy Education</v>
      </c>
      <c r="B24" s="407">
        <v>21</v>
      </c>
      <c r="C24" s="407" t="s">
        <v>698</v>
      </c>
      <c r="D24" s="407" t="s">
        <v>668</v>
      </c>
      <c r="E24" s="408" t="s">
        <v>150</v>
      </c>
      <c r="F24" s="408">
        <v>1</v>
      </c>
      <c r="G24" s="409">
        <v>1</v>
      </c>
      <c r="H24" s="470">
        <v>1</v>
      </c>
      <c r="I24" s="463">
        <v>1</v>
      </c>
      <c r="J24" s="408">
        <v>5528</v>
      </c>
      <c r="K24" s="408">
        <v>5528</v>
      </c>
      <c r="L24" s="408">
        <v>5528</v>
      </c>
      <c r="M24" s="408">
        <v>5528</v>
      </c>
      <c r="N24" s="461">
        <v>10</v>
      </c>
      <c r="O24" s="461">
        <f t="shared" ref="O24:Q43" si="2">N24</f>
        <v>10</v>
      </c>
      <c r="P24" s="461">
        <f t="shared" si="2"/>
        <v>10</v>
      </c>
      <c r="Q24" s="461">
        <f t="shared" si="2"/>
        <v>10</v>
      </c>
      <c r="R24" s="407"/>
      <c r="S24" s="407" t="s">
        <v>140</v>
      </c>
      <c r="T24" s="407" t="s">
        <v>140</v>
      </c>
      <c r="U24" s="407" t="s">
        <v>140</v>
      </c>
      <c r="V24" s="412" t="s">
        <v>140</v>
      </c>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V24" s="413"/>
      <c r="AW24" s="413"/>
      <c r="AX24" s="414"/>
      <c r="AY24" s="415"/>
      <c r="AZ24" s="416"/>
    </row>
    <row r="25" spans="1:52">
      <c r="A25" s="5" t="str">
        <f t="shared" si="1"/>
        <v>Res - SF Assessments_Bathroom Aerator</v>
      </c>
      <c r="B25" s="407">
        <v>22</v>
      </c>
      <c r="C25" s="407" t="s">
        <v>690</v>
      </c>
      <c r="D25" s="407" t="s">
        <v>733</v>
      </c>
      <c r="E25" s="408" t="s">
        <v>150</v>
      </c>
      <c r="F25" s="408">
        <v>1</v>
      </c>
      <c r="G25" s="409">
        <v>0.96</v>
      </c>
      <c r="H25" s="470">
        <v>9</v>
      </c>
      <c r="I25" s="467">
        <v>10</v>
      </c>
      <c r="J25" s="408">
        <v>8037</v>
      </c>
      <c r="K25" s="408">
        <v>8037</v>
      </c>
      <c r="L25" s="408">
        <v>7495</v>
      </c>
      <c r="M25" s="408">
        <v>8037</v>
      </c>
      <c r="N25" s="461">
        <f>100%*(((X25*AB25)-(Z25*AB25))*AL25*365.25*AD25/AF25)*AH25*AJ25</f>
        <v>0.90849584455671673</v>
      </c>
      <c r="O25" s="461">
        <f t="shared" si="2"/>
        <v>0.90849584455671673</v>
      </c>
      <c r="P25" s="461">
        <f t="shared" si="2"/>
        <v>0.90849584455671673</v>
      </c>
      <c r="Q25" s="461">
        <f t="shared" si="2"/>
        <v>0.90849584455671673</v>
      </c>
      <c r="R25" s="411"/>
      <c r="S25" s="411" t="s">
        <v>1046</v>
      </c>
      <c r="T25" s="411" t="s">
        <v>470</v>
      </c>
      <c r="U25" s="411" t="s">
        <v>469</v>
      </c>
      <c r="V25" s="412" t="s">
        <v>467</v>
      </c>
      <c r="W25" s="417" t="s">
        <v>359</v>
      </c>
      <c r="X25" s="417">
        <v>1.53</v>
      </c>
      <c r="Y25" s="412" t="s">
        <v>358</v>
      </c>
      <c r="Z25" s="412">
        <v>0.94</v>
      </c>
      <c r="AA25" s="149" t="s">
        <v>357</v>
      </c>
      <c r="AB25" s="412">
        <v>1.6</v>
      </c>
      <c r="AC25" s="149" t="s">
        <v>468</v>
      </c>
      <c r="AD25" s="418">
        <v>0.9</v>
      </c>
      <c r="AE25" s="149" t="s">
        <v>364</v>
      </c>
      <c r="AF25" s="412">
        <v>2.83</v>
      </c>
      <c r="AG25" s="412" t="s">
        <v>355</v>
      </c>
      <c r="AH25" s="419">
        <f>8.33*1*(86-54.1)/(AN25*100000)</f>
        <v>3.4067564102564099E-3</v>
      </c>
      <c r="AI25" s="412" t="s">
        <v>354</v>
      </c>
      <c r="AJ25" s="412">
        <v>0.95</v>
      </c>
      <c r="AK25" s="412" t="s">
        <v>462</v>
      </c>
      <c r="AL25" s="412">
        <v>2.56</v>
      </c>
      <c r="AM25" s="412" t="s">
        <v>461</v>
      </c>
      <c r="AN25" s="418">
        <v>0.78</v>
      </c>
      <c r="AO25" s="158"/>
      <c r="AP25" s="158"/>
      <c r="AQ25" s="158"/>
      <c r="AR25" s="158"/>
      <c r="AS25" s="158"/>
      <c r="AT25" s="158"/>
      <c r="AV25" s="413"/>
      <c r="AW25" s="413"/>
      <c r="AX25" s="414"/>
      <c r="AY25" s="415"/>
      <c r="AZ25" s="416"/>
    </row>
    <row r="26" spans="1:52">
      <c r="A26" s="5" t="str">
        <f t="shared" si="1"/>
        <v>Res - SF Assessments_Kitchen Aerator</v>
      </c>
      <c r="B26" s="407">
        <v>23</v>
      </c>
      <c r="C26" s="407" t="s">
        <v>690</v>
      </c>
      <c r="D26" s="407" t="s">
        <v>732</v>
      </c>
      <c r="E26" s="408" t="s">
        <v>150</v>
      </c>
      <c r="F26" s="408">
        <v>1</v>
      </c>
      <c r="G26" s="409">
        <v>0.96</v>
      </c>
      <c r="H26" s="470">
        <v>9</v>
      </c>
      <c r="I26" s="467">
        <v>10</v>
      </c>
      <c r="J26" s="408">
        <v>4429</v>
      </c>
      <c r="K26" s="408">
        <v>4429</v>
      </c>
      <c r="L26" s="408">
        <v>4130</v>
      </c>
      <c r="M26" s="408">
        <v>4429</v>
      </c>
      <c r="N26" s="461">
        <f>100%*(((X26*AB26)-(Z26*AB26))*AL26*365.25*AD26/AF26)*AH26*AJ26</f>
        <v>8.5936302377584592</v>
      </c>
      <c r="O26" s="461">
        <f t="shared" si="2"/>
        <v>8.5936302377584592</v>
      </c>
      <c r="P26" s="461">
        <f t="shared" si="2"/>
        <v>8.5936302377584592</v>
      </c>
      <c r="Q26" s="461">
        <f t="shared" si="2"/>
        <v>8.5936302377584592</v>
      </c>
      <c r="R26" s="411"/>
      <c r="S26" s="411" t="s">
        <v>1046</v>
      </c>
      <c r="T26" s="411" t="s">
        <v>470</v>
      </c>
      <c r="U26" s="411" t="s">
        <v>469</v>
      </c>
      <c r="V26" s="412" t="s">
        <v>467</v>
      </c>
      <c r="W26" s="417" t="s">
        <v>359</v>
      </c>
      <c r="X26" s="417">
        <v>1.63</v>
      </c>
      <c r="Y26" s="412" t="s">
        <v>358</v>
      </c>
      <c r="Z26" s="412">
        <v>0.94</v>
      </c>
      <c r="AA26" s="149" t="s">
        <v>357</v>
      </c>
      <c r="AB26" s="412">
        <v>4.5</v>
      </c>
      <c r="AC26" s="149" t="s">
        <v>468</v>
      </c>
      <c r="AD26" s="418">
        <v>0.75</v>
      </c>
      <c r="AE26" s="149" t="s">
        <v>364</v>
      </c>
      <c r="AF26" s="412">
        <v>1</v>
      </c>
      <c r="AG26" s="412" t="s">
        <v>355</v>
      </c>
      <c r="AH26" s="419">
        <f>8.33*1*(93-54.1)/(AN26*100000)</f>
        <v>4.1543205128205122E-3</v>
      </c>
      <c r="AI26" s="412" t="s">
        <v>354</v>
      </c>
      <c r="AJ26" s="412">
        <v>0.95</v>
      </c>
      <c r="AK26" s="412" t="s">
        <v>462</v>
      </c>
      <c r="AL26" s="412">
        <v>2.56</v>
      </c>
      <c r="AM26" s="412" t="s">
        <v>461</v>
      </c>
      <c r="AN26" s="418">
        <v>0.78</v>
      </c>
      <c r="AO26" s="158"/>
      <c r="AP26" s="158"/>
      <c r="AQ26" s="158"/>
      <c r="AR26" s="158"/>
      <c r="AS26" s="158"/>
      <c r="AT26" s="158"/>
      <c r="AV26" s="413"/>
      <c r="AW26" s="413"/>
      <c r="AX26" s="414"/>
      <c r="AY26" s="420"/>
      <c r="AZ26" s="416"/>
    </row>
    <row r="27" spans="1:52">
      <c r="A27" s="5" t="str">
        <f t="shared" si="1"/>
        <v>Res - SF Assessments_Showerhead</v>
      </c>
      <c r="B27" s="407">
        <v>24</v>
      </c>
      <c r="C27" s="407" t="s">
        <v>690</v>
      </c>
      <c r="D27" s="407" t="s">
        <v>731</v>
      </c>
      <c r="E27" s="408" t="s">
        <v>150</v>
      </c>
      <c r="F27" s="408">
        <v>1</v>
      </c>
      <c r="G27" s="409">
        <v>0.96</v>
      </c>
      <c r="H27" s="470">
        <v>10</v>
      </c>
      <c r="I27" s="463">
        <v>10</v>
      </c>
      <c r="J27" s="408">
        <v>9349</v>
      </c>
      <c r="K27" s="408">
        <v>9349</v>
      </c>
      <c r="L27" s="408">
        <v>8719</v>
      </c>
      <c r="M27" s="408">
        <v>9349</v>
      </c>
      <c r="N27" s="461">
        <f>100%*((X27*AB27-Z27*AB27)*AL27*AF27*365.25/AH27)*AD27*AJ27</f>
        <v>8.7892072937103034</v>
      </c>
      <c r="O27" s="461">
        <f t="shared" si="2"/>
        <v>8.7892072937103034</v>
      </c>
      <c r="P27" s="461">
        <f t="shared" si="2"/>
        <v>8.7892072937103034</v>
      </c>
      <c r="Q27" s="461">
        <f t="shared" si="2"/>
        <v>8.7892072937103034</v>
      </c>
      <c r="R27" s="411"/>
      <c r="S27" s="411" t="s">
        <v>1046</v>
      </c>
      <c r="T27" s="411" t="s">
        <v>466</v>
      </c>
      <c r="U27" s="411" t="s">
        <v>465</v>
      </c>
      <c r="V27" s="412" t="s">
        <v>460</v>
      </c>
      <c r="W27" s="417" t="s">
        <v>359</v>
      </c>
      <c r="X27" s="417">
        <v>2.2400000000000002</v>
      </c>
      <c r="Y27" s="412" t="s">
        <v>358</v>
      </c>
      <c r="Z27" s="412">
        <v>1.5</v>
      </c>
      <c r="AA27" s="149" t="s">
        <v>357</v>
      </c>
      <c r="AB27" s="412">
        <v>7.8</v>
      </c>
      <c r="AC27" s="149" t="s">
        <v>355</v>
      </c>
      <c r="AD27" s="419">
        <f>8.33*1*(101-54.1)/(AN27*100000)</f>
        <v>5.0086794871794871E-3</v>
      </c>
      <c r="AE27" s="149" t="s">
        <v>464</v>
      </c>
      <c r="AF27" s="412">
        <v>0.6</v>
      </c>
      <c r="AG27" s="412" t="s">
        <v>463</v>
      </c>
      <c r="AH27" s="412">
        <v>1.79</v>
      </c>
      <c r="AI27" s="491" t="s">
        <v>354</v>
      </c>
      <c r="AJ27" s="491">
        <v>0.97</v>
      </c>
      <c r="AK27" s="412" t="s">
        <v>462</v>
      </c>
      <c r="AL27" s="412">
        <v>2.56</v>
      </c>
      <c r="AM27" s="412" t="s">
        <v>461</v>
      </c>
      <c r="AN27" s="418">
        <v>0.78</v>
      </c>
      <c r="AO27" s="158"/>
      <c r="AP27" s="158"/>
      <c r="AQ27" s="158"/>
      <c r="AR27" s="158"/>
      <c r="AS27" s="158"/>
      <c r="AT27" s="158"/>
      <c r="AV27" s="413"/>
      <c r="AW27" s="413"/>
      <c r="AX27" s="414"/>
      <c r="AY27" s="415"/>
      <c r="AZ27" s="416"/>
    </row>
    <row r="28" spans="1:52">
      <c r="A28" s="5" t="str">
        <f t="shared" si="1"/>
        <v>Res - SF Assessments_Pipe Insulation (DHW)</v>
      </c>
      <c r="B28" s="407">
        <v>25</v>
      </c>
      <c r="C28" s="407" t="s">
        <v>690</v>
      </c>
      <c r="D28" s="407" t="s">
        <v>1056</v>
      </c>
      <c r="E28" s="408" t="s">
        <v>210</v>
      </c>
      <c r="F28" s="408">
        <v>3</v>
      </c>
      <c r="G28" s="409">
        <v>0.96</v>
      </c>
      <c r="H28" s="470">
        <v>15</v>
      </c>
      <c r="I28" s="463">
        <v>15</v>
      </c>
      <c r="J28" s="408">
        <v>9079</v>
      </c>
      <c r="K28" s="408">
        <v>9079</v>
      </c>
      <c r="L28" s="408">
        <v>8466</v>
      </c>
      <c r="M28" s="408">
        <v>9079</v>
      </c>
      <c r="N28" s="394">
        <f xml:space="preserve"> ((X28 / Z28 - AB28 / AD28) * AF28 * AH28 * 8766) / AJ28 / 100000</f>
        <v>0.77039653846153844</v>
      </c>
      <c r="O28" s="462">
        <f t="shared" si="2"/>
        <v>0.77039653846153844</v>
      </c>
      <c r="P28" s="462">
        <f t="shared" si="2"/>
        <v>0.77039653846153844</v>
      </c>
      <c r="Q28" s="462">
        <f t="shared" si="2"/>
        <v>0.77039653846153844</v>
      </c>
      <c r="R28" s="411"/>
      <c r="S28" s="411" t="s">
        <v>1046</v>
      </c>
      <c r="T28" s="411" t="s">
        <v>459</v>
      </c>
      <c r="U28" s="411" t="s">
        <v>458</v>
      </c>
      <c r="V28" s="421" t="s">
        <v>846</v>
      </c>
      <c r="W28" s="150" t="s">
        <v>451</v>
      </c>
      <c r="X28" s="158">
        <v>0.19600000000000001</v>
      </c>
      <c r="Y28" s="158" t="s">
        <v>454</v>
      </c>
      <c r="Z28" s="158">
        <v>1</v>
      </c>
      <c r="AA28" s="391" t="s">
        <v>847</v>
      </c>
      <c r="AB28" s="421">
        <v>0.32700000000000001</v>
      </c>
      <c r="AC28" s="158" t="s">
        <v>453</v>
      </c>
      <c r="AD28" s="158">
        <f>(1+3)</f>
        <v>4</v>
      </c>
      <c r="AE28" s="150" t="s">
        <v>260</v>
      </c>
      <c r="AF28" s="158">
        <v>1</v>
      </c>
      <c r="AG28" s="150" t="s">
        <v>304</v>
      </c>
      <c r="AH28" s="158">
        <v>60</v>
      </c>
      <c r="AI28" s="158" t="s">
        <v>457</v>
      </c>
      <c r="AJ28" s="158">
        <v>0.78</v>
      </c>
      <c r="AK28" s="158"/>
      <c r="AL28" s="158"/>
      <c r="AM28" s="158"/>
      <c r="AN28" s="158"/>
      <c r="AO28" s="158"/>
      <c r="AP28" s="158"/>
      <c r="AQ28" s="158"/>
      <c r="AR28" s="158"/>
      <c r="AS28" s="158"/>
      <c r="AT28" s="158"/>
      <c r="AV28" s="413"/>
      <c r="AW28" s="413"/>
      <c r="AX28" s="414"/>
      <c r="AY28" s="415"/>
      <c r="AZ28" s="416"/>
    </row>
    <row r="29" spans="1:52">
      <c r="A29" s="5" t="str">
        <f t="shared" si="1"/>
        <v>Res - SF Assessments_Pipe Insulation (Boiler)</v>
      </c>
      <c r="B29" s="407">
        <v>26</v>
      </c>
      <c r="C29" s="407" t="s">
        <v>690</v>
      </c>
      <c r="D29" s="407" t="s">
        <v>701</v>
      </c>
      <c r="E29" s="408" t="s">
        <v>210</v>
      </c>
      <c r="F29" s="408">
        <v>3</v>
      </c>
      <c r="G29" s="409">
        <v>0.96</v>
      </c>
      <c r="H29" s="470">
        <v>15</v>
      </c>
      <c r="I29" s="463">
        <v>15</v>
      </c>
      <c r="J29" s="408">
        <v>4429</v>
      </c>
      <c r="K29" s="408">
        <v>4429</v>
      </c>
      <c r="L29" s="408">
        <v>4130</v>
      </c>
      <c r="M29" s="408">
        <v>4429</v>
      </c>
      <c r="N29" s="355">
        <f>((1/X29*AD29-1/Z29*AF29)*AB29*AH29*AJ29/AL29/100000)</f>
        <v>0.41554055468341189</v>
      </c>
      <c r="O29" s="461">
        <f t="shared" si="2"/>
        <v>0.41554055468341189</v>
      </c>
      <c r="P29" s="461">
        <f t="shared" si="2"/>
        <v>0.41554055468341189</v>
      </c>
      <c r="Q29" s="461">
        <f t="shared" si="2"/>
        <v>0.41554055468341189</v>
      </c>
      <c r="R29" s="411"/>
      <c r="S29" s="411" t="s">
        <v>1046</v>
      </c>
      <c r="T29" s="411" t="s">
        <v>456</v>
      </c>
      <c r="U29" s="411" t="s">
        <v>455</v>
      </c>
      <c r="V29" s="158" t="s">
        <v>448</v>
      </c>
      <c r="W29" s="158" t="s">
        <v>454</v>
      </c>
      <c r="X29" s="158">
        <v>0.5</v>
      </c>
      <c r="Y29" s="158" t="s">
        <v>453</v>
      </c>
      <c r="Z29" s="158">
        <f>3+0.5</f>
        <v>3.5</v>
      </c>
      <c r="AA29" s="150" t="s">
        <v>452</v>
      </c>
      <c r="AB29" s="158">
        <v>1840</v>
      </c>
      <c r="AC29" s="150" t="s">
        <v>451</v>
      </c>
      <c r="AD29" s="158">
        <f>(0.131+0.196)/2</f>
        <v>0.16350000000000001</v>
      </c>
      <c r="AE29" s="150" t="s">
        <v>450</v>
      </c>
      <c r="AF29" s="422">
        <f>(((0.5+1)+(0.75+1))/2)*3.14/12</f>
        <v>0.42520833333333335</v>
      </c>
      <c r="AG29" s="158" t="s">
        <v>260</v>
      </c>
      <c r="AH29" s="158">
        <v>1</v>
      </c>
      <c r="AI29" s="158" t="s">
        <v>304</v>
      </c>
      <c r="AJ29" s="158">
        <f>(110+70)/2</f>
        <v>90</v>
      </c>
      <c r="AK29" s="158" t="s">
        <v>449</v>
      </c>
      <c r="AL29" s="158">
        <v>0.81899999999999995</v>
      </c>
      <c r="AM29" s="158"/>
      <c r="AN29" s="158"/>
      <c r="AO29" s="158"/>
      <c r="AP29" s="158"/>
      <c r="AQ29" s="158"/>
      <c r="AR29" s="158"/>
      <c r="AS29" s="158"/>
      <c r="AT29" s="158"/>
      <c r="AV29" s="413"/>
      <c r="AW29" s="413"/>
      <c r="AX29" s="414"/>
      <c r="AY29" s="415"/>
      <c r="AZ29" s="416"/>
    </row>
    <row r="30" spans="1:52">
      <c r="A30" s="5" t="str">
        <f t="shared" si="1"/>
        <v>Res - SF Assessments_Programmable Thermostat - Furnace</v>
      </c>
      <c r="B30" s="407">
        <v>27</v>
      </c>
      <c r="C30" s="407" t="s">
        <v>690</v>
      </c>
      <c r="D30" s="407" t="s">
        <v>702</v>
      </c>
      <c r="E30" s="408" t="s">
        <v>150</v>
      </c>
      <c r="F30" s="408">
        <v>1</v>
      </c>
      <c r="G30" s="409">
        <v>0.96</v>
      </c>
      <c r="H30" s="470">
        <v>5</v>
      </c>
      <c r="I30" s="467">
        <v>8</v>
      </c>
      <c r="J30" s="408">
        <v>1640</v>
      </c>
      <c r="K30" s="408">
        <v>1640</v>
      </c>
      <c r="L30" s="408">
        <v>1530</v>
      </c>
      <c r="M30" s="408">
        <v>1640</v>
      </c>
      <c r="N30" s="354">
        <f t="shared" ref="N30:N36" si="3">X30*Z30*AB30*AD30</f>
        <v>62.31</v>
      </c>
      <c r="O30" s="461">
        <f t="shared" si="2"/>
        <v>62.31</v>
      </c>
      <c r="P30" s="461">
        <f t="shared" si="2"/>
        <v>62.31</v>
      </c>
      <c r="Q30" s="461">
        <f t="shared" si="2"/>
        <v>62.31</v>
      </c>
      <c r="R30" s="411"/>
      <c r="S30" s="411" t="s">
        <v>1046</v>
      </c>
      <c r="T30" s="411" t="s">
        <v>447</v>
      </c>
      <c r="U30" s="411" t="s">
        <v>446</v>
      </c>
      <c r="V30" s="412" t="s">
        <v>734</v>
      </c>
      <c r="W30" s="151" t="s">
        <v>445</v>
      </c>
      <c r="X30" s="152">
        <v>1005</v>
      </c>
      <c r="Y30" s="153" t="s">
        <v>444</v>
      </c>
      <c r="Z30" s="154">
        <v>6.2E-2</v>
      </c>
      <c r="AA30" s="149" t="s">
        <v>392</v>
      </c>
      <c r="AB30" s="155">
        <v>1</v>
      </c>
      <c r="AC30" s="149" t="s">
        <v>443</v>
      </c>
      <c r="AD30" s="155">
        <v>1</v>
      </c>
      <c r="AE30" s="149" t="s">
        <v>442</v>
      </c>
      <c r="AF30" s="156">
        <v>3.1399999999999997E-2</v>
      </c>
      <c r="AG30" s="158"/>
      <c r="AH30" s="158"/>
      <c r="AI30" s="158"/>
      <c r="AJ30" s="158"/>
      <c r="AK30" s="158"/>
      <c r="AL30" s="158"/>
      <c r="AM30" s="158"/>
      <c r="AN30" s="158"/>
      <c r="AO30" s="158"/>
      <c r="AP30" s="158"/>
      <c r="AQ30" s="158"/>
      <c r="AR30" s="158"/>
      <c r="AS30" s="158"/>
      <c r="AT30" s="158"/>
      <c r="AV30" s="413"/>
      <c r="AW30" s="413"/>
      <c r="AX30" s="414"/>
      <c r="AY30" s="415"/>
      <c r="AZ30" s="416"/>
    </row>
    <row r="31" spans="1:52">
      <c r="A31" s="5" t="str">
        <f t="shared" si="1"/>
        <v>Res - SF Assessments_Programmable Thermostat - Boiler</v>
      </c>
      <c r="B31" s="407">
        <v>28</v>
      </c>
      <c r="C31" s="407" t="s">
        <v>690</v>
      </c>
      <c r="D31" s="407" t="s">
        <v>1057</v>
      </c>
      <c r="E31" s="408" t="s">
        <v>150</v>
      </c>
      <c r="F31" s="408">
        <v>1</v>
      </c>
      <c r="G31" s="409">
        <v>0.96</v>
      </c>
      <c r="H31" s="470">
        <v>5</v>
      </c>
      <c r="I31" s="467">
        <v>8</v>
      </c>
      <c r="J31" s="408">
        <v>164</v>
      </c>
      <c r="K31" s="408">
        <v>164</v>
      </c>
      <c r="L31" s="408">
        <v>153</v>
      </c>
      <c r="M31" s="408">
        <v>164</v>
      </c>
      <c r="N31" s="354">
        <f t="shared" si="3"/>
        <v>75.516000000000005</v>
      </c>
      <c r="O31" s="461">
        <f t="shared" si="2"/>
        <v>75.516000000000005</v>
      </c>
      <c r="P31" s="461">
        <f t="shared" si="2"/>
        <v>75.516000000000005</v>
      </c>
      <c r="Q31" s="461">
        <f t="shared" si="2"/>
        <v>75.516000000000005</v>
      </c>
      <c r="R31" s="411"/>
      <c r="S31" s="411" t="s">
        <v>1046</v>
      </c>
      <c r="T31" s="411" t="s">
        <v>447</v>
      </c>
      <c r="U31" s="411" t="s">
        <v>446</v>
      </c>
      <c r="V31" s="412" t="s">
        <v>734</v>
      </c>
      <c r="W31" s="151" t="s">
        <v>445</v>
      </c>
      <c r="X31" s="152">
        <v>1218</v>
      </c>
      <c r="Y31" s="153" t="s">
        <v>444</v>
      </c>
      <c r="Z31" s="154">
        <v>6.2E-2</v>
      </c>
      <c r="AA31" s="149" t="s">
        <v>392</v>
      </c>
      <c r="AB31" s="155">
        <v>1</v>
      </c>
      <c r="AC31" s="149" t="s">
        <v>443</v>
      </c>
      <c r="AD31" s="155">
        <v>1</v>
      </c>
      <c r="AE31" s="149" t="s">
        <v>442</v>
      </c>
      <c r="AF31" s="156">
        <v>3.1399999999999997E-2</v>
      </c>
      <c r="AG31" s="158"/>
      <c r="AH31" s="158"/>
      <c r="AI31" s="158"/>
      <c r="AJ31" s="158"/>
      <c r="AK31" s="158"/>
      <c r="AL31" s="158"/>
      <c r="AM31" s="158"/>
      <c r="AN31" s="158"/>
      <c r="AO31" s="158"/>
      <c r="AP31" s="158"/>
      <c r="AQ31" s="158"/>
      <c r="AR31" s="158"/>
      <c r="AS31" s="158"/>
      <c r="AT31" s="158"/>
      <c r="AV31" s="413"/>
      <c r="AW31" s="413"/>
      <c r="AX31" s="414"/>
      <c r="AY31" s="415"/>
      <c r="AZ31" s="416"/>
    </row>
    <row r="32" spans="1:52">
      <c r="A32" s="5" t="str">
        <f t="shared" si="1"/>
        <v>Res - SF Assessments_Advanced Thermostat - Furnace (Replace Manual)</v>
      </c>
      <c r="B32" s="407">
        <v>29</v>
      </c>
      <c r="C32" s="407" t="s">
        <v>690</v>
      </c>
      <c r="D32" s="407" t="s">
        <v>699</v>
      </c>
      <c r="E32" s="408" t="s">
        <v>150</v>
      </c>
      <c r="F32" s="408">
        <v>1</v>
      </c>
      <c r="G32" s="409">
        <v>1</v>
      </c>
      <c r="H32" s="470">
        <v>10</v>
      </c>
      <c r="I32" s="467">
        <v>11</v>
      </c>
      <c r="J32" s="408">
        <v>328</v>
      </c>
      <c r="K32" s="408">
        <v>328</v>
      </c>
      <c r="L32" s="408">
        <v>306</v>
      </c>
      <c r="M32" s="408">
        <v>328</v>
      </c>
      <c r="N32" s="208">
        <f t="shared" si="3"/>
        <v>88.44</v>
      </c>
      <c r="O32" s="461">
        <f t="shared" si="2"/>
        <v>88.44</v>
      </c>
      <c r="P32" s="461">
        <f t="shared" si="2"/>
        <v>88.44</v>
      </c>
      <c r="Q32" s="461">
        <f t="shared" si="2"/>
        <v>88.44</v>
      </c>
      <c r="R32" s="411"/>
      <c r="S32" s="411" t="s">
        <v>1046</v>
      </c>
      <c r="T32" s="411" t="s">
        <v>49</v>
      </c>
      <c r="U32" s="411" t="s">
        <v>60</v>
      </c>
      <c r="V32" s="412" t="s">
        <v>734</v>
      </c>
      <c r="W32" s="151" t="s">
        <v>445</v>
      </c>
      <c r="X32" s="152">
        <v>1005</v>
      </c>
      <c r="Y32" s="153" t="s">
        <v>444</v>
      </c>
      <c r="Z32" s="154">
        <v>8.7999999999999995E-2</v>
      </c>
      <c r="AA32" s="149" t="s">
        <v>392</v>
      </c>
      <c r="AB32" s="155">
        <v>1</v>
      </c>
      <c r="AC32" s="149" t="s">
        <v>443</v>
      </c>
      <c r="AD32" s="155">
        <v>1</v>
      </c>
      <c r="AE32" s="149" t="s">
        <v>442</v>
      </c>
      <c r="AF32" s="156">
        <v>3.1399999999999997E-2</v>
      </c>
      <c r="AG32" s="158"/>
      <c r="AH32" s="158"/>
      <c r="AI32" s="158"/>
      <c r="AJ32" s="158"/>
      <c r="AK32" s="158"/>
      <c r="AL32" s="158"/>
      <c r="AM32" s="158"/>
      <c r="AN32" s="158"/>
      <c r="AO32" s="158"/>
      <c r="AP32" s="158"/>
      <c r="AQ32" s="158"/>
      <c r="AR32" s="158"/>
      <c r="AS32" s="158"/>
      <c r="AT32" s="158"/>
      <c r="AV32" s="413"/>
      <c r="AW32" s="413"/>
      <c r="AX32" s="414"/>
      <c r="AY32" s="415"/>
      <c r="AZ32" s="416"/>
    </row>
    <row r="33" spans="1:52">
      <c r="A33" s="5" t="str">
        <f t="shared" si="1"/>
        <v>Res - SF Assessments_Advanced Thermostat - Boiler (Replace Manual)</v>
      </c>
      <c r="B33" s="407">
        <v>30</v>
      </c>
      <c r="C33" s="407" t="s">
        <v>690</v>
      </c>
      <c r="D33" s="407" t="s">
        <v>1058</v>
      </c>
      <c r="E33" s="408" t="s">
        <v>150</v>
      </c>
      <c r="F33" s="408">
        <v>1</v>
      </c>
      <c r="G33" s="409">
        <v>1</v>
      </c>
      <c r="H33" s="470">
        <v>10</v>
      </c>
      <c r="I33" s="467">
        <v>11</v>
      </c>
      <c r="J33" s="408">
        <v>57</v>
      </c>
      <c r="K33" s="408">
        <v>57</v>
      </c>
      <c r="L33" s="408">
        <v>54</v>
      </c>
      <c r="M33" s="408">
        <v>57</v>
      </c>
      <c r="N33" s="208">
        <f t="shared" si="3"/>
        <v>107.184</v>
      </c>
      <c r="O33" s="461">
        <f t="shared" si="2"/>
        <v>107.184</v>
      </c>
      <c r="P33" s="461">
        <f t="shared" si="2"/>
        <v>107.184</v>
      </c>
      <c r="Q33" s="461">
        <f t="shared" si="2"/>
        <v>107.184</v>
      </c>
      <c r="R33" s="411"/>
      <c r="S33" s="411" t="s">
        <v>1046</v>
      </c>
      <c r="T33" s="411" t="s">
        <v>49</v>
      </c>
      <c r="U33" s="411" t="s">
        <v>60</v>
      </c>
      <c r="V33" s="412" t="s">
        <v>734</v>
      </c>
      <c r="W33" s="151" t="s">
        <v>445</v>
      </c>
      <c r="X33" s="152">
        <v>1218</v>
      </c>
      <c r="Y33" s="153" t="s">
        <v>444</v>
      </c>
      <c r="Z33" s="154">
        <v>8.7999999999999995E-2</v>
      </c>
      <c r="AA33" s="149" t="s">
        <v>392</v>
      </c>
      <c r="AB33" s="155">
        <v>1</v>
      </c>
      <c r="AC33" s="149" t="s">
        <v>443</v>
      </c>
      <c r="AD33" s="155">
        <v>1</v>
      </c>
      <c r="AE33" s="149" t="s">
        <v>442</v>
      </c>
      <c r="AF33" s="156">
        <v>3.1399999999999997E-2</v>
      </c>
      <c r="AG33" s="158"/>
      <c r="AH33" s="158"/>
      <c r="AI33" s="158"/>
      <c r="AJ33" s="158"/>
      <c r="AK33" s="158"/>
      <c r="AL33" s="158"/>
      <c r="AM33" s="158"/>
      <c r="AN33" s="158"/>
      <c r="AO33" s="158"/>
      <c r="AP33" s="158"/>
      <c r="AQ33" s="158"/>
      <c r="AR33" s="158"/>
      <c r="AS33" s="158"/>
      <c r="AT33" s="158"/>
      <c r="AV33" s="413"/>
      <c r="AW33" s="413"/>
      <c r="AX33" s="414"/>
      <c r="AY33" s="415"/>
      <c r="AZ33" s="416"/>
    </row>
    <row r="34" spans="1:52">
      <c r="A34" s="5" t="str">
        <f t="shared" si="1"/>
        <v>Res - SF Assessments_Advanced Thermostat - Furnace (Replace Programmable)</v>
      </c>
      <c r="B34" s="407">
        <v>31</v>
      </c>
      <c r="C34" s="407" t="s">
        <v>690</v>
      </c>
      <c r="D34" s="407" t="s">
        <v>1059</v>
      </c>
      <c r="E34" s="408" t="s">
        <v>150</v>
      </c>
      <c r="F34" s="408">
        <v>1</v>
      </c>
      <c r="G34" s="409">
        <v>1</v>
      </c>
      <c r="H34" s="470">
        <v>10</v>
      </c>
      <c r="I34" s="467">
        <v>11</v>
      </c>
      <c r="J34" s="408">
        <v>328</v>
      </c>
      <c r="K34" s="408">
        <v>328</v>
      </c>
      <c r="L34" s="408">
        <v>306</v>
      </c>
      <c r="M34" s="408">
        <v>328</v>
      </c>
      <c r="N34" s="208">
        <f t="shared" si="3"/>
        <v>56.28</v>
      </c>
      <c r="O34" s="461">
        <f t="shared" si="2"/>
        <v>56.28</v>
      </c>
      <c r="P34" s="461">
        <f t="shared" si="2"/>
        <v>56.28</v>
      </c>
      <c r="Q34" s="461">
        <f t="shared" si="2"/>
        <v>56.28</v>
      </c>
      <c r="R34" s="411"/>
      <c r="S34" s="411" t="s">
        <v>1046</v>
      </c>
      <c r="T34" s="411" t="s">
        <v>49</v>
      </c>
      <c r="U34" s="411" t="s">
        <v>60</v>
      </c>
      <c r="V34" s="412" t="s">
        <v>734</v>
      </c>
      <c r="W34" s="151" t="s">
        <v>445</v>
      </c>
      <c r="X34" s="152">
        <v>1005</v>
      </c>
      <c r="Y34" s="153" t="s">
        <v>444</v>
      </c>
      <c r="Z34" s="154">
        <v>5.6000000000000001E-2</v>
      </c>
      <c r="AA34" s="149" t="s">
        <v>392</v>
      </c>
      <c r="AB34" s="155">
        <v>1</v>
      </c>
      <c r="AC34" s="149" t="s">
        <v>443</v>
      </c>
      <c r="AD34" s="155">
        <v>1</v>
      </c>
      <c r="AE34" s="149" t="s">
        <v>442</v>
      </c>
      <c r="AF34" s="156">
        <v>3.1399999999999997E-2</v>
      </c>
      <c r="AG34" s="158"/>
      <c r="AH34" s="158"/>
      <c r="AI34" s="158"/>
      <c r="AJ34" s="158"/>
      <c r="AK34" s="158"/>
      <c r="AL34" s="158"/>
      <c r="AM34" s="158"/>
      <c r="AN34" s="158"/>
      <c r="AO34" s="158"/>
      <c r="AP34" s="158"/>
      <c r="AQ34" s="158"/>
      <c r="AR34" s="158"/>
      <c r="AS34" s="158"/>
      <c r="AT34" s="158"/>
      <c r="AV34" s="413"/>
      <c r="AW34" s="413"/>
      <c r="AX34" s="414"/>
      <c r="AY34" s="415"/>
      <c r="AZ34" s="416"/>
    </row>
    <row r="35" spans="1:52">
      <c r="A35" s="5" t="str">
        <f t="shared" si="1"/>
        <v>Res - SF Assessments_Advanced Thermostat - Boiler (Replace Programmable)</v>
      </c>
      <c r="B35" s="407">
        <v>32</v>
      </c>
      <c r="C35" s="407" t="s">
        <v>690</v>
      </c>
      <c r="D35" s="407" t="s">
        <v>704</v>
      </c>
      <c r="E35" s="408" t="s">
        <v>150</v>
      </c>
      <c r="F35" s="408">
        <v>1</v>
      </c>
      <c r="G35" s="409">
        <v>1</v>
      </c>
      <c r="H35" s="470">
        <v>10</v>
      </c>
      <c r="I35" s="467">
        <v>11</v>
      </c>
      <c r="J35" s="408">
        <v>57</v>
      </c>
      <c r="K35" s="408">
        <v>57</v>
      </c>
      <c r="L35" s="408">
        <v>54</v>
      </c>
      <c r="M35" s="408">
        <v>57</v>
      </c>
      <c r="N35" s="208">
        <f t="shared" si="3"/>
        <v>68.207999999999998</v>
      </c>
      <c r="O35" s="461">
        <f t="shared" si="2"/>
        <v>68.207999999999998</v>
      </c>
      <c r="P35" s="461">
        <f t="shared" si="2"/>
        <v>68.207999999999998</v>
      </c>
      <c r="Q35" s="461">
        <f t="shared" si="2"/>
        <v>68.207999999999998</v>
      </c>
      <c r="R35" s="411"/>
      <c r="S35" s="411" t="s">
        <v>1046</v>
      </c>
      <c r="T35" s="411" t="s">
        <v>49</v>
      </c>
      <c r="U35" s="411" t="s">
        <v>60</v>
      </c>
      <c r="V35" s="412" t="s">
        <v>734</v>
      </c>
      <c r="W35" s="151" t="s">
        <v>445</v>
      </c>
      <c r="X35" s="152">
        <v>1218</v>
      </c>
      <c r="Y35" s="153" t="s">
        <v>444</v>
      </c>
      <c r="Z35" s="154">
        <v>5.6000000000000001E-2</v>
      </c>
      <c r="AA35" s="149" t="s">
        <v>392</v>
      </c>
      <c r="AB35" s="155">
        <v>1</v>
      </c>
      <c r="AC35" s="149" t="s">
        <v>443</v>
      </c>
      <c r="AD35" s="155">
        <v>1</v>
      </c>
      <c r="AE35" s="149" t="s">
        <v>442</v>
      </c>
      <c r="AF35" s="156">
        <v>3.1399999999999997E-2</v>
      </c>
      <c r="AG35" s="158"/>
      <c r="AH35" s="158"/>
      <c r="AI35" s="158"/>
      <c r="AJ35" s="158"/>
      <c r="AK35" s="158"/>
      <c r="AL35" s="158"/>
      <c r="AM35" s="158"/>
      <c r="AN35" s="158"/>
      <c r="AO35" s="158"/>
      <c r="AP35" s="158"/>
      <c r="AQ35" s="158"/>
      <c r="AR35" s="158"/>
      <c r="AS35" s="158"/>
      <c r="AT35" s="158"/>
      <c r="AV35" s="413"/>
      <c r="AW35" s="413"/>
      <c r="AX35" s="414"/>
      <c r="AY35" s="415"/>
      <c r="AZ35" s="416"/>
    </row>
    <row r="36" spans="1:52">
      <c r="A36" s="5" t="str">
        <f t="shared" si="1"/>
        <v>Res - SF Assessments_Thermostat - Reprogram</v>
      </c>
      <c r="B36" s="407">
        <v>33</v>
      </c>
      <c r="C36" s="407" t="s">
        <v>690</v>
      </c>
      <c r="D36" s="407" t="s">
        <v>1060</v>
      </c>
      <c r="E36" s="408" t="s">
        <v>150</v>
      </c>
      <c r="F36" s="408">
        <v>1</v>
      </c>
      <c r="G36" s="409">
        <v>0.96</v>
      </c>
      <c r="H36" s="470">
        <v>2</v>
      </c>
      <c r="I36" s="463">
        <v>2</v>
      </c>
      <c r="J36" s="408">
        <v>1394</v>
      </c>
      <c r="K36" s="408">
        <v>1394</v>
      </c>
      <c r="L36" s="408">
        <v>1300</v>
      </c>
      <c r="M36" s="408">
        <v>1394</v>
      </c>
      <c r="N36" s="208">
        <f t="shared" si="3"/>
        <v>62.31</v>
      </c>
      <c r="O36" s="461">
        <f t="shared" si="2"/>
        <v>62.31</v>
      </c>
      <c r="P36" s="461">
        <f t="shared" si="2"/>
        <v>62.31</v>
      </c>
      <c r="Q36" s="461">
        <f t="shared" si="2"/>
        <v>62.31</v>
      </c>
      <c r="R36" s="411"/>
      <c r="S36" s="411" t="s">
        <v>1046</v>
      </c>
      <c r="T36" s="411" t="s">
        <v>447</v>
      </c>
      <c r="U36" s="411" t="s">
        <v>446</v>
      </c>
      <c r="V36" s="412" t="s">
        <v>734</v>
      </c>
      <c r="W36" s="151" t="s">
        <v>445</v>
      </c>
      <c r="X36" s="152">
        <v>1005</v>
      </c>
      <c r="Y36" s="153" t="s">
        <v>444</v>
      </c>
      <c r="Z36" s="154">
        <v>6.2E-2</v>
      </c>
      <c r="AA36" s="149" t="s">
        <v>392</v>
      </c>
      <c r="AB36" s="155">
        <v>1</v>
      </c>
      <c r="AC36" s="149" t="s">
        <v>443</v>
      </c>
      <c r="AD36" s="155">
        <v>1</v>
      </c>
      <c r="AE36" s="149" t="s">
        <v>442</v>
      </c>
      <c r="AF36" s="156">
        <v>3.1399999999999997E-2</v>
      </c>
      <c r="AG36" s="158"/>
      <c r="AH36" s="158"/>
      <c r="AI36" s="158"/>
      <c r="AJ36" s="158"/>
      <c r="AK36" s="158"/>
      <c r="AL36" s="158"/>
      <c r="AM36" s="158"/>
      <c r="AN36" s="158"/>
      <c r="AO36" s="158"/>
      <c r="AP36" s="158"/>
      <c r="AQ36" s="158"/>
      <c r="AR36" s="158"/>
      <c r="AS36" s="158"/>
      <c r="AT36" s="158"/>
      <c r="AV36" s="413"/>
      <c r="AW36" s="413"/>
      <c r="AX36" s="414"/>
      <c r="AY36" s="415"/>
      <c r="AZ36" s="416"/>
    </row>
    <row r="37" spans="1:52">
      <c r="A37" s="5" t="str">
        <f t="shared" si="1"/>
        <v>Res - MF Assessments_Bathroom Aerator</v>
      </c>
      <c r="B37" s="407">
        <v>34</v>
      </c>
      <c r="C37" s="407" t="s">
        <v>700</v>
      </c>
      <c r="D37" s="407" t="s">
        <v>733</v>
      </c>
      <c r="E37" s="408" t="s">
        <v>150</v>
      </c>
      <c r="F37" s="408">
        <v>1</v>
      </c>
      <c r="G37" s="409">
        <v>0.85</v>
      </c>
      <c r="H37" s="470">
        <v>9</v>
      </c>
      <c r="I37" s="467">
        <v>10</v>
      </c>
      <c r="J37" s="408">
        <v>8153</v>
      </c>
      <c r="K37" s="408">
        <v>8153</v>
      </c>
      <c r="L37" s="408">
        <v>7727</v>
      </c>
      <c r="M37" s="408">
        <v>8153</v>
      </c>
      <c r="N37" s="461">
        <f>100%*(((X37*AB37)-(Z37*AB37))*AL37*365.25*AD37/AF37)*AH37*AJ37</f>
        <v>1.6368815404525978</v>
      </c>
      <c r="O37" s="461">
        <f t="shared" si="2"/>
        <v>1.6368815404525978</v>
      </c>
      <c r="P37" s="461">
        <f t="shared" si="2"/>
        <v>1.6368815404525978</v>
      </c>
      <c r="Q37" s="461">
        <f t="shared" si="2"/>
        <v>1.6368815404525978</v>
      </c>
      <c r="R37" s="411"/>
      <c r="S37" s="411" t="s">
        <v>1046</v>
      </c>
      <c r="T37" s="411" t="s">
        <v>470</v>
      </c>
      <c r="U37" s="411" t="s">
        <v>469</v>
      </c>
      <c r="V37" s="412" t="s">
        <v>735</v>
      </c>
      <c r="W37" s="417" t="s">
        <v>359</v>
      </c>
      <c r="X37" s="417">
        <v>1.53</v>
      </c>
      <c r="Y37" s="412" t="s">
        <v>358</v>
      </c>
      <c r="Z37" s="412">
        <v>0.94</v>
      </c>
      <c r="AA37" s="149" t="s">
        <v>357</v>
      </c>
      <c r="AB37" s="412">
        <v>1.6</v>
      </c>
      <c r="AC37" s="149" t="s">
        <v>468</v>
      </c>
      <c r="AD37" s="418">
        <v>0.9</v>
      </c>
      <c r="AE37" s="149" t="s">
        <v>364</v>
      </c>
      <c r="AF37" s="412">
        <v>1.5</v>
      </c>
      <c r="AG37" s="412" t="s">
        <v>355</v>
      </c>
      <c r="AH37" s="419">
        <f>8.33*1*(86-54.1)/(AN37*100000)</f>
        <v>3.9660746268656713E-3</v>
      </c>
      <c r="AI37" s="412" t="s">
        <v>354</v>
      </c>
      <c r="AJ37" s="412">
        <v>0.95</v>
      </c>
      <c r="AK37" s="412" t="s">
        <v>462</v>
      </c>
      <c r="AL37" s="412">
        <v>2.1</v>
      </c>
      <c r="AM37" s="412" t="s">
        <v>461</v>
      </c>
      <c r="AN37" s="418">
        <v>0.67</v>
      </c>
      <c r="AO37" s="158"/>
      <c r="AP37" s="158"/>
      <c r="AQ37" s="158"/>
      <c r="AR37" s="158"/>
      <c r="AS37" s="158"/>
      <c r="AT37" s="158"/>
      <c r="AV37" s="413"/>
      <c r="AW37" s="413"/>
      <c r="AX37" s="414"/>
      <c r="AY37" s="415"/>
      <c r="AZ37" s="416"/>
    </row>
    <row r="38" spans="1:52">
      <c r="A38" s="5" t="str">
        <f t="shared" si="1"/>
        <v>Res - MF Assessments_Kitchen Aerator</v>
      </c>
      <c r="B38" s="407">
        <v>35</v>
      </c>
      <c r="C38" s="407" t="s">
        <v>700</v>
      </c>
      <c r="D38" s="407" t="s">
        <v>732</v>
      </c>
      <c r="E38" s="408" t="s">
        <v>150</v>
      </c>
      <c r="F38" s="408">
        <v>1</v>
      </c>
      <c r="G38" s="409">
        <v>0.85</v>
      </c>
      <c r="H38" s="470">
        <v>9</v>
      </c>
      <c r="I38" s="467">
        <v>10</v>
      </c>
      <c r="J38" s="408">
        <v>6352</v>
      </c>
      <c r="K38" s="408">
        <v>6352</v>
      </c>
      <c r="L38" s="408">
        <v>6020</v>
      </c>
      <c r="M38" s="408">
        <v>6352</v>
      </c>
      <c r="N38" s="461">
        <f>100%*(((X38*AB38)-(Z38*AB38))*AL38*365.25*AD38/AF38)*AH38*AJ38</f>
        <v>7.8612856931203403</v>
      </c>
      <c r="O38" s="461">
        <f t="shared" si="2"/>
        <v>7.8612856931203403</v>
      </c>
      <c r="P38" s="461">
        <f t="shared" si="2"/>
        <v>7.8612856931203403</v>
      </c>
      <c r="Q38" s="461">
        <f t="shared" si="2"/>
        <v>7.8612856931203403</v>
      </c>
      <c r="R38" s="411"/>
      <c r="S38" s="411" t="s">
        <v>1046</v>
      </c>
      <c r="T38" s="411" t="s">
        <v>470</v>
      </c>
      <c r="U38" s="411" t="s">
        <v>469</v>
      </c>
      <c r="V38" s="412" t="s">
        <v>735</v>
      </c>
      <c r="W38" s="417" t="s">
        <v>359</v>
      </c>
      <c r="X38" s="417">
        <v>1.63</v>
      </c>
      <c r="Y38" s="412" t="s">
        <v>358</v>
      </c>
      <c r="Z38" s="412">
        <v>0.94</v>
      </c>
      <c r="AA38" s="149" t="s">
        <v>357</v>
      </c>
      <c r="AB38" s="412">
        <v>4.5</v>
      </c>
      <c r="AC38" s="149" t="s">
        <v>468</v>
      </c>
      <c r="AD38" s="418">
        <v>0.75</v>
      </c>
      <c r="AE38" s="149" t="s">
        <v>364</v>
      </c>
      <c r="AF38" s="412">
        <v>1</v>
      </c>
      <c r="AG38" s="412" t="s">
        <v>355</v>
      </c>
      <c r="AH38" s="419">
        <f>8.33*1*(93-54.1)/(AN38*100000)</f>
        <v>4.836373134328358E-3</v>
      </c>
      <c r="AI38" s="412" t="s">
        <v>354</v>
      </c>
      <c r="AJ38" s="412">
        <v>0.91</v>
      </c>
      <c r="AK38" s="412" t="s">
        <v>462</v>
      </c>
      <c r="AL38" s="412">
        <v>2.1</v>
      </c>
      <c r="AM38" s="412" t="s">
        <v>461</v>
      </c>
      <c r="AN38" s="418">
        <v>0.67</v>
      </c>
      <c r="AO38" s="158"/>
      <c r="AP38" s="158"/>
      <c r="AQ38" s="158"/>
      <c r="AR38" s="158"/>
      <c r="AS38" s="158"/>
      <c r="AT38" s="158"/>
      <c r="AV38" s="413"/>
      <c r="AW38" s="413"/>
      <c r="AX38" s="414"/>
      <c r="AY38" s="415"/>
      <c r="AZ38" s="416"/>
    </row>
    <row r="39" spans="1:52">
      <c r="A39" s="5" t="str">
        <f t="shared" si="1"/>
        <v>Res - MF Assessments_Showerhead</v>
      </c>
      <c r="B39" s="407">
        <v>36</v>
      </c>
      <c r="C39" s="407" t="s">
        <v>700</v>
      </c>
      <c r="D39" s="407" t="s">
        <v>731</v>
      </c>
      <c r="E39" s="408" t="s">
        <v>150</v>
      </c>
      <c r="F39" s="408">
        <v>1</v>
      </c>
      <c r="G39" s="409">
        <v>0.85</v>
      </c>
      <c r="H39" s="470">
        <v>10</v>
      </c>
      <c r="I39" s="463">
        <v>10</v>
      </c>
      <c r="J39" s="408">
        <v>7679</v>
      </c>
      <c r="K39" s="408">
        <v>7679</v>
      </c>
      <c r="L39" s="408">
        <v>7278</v>
      </c>
      <c r="M39" s="408">
        <v>7679</v>
      </c>
      <c r="N39" s="461">
        <f>100%*((X39*AB39-Z39*AB39)*AL39*AF39*365.25/AH39)*AD39*AJ39</f>
        <v>11.319060638970004</v>
      </c>
      <c r="O39" s="461">
        <f t="shared" si="2"/>
        <v>11.319060638970004</v>
      </c>
      <c r="P39" s="461">
        <f t="shared" si="2"/>
        <v>11.319060638970004</v>
      </c>
      <c r="Q39" s="461">
        <f t="shared" si="2"/>
        <v>11.319060638970004</v>
      </c>
      <c r="R39" s="411"/>
      <c r="S39" s="411" t="s">
        <v>1046</v>
      </c>
      <c r="T39" s="411" t="s">
        <v>466</v>
      </c>
      <c r="U39" s="411" t="s">
        <v>465</v>
      </c>
      <c r="V39" s="412" t="s">
        <v>736</v>
      </c>
      <c r="W39" s="417" t="s">
        <v>359</v>
      </c>
      <c r="X39" s="417">
        <v>2.2400000000000002</v>
      </c>
      <c r="Y39" s="412" t="s">
        <v>358</v>
      </c>
      <c r="Z39" s="412">
        <v>1.5</v>
      </c>
      <c r="AA39" s="149" t="s">
        <v>357</v>
      </c>
      <c r="AB39" s="412">
        <v>7.8</v>
      </c>
      <c r="AC39" s="149" t="s">
        <v>355</v>
      </c>
      <c r="AD39" s="419">
        <f>8.33*1*(101-54.1)/(AN39*100000)</f>
        <v>5.8309999999999994E-3</v>
      </c>
      <c r="AE39" s="149" t="s">
        <v>464</v>
      </c>
      <c r="AF39" s="412">
        <v>0.6</v>
      </c>
      <c r="AG39" s="412" t="s">
        <v>463</v>
      </c>
      <c r="AH39" s="412">
        <v>1.3</v>
      </c>
      <c r="AI39" s="412" t="s">
        <v>354</v>
      </c>
      <c r="AJ39" s="412">
        <v>0.95</v>
      </c>
      <c r="AK39" s="412" t="s">
        <v>462</v>
      </c>
      <c r="AL39" s="412">
        <v>2.1</v>
      </c>
      <c r="AM39" s="412" t="s">
        <v>461</v>
      </c>
      <c r="AN39" s="418">
        <v>0.67</v>
      </c>
      <c r="AO39" s="158"/>
      <c r="AP39" s="158"/>
      <c r="AQ39" s="158"/>
      <c r="AR39" s="158"/>
      <c r="AS39" s="158"/>
      <c r="AT39" s="158"/>
      <c r="AV39" s="413"/>
      <c r="AW39" s="413"/>
      <c r="AX39" s="414"/>
      <c r="AY39" s="415"/>
      <c r="AZ39" s="416"/>
    </row>
    <row r="40" spans="1:52">
      <c r="A40" s="5" t="str">
        <f t="shared" si="1"/>
        <v>Res - MF Assessments_Pipe Insulation (DHW)</v>
      </c>
      <c r="B40" s="407">
        <v>37</v>
      </c>
      <c r="C40" s="407" t="s">
        <v>700</v>
      </c>
      <c r="D40" s="407" t="s">
        <v>1056</v>
      </c>
      <c r="E40" s="408" t="s">
        <v>210</v>
      </c>
      <c r="F40" s="408">
        <v>3</v>
      </c>
      <c r="G40" s="409">
        <v>0.85</v>
      </c>
      <c r="H40" s="470">
        <v>15</v>
      </c>
      <c r="I40" s="463">
        <v>15</v>
      </c>
      <c r="J40" s="408">
        <v>4835</v>
      </c>
      <c r="K40" s="408">
        <v>4835</v>
      </c>
      <c r="L40" s="408">
        <v>4582</v>
      </c>
      <c r="M40" s="408">
        <v>4835</v>
      </c>
      <c r="N40" s="394">
        <f xml:space="preserve"> ((X40 / Z40 - AB40 / AD40) * AF40 * AH40 * 8766) / AJ40 / 100000</f>
        <v>0.77039653846153844</v>
      </c>
      <c r="O40" s="462">
        <f t="shared" si="2"/>
        <v>0.77039653846153844</v>
      </c>
      <c r="P40" s="462">
        <f t="shared" si="2"/>
        <v>0.77039653846153844</v>
      </c>
      <c r="Q40" s="462">
        <f t="shared" si="2"/>
        <v>0.77039653846153844</v>
      </c>
      <c r="R40" s="411"/>
      <c r="S40" s="411" t="s">
        <v>1046</v>
      </c>
      <c r="T40" s="411" t="s">
        <v>459</v>
      </c>
      <c r="U40" s="411" t="s">
        <v>458</v>
      </c>
      <c r="V40" s="421" t="s">
        <v>846</v>
      </c>
      <c r="W40" s="150" t="s">
        <v>451</v>
      </c>
      <c r="X40" s="158">
        <v>0.19600000000000001</v>
      </c>
      <c r="Y40" s="158" t="s">
        <v>454</v>
      </c>
      <c r="Z40" s="158">
        <v>1</v>
      </c>
      <c r="AA40" s="391" t="s">
        <v>847</v>
      </c>
      <c r="AB40" s="421">
        <v>0.32700000000000001</v>
      </c>
      <c r="AC40" s="158" t="s">
        <v>453</v>
      </c>
      <c r="AD40" s="158">
        <f>(1+3)</f>
        <v>4</v>
      </c>
      <c r="AE40" s="150" t="s">
        <v>260</v>
      </c>
      <c r="AF40" s="158">
        <v>1</v>
      </c>
      <c r="AG40" s="150" t="s">
        <v>304</v>
      </c>
      <c r="AH40" s="158">
        <v>60</v>
      </c>
      <c r="AI40" s="158" t="s">
        <v>457</v>
      </c>
      <c r="AJ40" s="158">
        <v>0.78</v>
      </c>
      <c r="AK40" s="158"/>
      <c r="AL40" s="158"/>
      <c r="AM40" s="158"/>
      <c r="AN40" s="158"/>
      <c r="AO40" s="158"/>
      <c r="AP40" s="158"/>
      <c r="AQ40" s="158"/>
      <c r="AR40" s="158"/>
      <c r="AS40" s="158"/>
      <c r="AT40" s="158"/>
      <c r="AV40" s="413"/>
      <c r="AW40" s="413"/>
      <c r="AX40" s="414"/>
      <c r="AY40" s="415"/>
      <c r="AZ40" s="416"/>
    </row>
    <row r="41" spans="1:52">
      <c r="A41" s="5" t="str">
        <f t="shared" si="1"/>
        <v>Res - MF Assessments_Pipe Insulation (Boiler)</v>
      </c>
      <c r="B41" s="407">
        <v>38</v>
      </c>
      <c r="C41" s="407" t="s">
        <v>700</v>
      </c>
      <c r="D41" s="407" t="s">
        <v>701</v>
      </c>
      <c r="E41" s="408" t="s">
        <v>210</v>
      </c>
      <c r="F41" s="408">
        <v>3</v>
      </c>
      <c r="G41" s="409">
        <v>0.85</v>
      </c>
      <c r="H41" s="470">
        <v>15</v>
      </c>
      <c r="I41" s="463">
        <v>15</v>
      </c>
      <c r="J41" s="408">
        <v>3792</v>
      </c>
      <c r="K41" s="408">
        <v>3792</v>
      </c>
      <c r="L41" s="408">
        <v>3594</v>
      </c>
      <c r="M41" s="408">
        <v>3792</v>
      </c>
      <c r="N41" s="208">
        <f>((1/X41*AD41-1/Z41*AF41)*AB41*AH41*AJ41/AL41/100000)</f>
        <v>0.41554055468341189</v>
      </c>
      <c r="O41" s="461">
        <f t="shared" si="2"/>
        <v>0.41554055468341189</v>
      </c>
      <c r="P41" s="461">
        <f t="shared" si="2"/>
        <v>0.41554055468341189</v>
      </c>
      <c r="Q41" s="461">
        <f t="shared" si="2"/>
        <v>0.41554055468341189</v>
      </c>
      <c r="R41" s="411"/>
      <c r="S41" s="411" t="s">
        <v>1046</v>
      </c>
      <c r="T41" s="411" t="s">
        <v>456</v>
      </c>
      <c r="U41" s="411" t="s">
        <v>455</v>
      </c>
      <c r="V41" s="158" t="s">
        <v>448</v>
      </c>
      <c r="W41" s="158" t="s">
        <v>454</v>
      </c>
      <c r="X41" s="158">
        <v>0.5</v>
      </c>
      <c r="Y41" s="158" t="s">
        <v>453</v>
      </c>
      <c r="Z41" s="158">
        <f>3+0.5</f>
        <v>3.5</v>
      </c>
      <c r="AA41" s="150" t="s">
        <v>452</v>
      </c>
      <c r="AB41" s="158">
        <v>1840</v>
      </c>
      <c r="AC41" s="150" t="s">
        <v>451</v>
      </c>
      <c r="AD41" s="158">
        <f>(0.131+0.196)/2</f>
        <v>0.16350000000000001</v>
      </c>
      <c r="AE41" s="150" t="s">
        <v>450</v>
      </c>
      <c r="AF41" s="422">
        <f>(((0.5+1)+(0.75+1))/2)*3.14/12</f>
        <v>0.42520833333333335</v>
      </c>
      <c r="AG41" s="158" t="s">
        <v>260</v>
      </c>
      <c r="AH41" s="158">
        <v>1</v>
      </c>
      <c r="AI41" s="158" t="s">
        <v>304</v>
      </c>
      <c r="AJ41" s="158">
        <f>(110+70)/2</f>
        <v>90</v>
      </c>
      <c r="AK41" s="158" t="s">
        <v>449</v>
      </c>
      <c r="AL41" s="158">
        <v>0.81899999999999995</v>
      </c>
      <c r="AM41" s="158"/>
      <c r="AN41" s="158"/>
      <c r="AO41" s="158"/>
      <c r="AP41" s="158"/>
      <c r="AQ41" s="158"/>
      <c r="AR41" s="158"/>
      <c r="AS41" s="158"/>
      <c r="AT41" s="158"/>
      <c r="AV41" s="413"/>
      <c r="AW41" s="413"/>
      <c r="AX41" s="414"/>
      <c r="AY41" s="415"/>
      <c r="AZ41" s="416"/>
    </row>
    <row r="42" spans="1:52">
      <c r="A42" s="5" t="str">
        <f t="shared" si="1"/>
        <v>Res - MF Assessments_Programmable Thermostat - Furnace</v>
      </c>
      <c r="B42" s="407">
        <v>39</v>
      </c>
      <c r="C42" s="407" t="s">
        <v>700</v>
      </c>
      <c r="D42" s="407" t="s">
        <v>702</v>
      </c>
      <c r="E42" s="408" t="s">
        <v>150</v>
      </c>
      <c r="F42" s="408">
        <v>1</v>
      </c>
      <c r="G42" s="409">
        <v>0.85</v>
      </c>
      <c r="H42" s="470">
        <v>5</v>
      </c>
      <c r="I42" s="467">
        <v>8</v>
      </c>
      <c r="J42" s="408">
        <v>1232</v>
      </c>
      <c r="K42" s="408">
        <v>1232</v>
      </c>
      <c r="L42" s="408">
        <v>1168</v>
      </c>
      <c r="M42" s="408">
        <v>1232</v>
      </c>
      <c r="N42" s="354">
        <f t="shared" ref="N42:N48" si="4">X42*Z42*AB42*AD42</f>
        <v>40.5015</v>
      </c>
      <c r="O42" s="461">
        <f t="shared" si="2"/>
        <v>40.5015</v>
      </c>
      <c r="P42" s="461">
        <f t="shared" si="2"/>
        <v>40.5015</v>
      </c>
      <c r="Q42" s="461">
        <f t="shared" si="2"/>
        <v>40.5015</v>
      </c>
      <c r="R42" s="411"/>
      <c r="S42" s="411" t="s">
        <v>1046</v>
      </c>
      <c r="T42" s="411" t="s">
        <v>447</v>
      </c>
      <c r="U42" s="411" t="s">
        <v>446</v>
      </c>
      <c r="V42" s="412" t="s">
        <v>734</v>
      </c>
      <c r="W42" s="151" t="s">
        <v>445</v>
      </c>
      <c r="X42" s="152">
        <v>1005</v>
      </c>
      <c r="Y42" s="153" t="s">
        <v>444</v>
      </c>
      <c r="Z42" s="154">
        <v>6.2E-2</v>
      </c>
      <c r="AA42" s="149" t="s">
        <v>399</v>
      </c>
      <c r="AB42" s="155">
        <v>0.65</v>
      </c>
      <c r="AC42" s="149" t="s">
        <v>443</v>
      </c>
      <c r="AD42" s="155">
        <v>1</v>
      </c>
      <c r="AE42" s="149" t="s">
        <v>442</v>
      </c>
      <c r="AF42" s="156">
        <v>3.1399999999999997E-2</v>
      </c>
      <c r="AG42" s="158"/>
      <c r="AH42" s="158"/>
      <c r="AI42" s="158"/>
      <c r="AJ42" s="158"/>
      <c r="AK42" s="158"/>
      <c r="AL42" s="158"/>
      <c r="AM42" s="158"/>
      <c r="AN42" s="158"/>
      <c r="AO42" s="158"/>
      <c r="AP42" s="158"/>
      <c r="AQ42" s="158"/>
      <c r="AR42" s="158"/>
      <c r="AS42" s="158"/>
      <c r="AT42" s="158"/>
      <c r="AV42" s="413"/>
      <c r="AW42" s="413"/>
      <c r="AX42" s="414"/>
      <c r="AY42" s="415"/>
      <c r="AZ42" s="416"/>
    </row>
    <row r="43" spans="1:52">
      <c r="A43" s="5" t="str">
        <f t="shared" si="1"/>
        <v>Res - MF Assessments_Programmable Thermostat - Boiler</v>
      </c>
      <c r="B43" s="407">
        <v>40</v>
      </c>
      <c r="C43" s="407" t="s">
        <v>700</v>
      </c>
      <c r="D43" s="407" t="s">
        <v>1057</v>
      </c>
      <c r="E43" s="408" t="s">
        <v>150</v>
      </c>
      <c r="F43" s="408">
        <v>1</v>
      </c>
      <c r="G43" s="409">
        <v>0.85</v>
      </c>
      <c r="H43" s="470">
        <v>5</v>
      </c>
      <c r="I43" s="467">
        <v>8</v>
      </c>
      <c r="J43" s="408">
        <v>379</v>
      </c>
      <c r="K43" s="408">
        <v>379</v>
      </c>
      <c r="L43" s="408">
        <v>359</v>
      </c>
      <c r="M43" s="408">
        <v>379</v>
      </c>
      <c r="N43" s="354">
        <f t="shared" si="4"/>
        <v>49.085400000000007</v>
      </c>
      <c r="O43" s="461">
        <f t="shared" si="2"/>
        <v>49.085400000000007</v>
      </c>
      <c r="P43" s="461">
        <f t="shared" si="2"/>
        <v>49.085400000000007</v>
      </c>
      <c r="Q43" s="461">
        <f t="shared" si="2"/>
        <v>49.085400000000007</v>
      </c>
      <c r="R43" s="411"/>
      <c r="S43" s="411" t="s">
        <v>1046</v>
      </c>
      <c r="T43" s="411" t="s">
        <v>447</v>
      </c>
      <c r="U43" s="411" t="s">
        <v>446</v>
      </c>
      <c r="V43" s="412" t="s">
        <v>734</v>
      </c>
      <c r="W43" s="151" t="s">
        <v>445</v>
      </c>
      <c r="X43" s="152">
        <v>1218</v>
      </c>
      <c r="Y43" s="153" t="s">
        <v>444</v>
      </c>
      <c r="Z43" s="154">
        <v>6.2E-2</v>
      </c>
      <c r="AA43" s="149" t="s">
        <v>399</v>
      </c>
      <c r="AB43" s="155">
        <v>0.65</v>
      </c>
      <c r="AC43" s="149" t="s">
        <v>443</v>
      </c>
      <c r="AD43" s="155">
        <v>1</v>
      </c>
      <c r="AE43" s="149" t="s">
        <v>442</v>
      </c>
      <c r="AF43" s="156">
        <v>3.1399999999999997E-2</v>
      </c>
      <c r="AG43" s="158"/>
      <c r="AH43" s="158"/>
      <c r="AI43" s="158"/>
      <c r="AJ43" s="158"/>
      <c r="AK43" s="158"/>
      <c r="AL43" s="158"/>
      <c r="AM43" s="158"/>
      <c r="AN43" s="158"/>
      <c r="AO43" s="158"/>
      <c r="AP43" s="158"/>
      <c r="AQ43" s="158"/>
      <c r="AR43" s="158"/>
      <c r="AS43" s="158"/>
      <c r="AT43" s="158"/>
      <c r="AV43" s="413"/>
      <c r="AW43" s="413"/>
      <c r="AX43" s="414"/>
      <c r="AY43" s="415"/>
      <c r="AZ43" s="416"/>
    </row>
    <row r="44" spans="1:52">
      <c r="A44" s="5" t="str">
        <f t="shared" si="1"/>
        <v>Res - MF Assessments_Advanced Thermostat - Furnace (Replace Manual)</v>
      </c>
      <c r="B44" s="407">
        <v>41</v>
      </c>
      <c r="C44" s="407" t="s">
        <v>700</v>
      </c>
      <c r="D44" s="407" t="s">
        <v>699</v>
      </c>
      <c r="E44" s="408" t="s">
        <v>150</v>
      </c>
      <c r="F44" s="408">
        <v>1</v>
      </c>
      <c r="G44" s="409">
        <v>1</v>
      </c>
      <c r="H44" s="470">
        <v>10</v>
      </c>
      <c r="I44" s="467">
        <v>11</v>
      </c>
      <c r="J44" s="408">
        <v>19</v>
      </c>
      <c r="K44" s="408">
        <v>19</v>
      </c>
      <c r="L44" s="408">
        <v>18</v>
      </c>
      <c r="M44" s="408">
        <v>19</v>
      </c>
      <c r="N44" s="208">
        <f t="shared" si="4"/>
        <v>57.485999999999997</v>
      </c>
      <c r="O44" s="461">
        <f t="shared" ref="O44:Q63" si="5">N44</f>
        <v>57.485999999999997</v>
      </c>
      <c r="P44" s="461">
        <f t="shared" si="5"/>
        <v>57.485999999999997</v>
      </c>
      <c r="Q44" s="461">
        <f t="shared" si="5"/>
        <v>57.485999999999997</v>
      </c>
      <c r="R44" s="411"/>
      <c r="S44" s="411" t="s">
        <v>1046</v>
      </c>
      <c r="T44" s="411" t="s">
        <v>49</v>
      </c>
      <c r="U44" s="411" t="s">
        <v>60</v>
      </c>
      <c r="V44" s="412" t="s">
        <v>734</v>
      </c>
      <c r="W44" s="151" t="s">
        <v>445</v>
      </c>
      <c r="X44" s="152">
        <v>1005</v>
      </c>
      <c r="Y44" s="153" t="s">
        <v>444</v>
      </c>
      <c r="Z44" s="154">
        <v>8.7999999999999995E-2</v>
      </c>
      <c r="AA44" s="149" t="s">
        <v>399</v>
      </c>
      <c r="AB44" s="155">
        <v>0.65</v>
      </c>
      <c r="AC44" s="149" t="s">
        <v>443</v>
      </c>
      <c r="AD44" s="155">
        <v>1</v>
      </c>
      <c r="AE44" s="149" t="s">
        <v>442</v>
      </c>
      <c r="AF44" s="156">
        <v>3.1399999999999997E-2</v>
      </c>
      <c r="AG44" s="158"/>
      <c r="AH44" s="158"/>
      <c r="AI44" s="158"/>
      <c r="AJ44" s="158"/>
      <c r="AK44" s="158"/>
      <c r="AL44" s="158"/>
      <c r="AM44" s="158"/>
      <c r="AN44" s="158"/>
      <c r="AO44" s="158"/>
      <c r="AP44" s="158"/>
      <c r="AQ44" s="158"/>
      <c r="AR44" s="158"/>
      <c r="AS44" s="158"/>
      <c r="AT44" s="158"/>
      <c r="AV44" s="413"/>
      <c r="AW44" s="413"/>
      <c r="AX44" s="414"/>
      <c r="AY44" s="415"/>
      <c r="AZ44" s="416"/>
    </row>
    <row r="45" spans="1:52">
      <c r="A45" s="5" t="str">
        <f t="shared" si="1"/>
        <v>Res - MF Assessments_Advanced Thermostat - Boiler (Replace Manual)</v>
      </c>
      <c r="B45" s="407">
        <v>42</v>
      </c>
      <c r="C45" s="407" t="s">
        <v>700</v>
      </c>
      <c r="D45" s="407" t="s">
        <v>1058</v>
      </c>
      <c r="E45" s="408" t="s">
        <v>150</v>
      </c>
      <c r="F45" s="408">
        <v>1</v>
      </c>
      <c r="G45" s="409">
        <v>1</v>
      </c>
      <c r="H45" s="470">
        <v>10</v>
      </c>
      <c r="I45" s="467">
        <v>11</v>
      </c>
      <c r="J45" s="408">
        <v>0</v>
      </c>
      <c r="K45" s="408">
        <v>0</v>
      </c>
      <c r="L45" s="408">
        <v>0</v>
      </c>
      <c r="M45" s="408">
        <v>0</v>
      </c>
      <c r="N45" s="208">
        <f t="shared" si="4"/>
        <v>69.669600000000003</v>
      </c>
      <c r="O45" s="461">
        <f t="shared" si="5"/>
        <v>69.669600000000003</v>
      </c>
      <c r="P45" s="461">
        <f t="shared" si="5"/>
        <v>69.669600000000003</v>
      </c>
      <c r="Q45" s="461">
        <f t="shared" si="5"/>
        <v>69.669600000000003</v>
      </c>
      <c r="R45" s="411"/>
      <c r="S45" s="411" t="s">
        <v>1046</v>
      </c>
      <c r="T45" s="411" t="s">
        <v>49</v>
      </c>
      <c r="U45" s="411" t="s">
        <v>60</v>
      </c>
      <c r="V45" s="412" t="s">
        <v>734</v>
      </c>
      <c r="W45" s="151" t="s">
        <v>445</v>
      </c>
      <c r="X45" s="152">
        <v>1218</v>
      </c>
      <c r="Y45" s="153" t="s">
        <v>444</v>
      </c>
      <c r="Z45" s="154">
        <v>8.7999999999999995E-2</v>
      </c>
      <c r="AA45" s="149" t="s">
        <v>399</v>
      </c>
      <c r="AB45" s="155">
        <v>0.65</v>
      </c>
      <c r="AC45" s="149" t="s">
        <v>443</v>
      </c>
      <c r="AD45" s="155">
        <v>1</v>
      </c>
      <c r="AE45" s="149" t="s">
        <v>442</v>
      </c>
      <c r="AF45" s="156">
        <v>3.1399999999999997E-2</v>
      </c>
      <c r="AG45" s="158"/>
      <c r="AH45" s="158"/>
      <c r="AI45" s="158"/>
      <c r="AJ45" s="158"/>
      <c r="AK45" s="158"/>
      <c r="AL45" s="158"/>
      <c r="AM45" s="158"/>
      <c r="AN45" s="158"/>
      <c r="AO45" s="158"/>
      <c r="AP45" s="158"/>
      <c r="AQ45" s="158"/>
      <c r="AR45" s="158"/>
      <c r="AS45" s="158"/>
      <c r="AT45" s="158"/>
      <c r="AV45" s="413"/>
      <c r="AW45" s="413"/>
      <c r="AX45" s="414"/>
      <c r="AY45" s="415"/>
      <c r="AZ45" s="416"/>
    </row>
    <row r="46" spans="1:52">
      <c r="A46" s="5" t="str">
        <f t="shared" si="1"/>
        <v>Res - MF Assessments_Advanced Thermostat - Furnace (Replace Programmable)</v>
      </c>
      <c r="B46" s="407">
        <v>43</v>
      </c>
      <c r="C46" s="407" t="s">
        <v>700</v>
      </c>
      <c r="D46" s="407" t="s">
        <v>1059</v>
      </c>
      <c r="E46" s="408" t="s">
        <v>150</v>
      </c>
      <c r="F46" s="408">
        <v>1</v>
      </c>
      <c r="G46" s="409">
        <v>1</v>
      </c>
      <c r="H46" s="470">
        <v>10</v>
      </c>
      <c r="I46" s="467">
        <v>11</v>
      </c>
      <c r="J46" s="408">
        <v>19</v>
      </c>
      <c r="K46" s="408">
        <v>19</v>
      </c>
      <c r="L46" s="408">
        <v>18</v>
      </c>
      <c r="M46" s="408">
        <v>19</v>
      </c>
      <c r="N46" s="208">
        <f t="shared" si="4"/>
        <v>36.582000000000001</v>
      </c>
      <c r="O46" s="461">
        <f t="shared" si="5"/>
        <v>36.582000000000001</v>
      </c>
      <c r="P46" s="461">
        <f t="shared" si="5"/>
        <v>36.582000000000001</v>
      </c>
      <c r="Q46" s="461">
        <f t="shared" si="5"/>
        <v>36.582000000000001</v>
      </c>
      <c r="R46" s="411"/>
      <c r="S46" s="411" t="s">
        <v>1046</v>
      </c>
      <c r="T46" s="411" t="s">
        <v>49</v>
      </c>
      <c r="U46" s="411" t="s">
        <v>60</v>
      </c>
      <c r="V46" s="412" t="s">
        <v>734</v>
      </c>
      <c r="W46" s="151" t="s">
        <v>445</v>
      </c>
      <c r="X46" s="152">
        <v>1005</v>
      </c>
      <c r="Y46" s="153" t="s">
        <v>444</v>
      </c>
      <c r="Z46" s="154">
        <v>5.6000000000000001E-2</v>
      </c>
      <c r="AA46" s="149" t="s">
        <v>399</v>
      </c>
      <c r="AB46" s="155">
        <v>0.65</v>
      </c>
      <c r="AC46" s="149" t="s">
        <v>443</v>
      </c>
      <c r="AD46" s="155">
        <v>1</v>
      </c>
      <c r="AE46" s="149" t="s">
        <v>442</v>
      </c>
      <c r="AF46" s="156">
        <v>3.1399999999999997E-2</v>
      </c>
      <c r="AG46" s="158"/>
      <c r="AH46" s="158"/>
      <c r="AI46" s="158"/>
      <c r="AJ46" s="158"/>
      <c r="AK46" s="158"/>
      <c r="AL46" s="158"/>
      <c r="AM46" s="158"/>
      <c r="AN46" s="158"/>
      <c r="AO46" s="158"/>
      <c r="AP46" s="158"/>
      <c r="AQ46" s="158"/>
      <c r="AR46" s="158"/>
      <c r="AS46" s="158"/>
      <c r="AT46" s="158"/>
      <c r="AV46" s="413"/>
      <c r="AW46" s="413"/>
      <c r="AX46" s="414"/>
      <c r="AY46" s="415"/>
      <c r="AZ46" s="416"/>
    </row>
    <row r="47" spans="1:52">
      <c r="A47" s="5" t="str">
        <f t="shared" si="1"/>
        <v>Res - MF Assessments_Advanced Thermostat - Boiler (Replace Programmable)</v>
      </c>
      <c r="B47" s="407">
        <v>44</v>
      </c>
      <c r="C47" s="407" t="s">
        <v>700</v>
      </c>
      <c r="D47" s="407" t="s">
        <v>704</v>
      </c>
      <c r="E47" s="408" t="s">
        <v>150</v>
      </c>
      <c r="F47" s="408">
        <v>1</v>
      </c>
      <c r="G47" s="409">
        <v>1</v>
      </c>
      <c r="H47" s="470">
        <v>10</v>
      </c>
      <c r="I47" s="467">
        <v>11</v>
      </c>
      <c r="J47" s="408">
        <v>0</v>
      </c>
      <c r="K47" s="408">
        <v>0</v>
      </c>
      <c r="L47" s="408">
        <v>0</v>
      </c>
      <c r="M47" s="408">
        <v>0</v>
      </c>
      <c r="N47" s="208">
        <f t="shared" si="4"/>
        <v>44.3352</v>
      </c>
      <c r="O47" s="461">
        <f t="shared" si="5"/>
        <v>44.3352</v>
      </c>
      <c r="P47" s="461">
        <f t="shared" si="5"/>
        <v>44.3352</v>
      </c>
      <c r="Q47" s="461">
        <f t="shared" si="5"/>
        <v>44.3352</v>
      </c>
      <c r="R47" s="411"/>
      <c r="S47" s="411" t="s">
        <v>1046</v>
      </c>
      <c r="T47" s="411" t="s">
        <v>49</v>
      </c>
      <c r="U47" s="411" t="s">
        <v>60</v>
      </c>
      <c r="V47" s="412" t="s">
        <v>734</v>
      </c>
      <c r="W47" s="151" t="s">
        <v>445</v>
      </c>
      <c r="X47" s="152">
        <v>1218</v>
      </c>
      <c r="Y47" s="153" t="s">
        <v>444</v>
      </c>
      <c r="Z47" s="154">
        <v>5.6000000000000001E-2</v>
      </c>
      <c r="AA47" s="149" t="s">
        <v>399</v>
      </c>
      <c r="AB47" s="155">
        <v>0.65</v>
      </c>
      <c r="AC47" s="149" t="s">
        <v>443</v>
      </c>
      <c r="AD47" s="155">
        <v>1</v>
      </c>
      <c r="AE47" s="149" t="s">
        <v>442</v>
      </c>
      <c r="AF47" s="156">
        <v>3.1399999999999997E-2</v>
      </c>
      <c r="AG47" s="158"/>
      <c r="AH47" s="158"/>
      <c r="AI47" s="158"/>
      <c r="AJ47" s="158"/>
      <c r="AK47" s="158"/>
      <c r="AL47" s="158"/>
      <c r="AM47" s="158"/>
      <c r="AN47" s="158"/>
      <c r="AO47" s="158"/>
      <c r="AP47" s="158"/>
      <c r="AQ47" s="158"/>
      <c r="AR47" s="158"/>
      <c r="AS47" s="158"/>
      <c r="AT47" s="158"/>
      <c r="AV47" s="413"/>
      <c r="AW47" s="413"/>
      <c r="AX47" s="414"/>
      <c r="AY47" s="415"/>
      <c r="AZ47" s="416"/>
    </row>
    <row r="48" spans="1:52">
      <c r="A48" s="5" t="str">
        <f t="shared" si="1"/>
        <v>Res - MF Assessments_Thermostat - Reprogram</v>
      </c>
      <c r="B48" s="407">
        <v>45</v>
      </c>
      <c r="C48" s="407" t="s">
        <v>700</v>
      </c>
      <c r="D48" s="407" t="s">
        <v>1060</v>
      </c>
      <c r="E48" s="408" t="s">
        <v>150</v>
      </c>
      <c r="F48" s="408">
        <v>1</v>
      </c>
      <c r="G48" s="409">
        <v>0.85</v>
      </c>
      <c r="H48" s="470">
        <v>2</v>
      </c>
      <c r="I48" s="463">
        <v>2</v>
      </c>
      <c r="J48" s="408">
        <v>95</v>
      </c>
      <c r="K48" s="408">
        <v>95</v>
      </c>
      <c r="L48" s="408">
        <v>90</v>
      </c>
      <c r="M48" s="408">
        <v>95</v>
      </c>
      <c r="N48" s="208">
        <f t="shared" si="4"/>
        <v>40.5015</v>
      </c>
      <c r="O48" s="461">
        <f t="shared" si="5"/>
        <v>40.5015</v>
      </c>
      <c r="P48" s="461">
        <f t="shared" si="5"/>
        <v>40.5015</v>
      </c>
      <c r="Q48" s="461">
        <f t="shared" si="5"/>
        <v>40.5015</v>
      </c>
      <c r="R48" s="411"/>
      <c r="S48" s="411" t="s">
        <v>1046</v>
      </c>
      <c r="T48" s="411" t="s">
        <v>447</v>
      </c>
      <c r="U48" s="411" t="s">
        <v>446</v>
      </c>
      <c r="V48" s="412" t="s">
        <v>734</v>
      </c>
      <c r="W48" s="151" t="s">
        <v>445</v>
      </c>
      <c r="X48" s="152">
        <v>1005</v>
      </c>
      <c r="Y48" s="153" t="s">
        <v>444</v>
      </c>
      <c r="Z48" s="154">
        <v>6.2E-2</v>
      </c>
      <c r="AA48" s="149" t="s">
        <v>399</v>
      </c>
      <c r="AB48" s="155">
        <v>0.65</v>
      </c>
      <c r="AC48" s="149" t="s">
        <v>443</v>
      </c>
      <c r="AD48" s="155">
        <v>1</v>
      </c>
      <c r="AE48" s="149" t="s">
        <v>442</v>
      </c>
      <c r="AF48" s="156">
        <v>3.1399999999999997E-2</v>
      </c>
      <c r="AG48" s="158"/>
      <c r="AH48" s="158"/>
      <c r="AI48" s="158"/>
      <c r="AJ48" s="158"/>
      <c r="AK48" s="158"/>
      <c r="AL48" s="158"/>
      <c r="AM48" s="158"/>
      <c r="AN48" s="158"/>
      <c r="AO48" s="158"/>
      <c r="AP48" s="158"/>
      <c r="AQ48" s="158"/>
      <c r="AR48" s="158"/>
      <c r="AS48" s="158"/>
      <c r="AT48" s="158"/>
      <c r="AV48" s="413"/>
      <c r="AW48" s="413"/>
      <c r="AX48" s="414"/>
      <c r="AY48" s="415"/>
      <c r="AZ48" s="416"/>
    </row>
    <row r="49" spans="1:52">
      <c r="A49" s="5" t="str">
        <f t="shared" si="1"/>
        <v>Res - MF Assessments_Gas Optimization</v>
      </c>
      <c r="B49" s="407">
        <v>46</v>
      </c>
      <c r="C49" s="407" t="s">
        <v>700</v>
      </c>
      <c r="D49" s="407" t="s">
        <v>670</v>
      </c>
      <c r="E49" s="408" t="s">
        <v>150</v>
      </c>
      <c r="F49" s="408">
        <v>1</v>
      </c>
      <c r="G49" s="409">
        <v>1.02</v>
      </c>
      <c r="H49" s="470">
        <v>5</v>
      </c>
      <c r="I49" s="463">
        <v>5</v>
      </c>
      <c r="J49" s="408">
        <v>3</v>
      </c>
      <c r="K49" s="408">
        <v>3</v>
      </c>
      <c r="L49" s="408">
        <v>3</v>
      </c>
      <c r="M49" s="408">
        <v>3</v>
      </c>
      <c r="N49" s="208">
        <v>4500</v>
      </c>
      <c r="O49" s="461">
        <f t="shared" si="5"/>
        <v>4500</v>
      </c>
      <c r="P49" s="461">
        <f t="shared" si="5"/>
        <v>4500</v>
      </c>
      <c r="Q49" s="461">
        <f t="shared" si="5"/>
        <v>4500</v>
      </c>
      <c r="R49" s="407"/>
      <c r="S49" s="407" t="s">
        <v>140</v>
      </c>
      <c r="T49" s="407" t="s">
        <v>140</v>
      </c>
      <c r="U49" s="407" t="s">
        <v>140</v>
      </c>
      <c r="V49" s="412" t="s">
        <v>140</v>
      </c>
      <c r="W49" s="161"/>
      <c r="X49" s="161"/>
      <c r="Y49" s="412"/>
      <c r="Z49" s="412"/>
      <c r="AA49" s="162"/>
      <c r="AB49" s="412"/>
      <c r="AC49" s="149"/>
      <c r="AD49" s="412"/>
      <c r="AE49" s="149"/>
      <c r="AF49" s="412"/>
      <c r="AG49" s="412"/>
      <c r="AH49" s="412"/>
      <c r="AI49" s="412"/>
      <c r="AJ49" s="412"/>
      <c r="AK49" s="412"/>
      <c r="AL49" s="412"/>
      <c r="AM49" s="412"/>
      <c r="AN49" s="412"/>
      <c r="AO49" s="412"/>
      <c r="AP49" s="412"/>
      <c r="AQ49" s="412"/>
      <c r="AR49" s="412"/>
      <c r="AS49" s="412"/>
      <c r="AT49" s="412"/>
      <c r="AV49" s="413"/>
      <c r="AW49" s="413"/>
      <c r="AX49" s="414"/>
      <c r="AY49" s="415"/>
      <c r="AZ49" s="416"/>
    </row>
    <row r="50" spans="1:52">
      <c r="A50" s="5" t="str">
        <f t="shared" si="1"/>
        <v>Res - SF Rebates_Boiler - DHW Two-in-One</v>
      </c>
      <c r="B50" s="407">
        <v>47</v>
      </c>
      <c r="C50" s="407" t="s">
        <v>703</v>
      </c>
      <c r="D50" s="407" t="s">
        <v>1061</v>
      </c>
      <c r="E50" s="408" t="s">
        <v>150</v>
      </c>
      <c r="F50" s="408">
        <v>1</v>
      </c>
      <c r="G50" s="409">
        <v>0.64</v>
      </c>
      <c r="H50" s="470">
        <v>13</v>
      </c>
      <c r="I50" s="463">
        <v>13</v>
      </c>
      <c r="J50" s="408">
        <v>7</v>
      </c>
      <c r="K50" s="408">
        <v>7</v>
      </c>
      <c r="L50" s="408">
        <v>7</v>
      </c>
      <c r="M50" s="408">
        <v>7</v>
      </c>
      <c r="N50" s="208">
        <f>X50*Z50*(1/AD50-1/AB50)+((1/AF50-1/AH50)*AJ50*AL50*365.25*AN50*(AP50-AR50)*1)/100000</f>
        <v>129.76174002144199</v>
      </c>
      <c r="O50" s="461">
        <f t="shared" si="5"/>
        <v>129.76174002144199</v>
      </c>
      <c r="P50" s="461">
        <f t="shared" si="5"/>
        <v>129.76174002144199</v>
      </c>
      <c r="Q50" s="461">
        <f t="shared" si="5"/>
        <v>129.76174002144199</v>
      </c>
      <c r="R50" s="411"/>
      <c r="S50" s="411" t="s">
        <v>1046</v>
      </c>
      <c r="T50" s="411" t="s">
        <v>386</v>
      </c>
      <c r="U50" s="411" t="s">
        <v>385</v>
      </c>
      <c r="V50" s="158" t="s">
        <v>737</v>
      </c>
      <c r="W50" s="158" t="s">
        <v>406</v>
      </c>
      <c r="X50" s="423">
        <v>1</v>
      </c>
      <c r="Y50" s="150" t="s">
        <v>403</v>
      </c>
      <c r="Z50" s="424">
        <v>1218</v>
      </c>
      <c r="AA50" s="150" t="s">
        <v>299</v>
      </c>
      <c r="AB50" s="423">
        <v>0.88</v>
      </c>
      <c r="AC50" s="150" t="s">
        <v>390</v>
      </c>
      <c r="AD50" s="425">
        <v>0.82</v>
      </c>
      <c r="AE50" s="158" t="s">
        <v>408</v>
      </c>
      <c r="AF50" s="158">
        <f>(0.675-0.0015*AT50)</f>
        <v>0.61499999999999999</v>
      </c>
      <c r="AG50" s="158" t="s">
        <v>407</v>
      </c>
      <c r="AH50" s="158">
        <v>0.75</v>
      </c>
      <c r="AI50" s="158" t="s">
        <v>256</v>
      </c>
      <c r="AJ50" s="158">
        <v>17.600000000000001</v>
      </c>
      <c r="AK50" s="158" t="s">
        <v>384</v>
      </c>
      <c r="AL50" s="158">
        <v>2.56</v>
      </c>
      <c r="AM50" s="158" t="s">
        <v>383</v>
      </c>
      <c r="AN50" s="158">
        <v>8.33</v>
      </c>
      <c r="AO50" s="158" t="s">
        <v>257</v>
      </c>
      <c r="AP50" s="158">
        <v>125</v>
      </c>
      <c r="AQ50" s="158" t="s">
        <v>250</v>
      </c>
      <c r="AR50" s="158">
        <v>54</v>
      </c>
      <c r="AS50" s="158" t="s">
        <v>382</v>
      </c>
      <c r="AT50" s="158">
        <v>40</v>
      </c>
      <c r="AV50" s="413"/>
      <c r="AW50" s="413"/>
      <c r="AX50" s="414"/>
      <c r="AY50" s="415"/>
      <c r="AZ50" s="416"/>
    </row>
    <row r="51" spans="1:52">
      <c r="A51" s="5" t="str">
        <f t="shared" si="1"/>
        <v>Res - SF Rebates_Boiler ≥90% AFUE, &lt;300MBh</v>
      </c>
      <c r="B51" s="407">
        <v>48</v>
      </c>
      <c r="C51" s="407" t="s">
        <v>703</v>
      </c>
      <c r="D51" s="407" t="s">
        <v>730</v>
      </c>
      <c r="E51" s="408" t="s">
        <v>150</v>
      </c>
      <c r="F51" s="408">
        <v>1</v>
      </c>
      <c r="G51" s="409">
        <v>0.64</v>
      </c>
      <c r="H51" s="470">
        <v>25</v>
      </c>
      <c r="I51" s="463">
        <v>25</v>
      </c>
      <c r="J51" s="408">
        <v>21</v>
      </c>
      <c r="K51" s="408">
        <v>21</v>
      </c>
      <c r="L51" s="408">
        <v>21</v>
      </c>
      <c r="M51" s="408">
        <v>21</v>
      </c>
      <c r="N51" s="393">
        <f xml:space="preserve"> (X51 * Z51 * (AB51 / AD51 -1)) / 100000</f>
        <v>95.219512195122036</v>
      </c>
      <c r="O51" s="461">
        <f t="shared" si="5"/>
        <v>95.219512195122036</v>
      </c>
      <c r="P51" s="461">
        <f t="shared" si="5"/>
        <v>95.219512195122036</v>
      </c>
      <c r="Q51" s="461">
        <f t="shared" si="5"/>
        <v>95.219512195122036</v>
      </c>
      <c r="R51" s="411"/>
      <c r="S51" s="411" t="s">
        <v>1046</v>
      </c>
      <c r="T51" s="411" t="s">
        <v>405</v>
      </c>
      <c r="U51" s="411" t="s">
        <v>404</v>
      </c>
      <c r="V51" s="421" t="s">
        <v>843</v>
      </c>
      <c r="W51" s="421" t="s">
        <v>303</v>
      </c>
      <c r="X51" s="426">
        <v>976</v>
      </c>
      <c r="Y51" s="421" t="s">
        <v>844</v>
      </c>
      <c r="Z51" s="427">
        <v>100000</v>
      </c>
      <c r="AA51" s="150" t="s">
        <v>299</v>
      </c>
      <c r="AB51" s="423">
        <v>0.9</v>
      </c>
      <c r="AC51" s="150" t="s">
        <v>390</v>
      </c>
      <c r="AD51" s="425">
        <v>0.82</v>
      </c>
      <c r="AE51" s="150"/>
      <c r="AF51" s="425"/>
      <c r="AG51" s="158"/>
      <c r="AH51" s="158"/>
      <c r="AI51" s="158"/>
      <c r="AJ51" s="158"/>
      <c r="AK51" s="158"/>
      <c r="AL51" s="158"/>
      <c r="AM51" s="158"/>
      <c r="AN51" s="158"/>
      <c r="AO51" s="158"/>
      <c r="AP51" s="158"/>
      <c r="AQ51" s="158"/>
      <c r="AR51" s="158"/>
      <c r="AS51" s="158"/>
      <c r="AT51" s="158"/>
      <c r="AV51" s="413"/>
      <c r="AW51" s="413"/>
      <c r="AX51" s="414"/>
      <c r="AY51" s="415"/>
      <c r="AZ51" s="416"/>
    </row>
    <row r="52" spans="1:52">
      <c r="A52" s="5" t="str">
        <f t="shared" si="1"/>
        <v>Res - SF Rebates_Boiler ≥95% AFUE, &lt;300MBh</v>
      </c>
      <c r="B52" s="407">
        <v>49</v>
      </c>
      <c r="C52" s="407" t="s">
        <v>703</v>
      </c>
      <c r="D52" s="407" t="s">
        <v>1062</v>
      </c>
      <c r="E52" s="408" t="s">
        <v>150</v>
      </c>
      <c r="F52" s="408">
        <v>1</v>
      </c>
      <c r="G52" s="409">
        <v>0.64</v>
      </c>
      <c r="H52" s="470">
        <v>25</v>
      </c>
      <c r="I52" s="463">
        <v>25</v>
      </c>
      <c r="J52" s="408">
        <v>11</v>
      </c>
      <c r="K52" s="408">
        <v>11</v>
      </c>
      <c r="L52" s="408">
        <v>11</v>
      </c>
      <c r="M52" s="408">
        <v>11</v>
      </c>
      <c r="N52" s="393">
        <f xml:space="preserve"> (X52 * Z52 * (AB52 / AD52 -1)) / 100000</f>
        <v>154.73170731707307</v>
      </c>
      <c r="O52" s="461">
        <f t="shared" si="5"/>
        <v>154.73170731707307</v>
      </c>
      <c r="P52" s="461">
        <f t="shared" si="5"/>
        <v>154.73170731707307</v>
      </c>
      <c r="Q52" s="461">
        <f t="shared" si="5"/>
        <v>154.73170731707307</v>
      </c>
      <c r="R52" s="411"/>
      <c r="S52" s="411" t="s">
        <v>1046</v>
      </c>
      <c r="T52" s="411" t="s">
        <v>405</v>
      </c>
      <c r="U52" s="411" t="s">
        <v>404</v>
      </c>
      <c r="V52" s="421" t="s">
        <v>843</v>
      </c>
      <c r="W52" s="421" t="s">
        <v>303</v>
      </c>
      <c r="X52" s="426">
        <v>976</v>
      </c>
      <c r="Y52" s="421" t="s">
        <v>844</v>
      </c>
      <c r="Z52" s="427">
        <v>100000</v>
      </c>
      <c r="AA52" s="150" t="s">
        <v>299</v>
      </c>
      <c r="AB52" s="423">
        <v>0.95</v>
      </c>
      <c r="AC52" s="150" t="s">
        <v>390</v>
      </c>
      <c r="AD52" s="425">
        <v>0.82</v>
      </c>
      <c r="AE52" s="150"/>
      <c r="AF52" s="425"/>
      <c r="AG52" s="158"/>
      <c r="AH52" s="158"/>
      <c r="AI52" s="158"/>
      <c r="AJ52" s="158"/>
      <c r="AK52" s="158"/>
      <c r="AL52" s="158"/>
      <c r="AM52" s="158"/>
      <c r="AN52" s="158"/>
      <c r="AO52" s="158"/>
      <c r="AP52" s="158"/>
      <c r="AQ52" s="158"/>
      <c r="AR52" s="158"/>
      <c r="AS52" s="158"/>
      <c r="AT52" s="158"/>
      <c r="AV52" s="413"/>
      <c r="AW52" s="413"/>
      <c r="AX52" s="414"/>
      <c r="AY52" s="415"/>
      <c r="AZ52" s="416"/>
    </row>
    <row r="53" spans="1:52" ht="12.75" customHeight="1">
      <c r="A53" s="5" t="str">
        <f t="shared" si="1"/>
        <v>Res - SF Rebates_Furnace &gt;95% AFUE</v>
      </c>
      <c r="B53" s="407">
        <v>50</v>
      </c>
      <c r="C53" s="407" t="s">
        <v>703</v>
      </c>
      <c r="D53" s="407" t="s">
        <v>1063</v>
      </c>
      <c r="E53" s="408" t="s">
        <v>150</v>
      </c>
      <c r="F53" s="408">
        <v>1</v>
      </c>
      <c r="G53" s="409">
        <v>0.64</v>
      </c>
      <c r="H53" s="470">
        <v>20</v>
      </c>
      <c r="I53" s="463">
        <v>20</v>
      </c>
      <c r="J53" s="408">
        <v>1104</v>
      </c>
      <c r="K53" s="408">
        <v>1104</v>
      </c>
      <c r="L53" s="408">
        <v>1104</v>
      </c>
      <c r="M53" s="408">
        <v>1104</v>
      </c>
      <c r="N53" s="393">
        <f xml:space="preserve"> ((X53 * Z53)/(1-AH53) * (((AD53 * (1-AH53)) / (AB53 * (1-AF53))) - 1)) / 100000</f>
        <v>156.41025641025624</v>
      </c>
      <c r="O53" s="461">
        <f t="shared" si="5"/>
        <v>156.41025641025624</v>
      </c>
      <c r="P53" s="461">
        <f t="shared" si="5"/>
        <v>156.41025641025624</v>
      </c>
      <c r="Q53" s="461">
        <f t="shared" si="5"/>
        <v>156.41025641025624</v>
      </c>
      <c r="R53" s="411"/>
      <c r="S53" s="411" t="s">
        <v>1046</v>
      </c>
      <c r="T53" s="411" t="s">
        <v>401</v>
      </c>
      <c r="U53" s="411" t="s">
        <v>400</v>
      </c>
      <c r="V53" s="421" t="s">
        <v>845</v>
      </c>
      <c r="W53" s="421" t="s">
        <v>303</v>
      </c>
      <c r="X53" s="426">
        <v>976</v>
      </c>
      <c r="Y53" s="421" t="s">
        <v>844</v>
      </c>
      <c r="Z53" s="428">
        <v>80000</v>
      </c>
      <c r="AA53" s="150" t="s">
        <v>390</v>
      </c>
      <c r="AB53" s="423">
        <v>0.8</v>
      </c>
      <c r="AC53" s="150" t="s">
        <v>299</v>
      </c>
      <c r="AD53" s="423">
        <v>0.95</v>
      </c>
      <c r="AE53" s="157" t="s">
        <v>398</v>
      </c>
      <c r="AF53" s="425">
        <v>6.4000000000000001E-2</v>
      </c>
      <c r="AG53" s="158" t="s">
        <v>397</v>
      </c>
      <c r="AH53" s="425">
        <v>6.4000000000000001E-2</v>
      </c>
      <c r="AI53" s="158"/>
      <c r="AJ53" s="158"/>
      <c r="AK53" s="158"/>
      <c r="AL53" s="158"/>
      <c r="AM53" s="158"/>
      <c r="AN53" s="158"/>
      <c r="AO53" s="158"/>
      <c r="AP53" s="158"/>
      <c r="AQ53" s="158"/>
      <c r="AR53" s="158"/>
      <c r="AS53" s="158"/>
      <c r="AT53" s="158"/>
      <c r="AV53" s="413"/>
      <c r="AW53" s="413"/>
      <c r="AX53" s="414"/>
      <c r="AY53" s="415"/>
      <c r="AZ53" s="416"/>
    </row>
    <row r="54" spans="1:52" ht="12.75" customHeight="1">
      <c r="A54" s="5" t="str">
        <f t="shared" si="1"/>
        <v>Res - SF Rebates_Furnace &gt;97% AFUE</v>
      </c>
      <c r="B54" s="407">
        <v>51</v>
      </c>
      <c r="C54" s="407" t="s">
        <v>703</v>
      </c>
      <c r="D54" s="407" t="s">
        <v>1064</v>
      </c>
      <c r="E54" s="408" t="s">
        <v>150</v>
      </c>
      <c r="F54" s="408">
        <v>1</v>
      </c>
      <c r="G54" s="409">
        <v>0.64</v>
      </c>
      <c r="H54" s="470">
        <v>20</v>
      </c>
      <c r="I54" s="463">
        <v>20</v>
      </c>
      <c r="J54" s="408">
        <v>242</v>
      </c>
      <c r="K54" s="408">
        <v>242</v>
      </c>
      <c r="L54" s="408">
        <v>242</v>
      </c>
      <c r="M54" s="408">
        <v>242</v>
      </c>
      <c r="N54" s="393">
        <f xml:space="preserve"> ((X54 * Z54)/(1-AH54) * (((AD54 * (1-AH54)) / (AB54 * (1-AF54))) - 1)) / 100000</f>
        <v>177.26495726495722</v>
      </c>
      <c r="O54" s="461">
        <f t="shared" si="5"/>
        <v>177.26495726495722</v>
      </c>
      <c r="P54" s="461">
        <f t="shared" si="5"/>
        <v>177.26495726495722</v>
      </c>
      <c r="Q54" s="461">
        <f t="shared" si="5"/>
        <v>177.26495726495722</v>
      </c>
      <c r="R54" s="411"/>
      <c r="S54" s="411" t="s">
        <v>1046</v>
      </c>
      <c r="T54" s="411" t="s">
        <v>401</v>
      </c>
      <c r="U54" s="411" t="s">
        <v>400</v>
      </c>
      <c r="V54" s="421" t="s">
        <v>845</v>
      </c>
      <c r="W54" s="421" t="s">
        <v>303</v>
      </c>
      <c r="X54" s="426">
        <v>976</v>
      </c>
      <c r="Y54" s="421" t="s">
        <v>844</v>
      </c>
      <c r="Z54" s="428">
        <v>80000</v>
      </c>
      <c r="AA54" s="150" t="s">
        <v>390</v>
      </c>
      <c r="AB54" s="423">
        <v>0.8</v>
      </c>
      <c r="AC54" s="150" t="s">
        <v>299</v>
      </c>
      <c r="AD54" s="423">
        <v>0.97</v>
      </c>
      <c r="AE54" s="157" t="s">
        <v>398</v>
      </c>
      <c r="AF54" s="425">
        <v>6.4000000000000001E-2</v>
      </c>
      <c r="AG54" s="158" t="s">
        <v>397</v>
      </c>
      <c r="AH54" s="425">
        <v>6.4000000000000001E-2</v>
      </c>
      <c r="AI54" s="158"/>
      <c r="AJ54" s="158"/>
      <c r="AK54" s="158"/>
      <c r="AL54" s="158"/>
      <c r="AM54" s="158"/>
      <c r="AN54" s="158"/>
      <c r="AO54" s="158"/>
      <c r="AP54" s="158"/>
      <c r="AQ54" s="158"/>
      <c r="AR54" s="158"/>
      <c r="AS54" s="158"/>
      <c r="AT54" s="158"/>
      <c r="AV54" s="413"/>
      <c r="AW54" s="413"/>
      <c r="AX54" s="414"/>
      <c r="AY54" s="416"/>
      <c r="AZ54" s="416"/>
    </row>
    <row r="55" spans="1:52">
      <c r="A55" s="5" t="str">
        <f t="shared" si="1"/>
        <v>Res - SF Rebates_Programmable Thermostat - Furnace</v>
      </c>
      <c r="B55" s="407">
        <v>52</v>
      </c>
      <c r="C55" s="407" t="s">
        <v>703</v>
      </c>
      <c r="D55" s="407" t="s">
        <v>702</v>
      </c>
      <c r="E55" s="408" t="s">
        <v>150</v>
      </c>
      <c r="F55" s="408">
        <v>1</v>
      </c>
      <c r="G55" s="409">
        <v>0.64</v>
      </c>
      <c r="H55" s="470">
        <v>5</v>
      </c>
      <c r="I55" s="467">
        <v>8</v>
      </c>
      <c r="J55" s="408"/>
      <c r="K55" s="408">
        <v>0</v>
      </c>
      <c r="L55" s="408">
        <v>0</v>
      </c>
      <c r="M55" s="408">
        <v>0</v>
      </c>
      <c r="N55" s="354">
        <f t="shared" ref="N55:N60" si="6">X55*Z55*AB55*AD55</f>
        <v>34.893600000000006</v>
      </c>
      <c r="O55" s="461">
        <f t="shared" si="5"/>
        <v>34.893600000000006</v>
      </c>
      <c r="P55" s="461">
        <f t="shared" si="5"/>
        <v>34.893600000000006</v>
      </c>
      <c r="Q55" s="461">
        <f t="shared" si="5"/>
        <v>34.893600000000006</v>
      </c>
      <c r="R55" s="411"/>
      <c r="S55" s="411" t="s">
        <v>1046</v>
      </c>
      <c r="T55" s="411" t="s">
        <v>447</v>
      </c>
      <c r="U55" s="411" t="s">
        <v>446</v>
      </c>
      <c r="V55" s="412" t="s">
        <v>441</v>
      </c>
      <c r="W55" s="151" t="s">
        <v>445</v>
      </c>
      <c r="X55" s="152">
        <v>1005</v>
      </c>
      <c r="Y55" s="153" t="s">
        <v>444</v>
      </c>
      <c r="Z55" s="154">
        <v>6.2E-2</v>
      </c>
      <c r="AA55" s="149" t="s">
        <v>392</v>
      </c>
      <c r="AB55" s="155">
        <v>1</v>
      </c>
      <c r="AC55" s="149" t="s">
        <v>443</v>
      </c>
      <c r="AD55" s="155">
        <v>0.56000000000000005</v>
      </c>
      <c r="AE55" s="149" t="s">
        <v>442</v>
      </c>
      <c r="AF55" s="156">
        <v>3.1399999999999997E-2</v>
      </c>
      <c r="AG55" s="158"/>
      <c r="AH55" s="158"/>
      <c r="AI55" s="158"/>
      <c r="AJ55" s="158"/>
      <c r="AK55" s="158"/>
      <c r="AL55" s="158"/>
      <c r="AM55" s="158"/>
      <c r="AN55" s="158"/>
      <c r="AO55" s="158"/>
      <c r="AP55" s="158"/>
      <c r="AQ55" s="158"/>
      <c r="AR55" s="158"/>
      <c r="AS55" s="158"/>
      <c r="AT55" s="158"/>
      <c r="AV55" s="413"/>
      <c r="AW55" s="413"/>
      <c r="AX55" s="414"/>
      <c r="AY55" s="415"/>
      <c r="AZ55" s="416"/>
    </row>
    <row r="56" spans="1:52">
      <c r="A56" s="5" t="str">
        <f t="shared" si="1"/>
        <v>Res - SF Rebates_Programmable Thermostat - Boiler</v>
      </c>
      <c r="B56" s="407">
        <v>53</v>
      </c>
      <c r="C56" s="407" t="s">
        <v>703</v>
      </c>
      <c r="D56" s="407" t="s">
        <v>1057</v>
      </c>
      <c r="E56" s="408" t="s">
        <v>150</v>
      </c>
      <c r="F56" s="408">
        <v>1</v>
      </c>
      <c r="G56" s="409">
        <v>0.64</v>
      </c>
      <c r="H56" s="470">
        <v>5</v>
      </c>
      <c r="I56" s="467">
        <v>8</v>
      </c>
      <c r="J56" s="408"/>
      <c r="K56" s="408">
        <v>0</v>
      </c>
      <c r="L56" s="408">
        <v>0</v>
      </c>
      <c r="M56" s="408">
        <v>0</v>
      </c>
      <c r="N56" s="354">
        <f t="shared" si="6"/>
        <v>42.28896000000001</v>
      </c>
      <c r="O56" s="461">
        <f t="shared" si="5"/>
        <v>42.28896000000001</v>
      </c>
      <c r="P56" s="461">
        <f t="shared" si="5"/>
        <v>42.28896000000001</v>
      </c>
      <c r="Q56" s="461">
        <f t="shared" si="5"/>
        <v>42.28896000000001</v>
      </c>
      <c r="R56" s="411"/>
      <c r="S56" s="411" t="s">
        <v>1046</v>
      </c>
      <c r="T56" s="411" t="s">
        <v>447</v>
      </c>
      <c r="U56" s="411" t="s">
        <v>446</v>
      </c>
      <c r="V56" s="412" t="s">
        <v>441</v>
      </c>
      <c r="W56" s="151" t="s">
        <v>445</v>
      </c>
      <c r="X56" s="152">
        <v>1218</v>
      </c>
      <c r="Y56" s="153" t="s">
        <v>444</v>
      </c>
      <c r="Z56" s="154">
        <v>6.2E-2</v>
      </c>
      <c r="AA56" s="149" t="s">
        <v>392</v>
      </c>
      <c r="AB56" s="155">
        <v>1</v>
      </c>
      <c r="AC56" s="149" t="s">
        <v>443</v>
      </c>
      <c r="AD56" s="155">
        <v>0.56000000000000005</v>
      </c>
      <c r="AE56" s="149" t="s">
        <v>442</v>
      </c>
      <c r="AF56" s="156">
        <v>3.1399999999999997E-2</v>
      </c>
      <c r="AG56" s="158"/>
      <c r="AH56" s="158"/>
      <c r="AI56" s="158"/>
      <c r="AJ56" s="158"/>
      <c r="AK56" s="158"/>
      <c r="AL56" s="158"/>
      <c r="AM56" s="158"/>
      <c r="AN56" s="158"/>
      <c r="AO56" s="158"/>
      <c r="AP56" s="158"/>
      <c r="AQ56" s="158"/>
      <c r="AR56" s="158"/>
      <c r="AS56" s="158"/>
      <c r="AT56" s="158"/>
      <c r="AV56" s="413"/>
      <c r="AW56" s="413"/>
      <c r="AX56" s="414"/>
      <c r="AY56" s="415"/>
      <c r="AZ56" s="416"/>
    </row>
    <row r="57" spans="1:52">
      <c r="A57" s="5" t="str">
        <f t="shared" si="1"/>
        <v>Res - SF Rebates_Advanced Thermostat - Furnace (Replace Manual)</v>
      </c>
      <c r="B57" s="407">
        <v>54</v>
      </c>
      <c r="C57" s="407" t="s">
        <v>703</v>
      </c>
      <c r="D57" s="407" t="s">
        <v>699</v>
      </c>
      <c r="E57" s="408" t="s">
        <v>150</v>
      </c>
      <c r="F57" s="408">
        <v>1</v>
      </c>
      <c r="G57" s="409">
        <v>1</v>
      </c>
      <c r="H57" s="470">
        <v>10</v>
      </c>
      <c r="I57" s="467">
        <v>11</v>
      </c>
      <c r="J57" s="408">
        <v>1242</v>
      </c>
      <c r="K57" s="408">
        <v>1242</v>
      </c>
      <c r="L57" s="408">
        <v>1242</v>
      </c>
      <c r="M57" s="408">
        <v>1242</v>
      </c>
      <c r="N57" s="208">
        <f t="shared" si="6"/>
        <v>88.44</v>
      </c>
      <c r="O57" s="461">
        <f t="shared" si="5"/>
        <v>88.44</v>
      </c>
      <c r="P57" s="461">
        <f t="shared" si="5"/>
        <v>88.44</v>
      </c>
      <c r="Q57" s="461">
        <f t="shared" si="5"/>
        <v>88.44</v>
      </c>
      <c r="R57" s="411"/>
      <c r="S57" s="411" t="s">
        <v>1046</v>
      </c>
      <c r="T57" s="411" t="s">
        <v>49</v>
      </c>
      <c r="U57" s="411" t="s">
        <v>60</v>
      </c>
      <c r="V57" s="412" t="s">
        <v>441</v>
      </c>
      <c r="W57" s="151" t="s">
        <v>445</v>
      </c>
      <c r="X57" s="152">
        <v>1005</v>
      </c>
      <c r="Y57" s="153" t="s">
        <v>444</v>
      </c>
      <c r="Z57" s="154">
        <v>8.7999999999999995E-2</v>
      </c>
      <c r="AA57" s="149" t="s">
        <v>392</v>
      </c>
      <c r="AB57" s="155">
        <v>1</v>
      </c>
      <c r="AC57" s="149" t="s">
        <v>443</v>
      </c>
      <c r="AD57" s="155">
        <v>1</v>
      </c>
      <c r="AE57" s="149" t="s">
        <v>442</v>
      </c>
      <c r="AF57" s="156">
        <v>3.1399999999999997E-2</v>
      </c>
      <c r="AG57" s="158"/>
      <c r="AH57" s="158"/>
      <c r="AI57" s="158"/>
      <c r="AJ57" s="158"/>
      <c r="AK57" s="158"/>
      <c r="AL57" s="158"/>
      <c r="AM57" s="158"/>
      <c r="AN57" s="158"/>
      <c r="AO57" s="158"/>
      <c r="AP57" s="158"/>
      <c r="AQ57" s="158"/>
      <c r="AR57" s="158"/>
      <c r="AS57" s="158"/>
      <c r="AT57" s="158"/>
      <c r="AV57" s="413"/>
      <c r="AW57" s="413"/>
      <c r="AX57" s="414"/>
      <c r="AY57" s="415"/>
      <c r="AZ57" s="416"/>
    </row>
    <row r="58" spans="1:52">
      <c r="A58" s="5" t="str">
        <f t="shared" si="1"/>
        <v>Res - SF Rebates_Advanced Thermostat - Boiler (Replace Manual)</v>
      </c>
      <c r="B58" s="407">
        <v>55</v>
      </c>
      <c r="C58" s="407" t="s">
        <v>703</v>
      </c>
      <c r="D58" s="407" t="s">
        <v>1058</v>
      </c>
      <c r="E58" s="408" t="s">
        <v>150</v>
      </c>
      <c r="F58" s="408">
        <v>1</v>
      </c>
      <c r="G58" s="409">
        <v>1</v>
      </c>
      <c r="H58" s="470">
        <v>10</v>
      </c>
      <c r="I58" s="467">
        <v>11</v>
      </c>
      <c r="J58" s="408">
        <v>440</v>
      </c>
      <c r="K58" s="408">
        <v>440</v>
      </c>
      <c r="L58" s="408">
        <v>440</v>
      </c>
      <c r="M58" s="408">
        <v>440</v>
      </c>
      <c r="N58" s="208">
        <f t="shared" si="6"/>
        <v>107.184</v>
      </c>
      <c r="O58" s="461">
        <f t="shared" si="5"/>
        <v>107.184</v>
      </c>
      <c r="P58" s="461">
        <f t="shared" si="5"/>
        <v>107.184</v>
      </c>
      <c r="Q58" s="461">
        <f t="shared" si="5"/>
        <v>107.184</v>
      </c>
      <c r="R58" s="411"/>
      <c r="S58" s="411" t="s">
        <v>1046</v>
      </c>
      <c r="T58" s="411" t="s">
        <v>49</v>
      </c>
      <c r="U58" s="411" t="s">
        <v>60</v>
      </c>
      <c r="V58" s="412" t="s">
        <v>441</v>
      </c>
      <c r="W58" s="151" t="s">
        <v>445</v>
      </c>
      <c r="X58" s="152">
        <v>1218</v>
      </c>
      <c r="Y58" s="153" t="s">
        <v>444</v>
      </c>
      <c r="Z58" s="154">
        <v>8.7999999999999995E-2</v>
      </c>
      <c r="AA58" s="149" t="s">
        <v>392</v>
      </c>
      <c r="AB58" s="155">
        <v>1</v>
      </c>
      <c r="AC58" s="149" t="s">
        <v>443</v>
      </c>
      <c r="AD58" s="155">
        <v>1</v>
      </c>
      <c r="AE58" s="149" t="s">
        <v>442</v>
      </c>
      <c r="AF58" s="156">
        <v>3.1399999999999997E-2</v>
      </c>
      <c r="AG58" s="158"/>
      <c r="AH58" s="158"/>
      <c r="AI58" s="158"/>
      <c r="AJ58" s="158"/>
      <c r="AK58" s="158"/>
      <c r="AL58" s="158"/>
      <c r="AM58" s="158"/>
      <c r="AN58" s="158"/>
      <c r="AO58" s="158"/>
      <c r="AP58" s="158"/>
      <c r="AQ58" s="158"/>
      <c r="AR58" s="158"/>
      <c r="AS58" s="158"/>
      <c r="AT58" s="158"/>
      <c r="AV58" s="413"/>
      <c r="AW58" s="413"/>
      <c r="AX58" s="414"/>
      <c r="AY58" s="415"/>
      <c r="AZ58" s="416"/>
    </row>
    <row r="59" spans="1:52">
      <c r="A59" s="5" t="str">
        <f t="shared" si="1"/>
        <v>Res - SF Rebates_Advanced Thermostat - Furnace (Replace Programmable)</v>
      </c>
      <c r="B59" s="407">
        <v>56</v>
      </c>
      <c r="C59" s="407" t="s">
        <v>703</v>
      </c>
      <c r="D59" s="407" t="s">
        <v>1059</v>
      </c>
      <c r="E59" s="408" t="s">
        <v>150</v>
      </c>
      <c r="F59" s="408">
        <v>1</v>
      </c>
      <c r="G59" s="409">
        <v>1</v>
      </c>
      <c r="H59" s="470">
        <v>10</v>
      </c>
      <c r="I59" s="467">
        <v>11</v>
      </c>
      <c r="J59" s="408">
        <v>1725</v>
      </c>
      <c r="K59" s="408">
        <v>1725</v>
      </c>
      <c r="L59" s="408">
        <v>1725</v>
      </c>
      <c r="M59" s="408">
        <v>1725</v>
      </c>
      <c r="N59" s="208">
        <f t="shared" si="6"/>
        <v>56.28</v>
      </c>
      <c r="O59" s="461">
        <f t="shared" si="5"/>
        <v>56.28</v>
      </c>
      <c r="P59" s="461">
        <f t="shared" si="5"/>
        <v>56.28</v>
      </c>
      <c r="Q59" s="461">
        <f t="shared" si="5"/>
        <v>56.28</v>
      </c>
      <c r="R59" s="411"/>
      <c r="S59" s="411" t="s">
        <v>1046</v>
      </c>
      <c r="T59" s="411" t="s">
        <v>49</v>
      </c>
      <c r="U59" s="411" t="s">
        <v>60</v>
      </c>
      <c r="V59" s="412" t="s">
        <v>441</v>
      </c>
      <c r="W59" s="151" t="s">
        <v>445</v>
      </c>
      <c r="X59" s="152">
        <v>1005</v>
      </c>
      <c r="Y59" s="153" t="s">
        <v>444</v>
      </c>
      <c r="Z59" s="154">
        <v>5.6000000000000001E-2</v>
      </c>
      <c r="AA59" s="149" t="s">
        <v>392</v>
      </c>
      <c r="AB59" s="155">
        <v>1</v>
      </c>
      <c r="AC59" s="149" t="s">
        <v>443</v>
      </c>
      <c r="AD59" s="155">
        <v>1</v>
      </c>
      <c r="AE59" s="149" t="s">
        <v>442</v>
      </c>
      <c r="AF59" s="156">
        <v>3.1399999999999997E-2</v>
      </c>
      <c r="AG59" s="158"/>
      <c r="AH59" s="158"/>
      <c r="AI59" s="158"/>
      <c r="AJ59" s="158"/>
      <c r="AK59" s="158"/>
      <c r="AL59" s="158"/>
      <c r="AM59" s="158"/>
      <c r="AN59" s="158"/>
      <c r="AO59" s="158"/>
      <c r="AP59" s="158"/>
      <c r="AQ59" s="158"/>
      <c r="AR59" s="158"/>
      <c r="AS59" s="158"/>
      <c r="AT59" s="158"/>
      <c r="AV59" s="413"/>
      <c r="AW59" s="413"/>
      <c r="AX59" s="414"/>
      <c r="AY59" s="415"/>
      <c r="AZ59" s="416"/>
    </row>
    <row r="60" spans="1:52">
      <c r="A60" s="5" t="str">
        <f t="shared" si="1"/>
        <v>Res - SF Rebates_Advanced Thermostat - Boiler (Replace Programmable)</v>
      </c>
      <c r="B60" s="407">
        <v>57</v>
      </c>
      <c r="C60" s="407" t="s">
        <v>703</v>
      </c>
      <c r="D60" s="407" t="s">
        <v>704</v>
      </c>
      <c r="E60" s="408" t="s">
        <v>150</v>
      </c>
      <c r="F60" s="408">
        <v>1</v>
      </c>
      <c r="G60" s="409">
        <v>1</v>
      </c>
      <c r="H60" s="470">
        <v>10</v>
      </c>
      <c r="I60" s="467">
        <v>11</v>
      </c>
      <c r="J60" s="408">
        <v>600</v>
      </c>
      <c r="K60" s="408">
        <v>600</v>
      </c>
      <c r="L60" s="408">
        <v>600</v>
      </c>
      <c r="M60" s="408">
        <v>600</v>
      </c>
      <c r="N60" s="208">
        <f t="shared" si="6"/>
        <v>68.207999999999998</v>
      </c>
      <c r="O60" s="461">
        <f t="shared" si="5"/>
        <v>68.207999999999998</v>
      </c>
      <c r="P60" s="461">
        <f t="shared" si="5"/>
        <v>68.207999999999998</v>
      </c>
      <c r="Q60" s="461">
        <f t="shared" si="5"/>
        <v>68.207999999999998</v>
      </c>
      <c r="R60" s="411"/>
      <c r="S60" s="411" t="s">
        <v>1046</v>
      </c>
      <c r="T60" s="411" t="s">
        <v>49</v>
      </c>
      <c r="U60" s="411" t="s">
        <v>60</v>
      </c>
      <c r="V60" s="412" t="s">
        <v>441</v>
      </c>
      <c r="W60" s="151" t="s">
        <v>445</v>
      </c>
      <c r="X60" s="152">
        <v>1218</v>
      </c>
      <c r="Y60" s="153" t="s">
        <v>444</v>
      </c>
      <c r="Z60" s="154">
        <v>5.6000000000000001E-2</v>
      </c>
      <c r="AA60" s="149" t="s">
        <v>392</v>
      </c>
      <c r="AB60" s="155">
        <v>1</v>
      </c>
      <c r="AC60" s="149" t="s">
        <v>443</v>
      </c>
      <c r="AD60" s="155">
        <v>1</v>
      </c>
      <c r="AE60" s="149" t="s">
        <v>442</v>
      </c>
      <c r="AF60" s="156">
        <v>3.1399999999999997E-2</v>
      </c>
      <c r="AG60" s="158"/>
      <c r="AH60" s="158"/>
      <c r="AI60" s="158"/>
      <c r="AJ60" s="158"/>
      <c r="AK60" s="158"/>
      <c r="AL60" s="158"/>
      <c r="AM60" s="158"/>
      <c r="AN60" s="158"/>
      <c r="AO60" s="158"/>
      <c r="AP60" s="158"/>
      <c r="AQ60" s="158"/>
      <c r="AR60" s="158"/>
      <c r="AS60" s="158"/>
      <c r="AT60" s="158"/>
      <c r="AV60" s="413"/>
      <c r="AW60" s="413"/>
      <c r="AX60" s="414"/>
      <c r="AY60" s="415"/>
      <c r="AZ60" s="416"/>
    </row>
    <row r="61" spans="1:52">
      <c r="A61" s="5" t="str">
        <f t="shared" si="1"/>
        <v>Res - SF Rebates_Air Sealing</v>
      </c>
      <c r="B61" s="407">
        <v>58</v>
      </c>
      <c r="C61" s="407" t="s">
        <v>703</v>
      </c>
      <c r="D61" s="407" t="s">
        <v>678</v>
      </c>
      <c r="E61" s="408" t="s">
        <v>439</v>
      </c>
      <c r="F61" s="408">
        <v>743.2399999999999</v>
      </c>
      <c r="G61" s="409">
        <v>0.9</v>
      </c>
      <c r="H61" s="470">
        <v>15</v>
      </c>
      <c r="I61" s="467">
        <v>20</v>
      </c>
      <c r="J61" s="408">
        <v>345</v>
      </c>
      <c r="K61" s="408">
        <v>345</v>
      </c>
      <c r="L61" s="408">
        <v>345</v>
      </c>
      <c r="M61" s="408">
        <v>345</v>
      </c>
      <c r="N61" s="502">
        <f>1/X61*60*24*Z61*0.018/(AB61*100000)*AD61*AF61</f>
        <v>5.5451447698744778E-2</v>
      </c>
      <c r="O61" s="461">
        <f t="shared" si="5"/>
        <v>5.5451447698744778E-2</v>
      </c>
      <c r="P61" s="461">
        <f t="shared" si="5"/>
        <v>5.5451447698744778E-2</v>
      </c>
      <c r="Q61" s="461">
        <f t="shared" si="5"/>
        <v>5.5451447698744778E-2</v>
      </c>
      <c r="R61" s="411"/>
      <c r="S61" s="411" t="s">
        <v>1046</v>
      </c>
      <c r="T61" s="411" t="s">
        <v>438</v>
      </c>
      <c r="U61" s="411" t="s">
        <v>437</v>
      </c>
      <c r="V61" s="497" t="s">
        <v>1457</v>
      </c>
      <c r="W61" s="158" t="s">
        <v>436</v>
      </c>
      <c r="X61" s="158">
        <v>23.9</v>
      </c>
      <c r="Y61" s="158" t="s">
        <v>411</v>
      </c>
      <c r="Z61" s="158">
        <v>5113</v>
      </c>
      <c r="AA61" s="150" t="s">
        <v>440</v>
      </c>
      <c r="AB61" s="429">
        <v>0.72</v>
      </c>
      <c r="AC61" s="391" t="s">
        <v>851</v>
      </c>
      <c r="AD61" s="430">
        <v>0.72</v>
      </c>
      <c r="AE61" s="494" t="s">
        <v>1445</v>
      </c>
      <c r="AF61" s="498">
        <v>1</v>
      </c>
      <c r="AG61" s="158"/>
      <c r="AH61" s="158"/>
      <c r="AI61" s="158"/>
      <c r="AJ61" s="158"/>
      <c r="AK61" s="158"/>
      <c r="AL61" s="158"/>
      <c r="AM61" s="158"/>
      <c r="AN61" s="158"/>
      <c r="AO61" s="158"/>
      <c r="AP61" s="158"/>
      <c r="AQ61" s="158"/>
      <c r="AR61" s="158"/>
      <c r="AS61" s="158"/>
      <c r="AT61" s="158"/>
      <c r="AV61" s="413"/>
      <c r="AW61" s="413"/>
      <c r="AX61" s="414"/>
      <c r="AY61" s="415"/>
      <c r="AZ61" s="416"/>
    </row>
    <row r="62" spans="1:52">
      <c r="A62" s="5" t="str">
        <f t="shared" si="1"/>
        <v>Res - SF Rebates_Attic Insulation</v>
      </c>
      <c r="B62" s="407">
        <v>59</v>
      </c>
      <c r="C62" s="407" t="s">
        <v>703</v>
      </c>
      <c r="D62" s="407" t="s">
        <v>729</v>
      </c>
      <c r="E62" s="408" t="s">
        <v>418</v>
      </c>
      <c r="F62" s="408">
        <v>800</v>
      </c>
      <c r="G62" s="409">
        <v>0.9</v>
      </c>
      <c r="H62" s="470">
        <v>25</v>
      </c>
      <c r="I62" s="467">
        <v>20</v>
      </c>
      <c r="J62" s="408">
        <v>345</v>
      </c>
      <c r="K62" s="408">
        <v>345</v>
      </c>
      <c r="L62" s="408">
        <v>345</v>
      </c>
      <c r="M62" s="408">
        <v>345</v>
      </c>
      <c r="N62" s="499">
        <f>((((1/X62-1/Z62)*1*(1-AB62))*24*AF62)/(AH62*100000)*AD62*AJ62*AL62)</f>
        <v>9.2988426666666665E-2</v>
      </c>
      <c r="O62" s="461">
        <f t="shared" si="5"/>
        <v>9.2988426666666665E-2</v>
      </c>
      <c r="P62" s="461">
        <f t="shared" si="5"/>
        <v>9.2988426666666665E-2</v>
      </c>
      <c r="Q62" s="461">
        <f t="shared" si="5"/>
        <v>9.2988426666666665E-2</v>
      </c>
      <c r="R62" s="411"/>
      <c r="S62" s="411" t="s">
        <v>1046</v>
      </c>
      <c r="T62" s="421" t="s">
        <v>853</v>
      </c>
      <c r="U62" s="411" t="s">
        <v>416</v>
      </c>
      <c r="V62" s="497" t="s">
        <v>1444</v>
      </c>
      <c r="W62" s="158" t="s">
        <v>415</v>
      </c>
      <c r="X62" s="158">
        <v>10</v>
      </c>
      <c r="Y62" s="421" t="s">
        <v>857</v>
      </c>
      <c r="Z62" s="158">
        <f>49+5</f>
        <v>54</v>
      </c>
      <c r="AA62" s="150" t="s">
        <v>434</v>
      </c>
      <c r="AB62" s="423">
        <v>7.0000000000000007E-2</v>
      </c>
      <c r="AC62" s="391" t="s">
        <v>858</v>
      </c>
      <c r="AD62" s="430">
        <v>0.72</v>
      </c>
      <c r="AE62" s="150" t="s">
        <v>411</v>
      </c>
      <c r="AF62" s="158">
        <v>5113</v>
      </c>
      <c r="AG62" s="158" t="s">
        <v>410</v>
      </c>
      <c r="AH62" s="423">
        <v>0.72</v>
      </c>
      <c r="AI62" s="497" t="s">
        <v>1445</v>
      </c>
      <c r="AJ62" s="498">
        <v>1</v>
      </c>
      <c r="AK62" s="497" t="s">
        <v>1446</v>
      </c>
      <c r="AL62" s="498">
        <v>1</v>
      </c>
      <c r="AM62" s="158"/>
      <c r="AN62" s="158"/>
      <c r="AO62" s="158"/>
      <c r="AP62" s="158"/>
      <c r="AQ62" s="158"/>
      <c r="AR62" s="158"/>
      <c r="AS62" s="158"/>
      <c r="AT62" s="158"/>
      <c r="AV62" s="413"/>
      <c r="AW62" s="413"/>
      <c r="AX62" s="414"/>
      <c r="AY62" s="415"/>
      <c r="AZ62" s="416"/>
    </row>
    <row r="63" spans="1:52">
      <c r="A63" s="5" t="str">
        <f t="shared" si="1"/>
        <v>Res - SF Rebates_Duct Sealing</v>
      </c>
      <c r="B63" s="407">
        <v>60</v>
      </c>
      <c r="C63" s="407" t="s">
        <v>703</v>
      </c>
      <c r="D63" s="407" t="s">
        <v>707</v>
      </c>
      <c r="E63" s="408" t="s">
        <v>429</v>
      </c>
      <c r="F63" s="408">
        <v>120</v>
      </c>
      <c r="G63" s="409">
        <v>0.9</v>
      </c>
      <c r="H63" s="470">
        <v>20</v>
      </c>
      <c r="I63" s="463">
        <v>20</v>
      </c>
      <c r="J63" s="408">
        <v>69</v>
      </c>
      <c r="K63" s="408">
        <v>69</v>
      </c>
      <c r="L63" s="408">
        <v>69</v>
      </c>
      <c r="M63" s="408">
        <v>69</v>
      </c>
      <c r="N63" s="208">
        <f>X63/(Z63*0.0123)*AB63*Z63*AH63*(AD63/AF63)/100000</f>
        <v>0.70950058072009281</v>
      </c>
      <c r="O63" s="461">
        <f t="shared" si="5"/>
        <v>0.70950058072009281</v>
      </c>
      <c r="P63" s="461">
        <f t="shared" si="5"/>
        <v>0.70950058072009281</v>
      </c>
      <c r="Q63" s="461">
        <f t="shared" si="5"/>
        <v>0.70950058072009281</v>
      </c>
      <c r="R63" s="411"/>
      <c r="S63" s="411" t="s">
        <v>1046</v>
      </c>
      <c r="T63" s="411" t="s">
        <v>428</v>
      </c>
      <c r="U63" s="411" t="s">
        <v>427</v>
      </c>
      <c r="V63" s="158" t="s">
        <v>420</v>
      </c>
      <c r="W63" s="158" t="s">
        <v>426</v>
      </c>
      <c r="X63" s="158">
        <v>1</v>
      </c>
      <c r="Y63" s="158" t="s">
        <v>425</v>
      </c>
      <c r="Z63" s="424">
        <v>76000</v>
      </c>
      <c r="AA63" s="150" t="s">
        <v>424</v>
      </c>
      <c r="AB63" s="424">
        <v>1840</v>
      </c>
      <c r="AC63" s="150" t="s">
        <v>423</v>
      </c>
      <c r="AD63" s="429">
        <v>0.83</v>
      </c>
      <c r="AE63" s="150" t="s">
        <v>422</v>
      </c>
      <c r="AF63" s="423">
        <v>0.7</v>
      </c>
      <c r="AG63" s="158" t="s">
        <v>421</v>
      </c>
      <c r="AH63" s="423">
        <v>0.4</v>
      </c>
      <c r="AI63" s="158"/>
      <c r="AJ63" s="158"/>
      <c r="AK63" s="158"/>
      <c r="AL63" s="158"/>
      <c r="AM63" s="158"/>
      <c r="AN63" s="158"/>
      <c r="AO63" s="158"/>
      <c r="AP63" s="158"/>
      <c r="AQ63" s="158"/>
      <c r="AR63" s="158"/>
      <c r="AS63" s="158"/>
      <c r="AT63" s="158"/>
      <c r="AV63" s="413"/>
      <c r="AW63" s="413"/>
      <c r="AX63" s="414"/>
      <c r="AY63" s="415"/>
      <c r="AZ63" s="416"/>
    </row>
    <row r="64" spans="1:52">
      <c r="A64" s="5" t="str">
        <f t="shared" si="1"/>
        <v>Res - SF Rebates_Wall Insulation</v>
      </c>
      <c r="B64" s="407">
        <v>61</v>
      </c>
      <c r="C64" s="407" t="s">
        <v>703</v>
      </c>
      <c r="D64" s="407" t="s">
        <v>680</v>
      </c>
      <c r="E64" s="408" t="s">
        <v>429</v>
      </c>
      <c r="F64" s="408">
        <v>500</v>
      </c>
      <c r="G64" s="409">
        <v>0.9</v>
      </c>
      <c r="H64" s="470">
        <v>25</v>
      </c>
      <c r="I64" s="467">
        <v>20</v>
      </c>
      <c r="J64" s="408">
        <v>17</v>
      </c>
      <c r="K64" s="408">
        <v>17</v>
      </c>
      <c r="L64" s="408">
        <v>17</v>
      </c>
      <c r="M64" s="408">
        <v>17</v>
      </c>
      <c r="N64" s="394">
        <f>((((1/X64-1/Z64)*1*(1-AB64))*24*AF64)/(AH64*100000)*AD64)</f>
        <v>7.90190909090909E-2</v>
      </c>
      <c r="O64" s="461">
        <f t="shared" ref="O64:Q83" si="7">N64</f>
        <v>7.90190909090909E-2</v>
      </c>
      <c r="P64" s="461">
        <f t="shared" si="7"/>
        <v>7.90190909090909E-2</v>
      </c>
      <c r="Q64" s="461">
        <f t="shared" si="7"/>
        <v>7.90190909090909E-2</v>
      </c>
      <c r="R64" s="411"/>
      <c r="S64" s="411" t="s">
        <v>1046</v>
      </c>
      <c r="T64" s="411" t="s">
        <v>417</v>
      </c>
      <c r="U64" s="411" t="s">
        <v>416</v>
      </c>
      <c r="V64" s="421" t="s">
        <v>855</v>
      </c>
      <c r="W64" s="158" t="s">
        <v>415</v>
      </c>
      <c r="X64" s="158">
        <v>3.3</v>
      </c>
      <c r="Y64" s="421" t="s">
        <v>856</v>
      </c>
      <c r="Z64" s="158">
        <v>5</v>
      </c>
      <c r="AA64" s="150" t="s">
        <v>433</v>
      </c>
      <c r="AB64" s="423">
        <v>0.25</v>
      </c>
      <c r="AC64" s="391" t="s">
        <v>854</v>
      </c>
      <c r="AD64" s="423">
        <v>0.6</v>
      </c>
      <c r="AE64" s="150" t="s">
        <v>411</v>
      </c>
      <c r="AF64" s="158">
        <v>5113</v>
      </c>
      <c r="AG64" s="158" t="s">
        <v>410</v>
      </c>
      <c r="AH64" s="423">
        <v>0.72</v>
      </c>
      <c r="AI64" s="158"/>
      <c r="AJ64" s="158"/>
      <c r="AK64" s="158"/>
      <c r="AL64" s="158"/>
      <c r="AM64" s="158"/>
      <c r="AN64" s="158"/>
      <c r="AO64" s="158"/>
      <c r="AP64" s="158"/>
      <c r="AQ64" s="158"/>
      <c r="AR64" s="158"/>
      <c r="AS64" s="158"/>
      <c r="AT64" s="158"/>
      <c r="AV64" s="413"/>
      <c r="AW64" s="413"/>
      <c r="AX64" s="414"/>
      <c r="AY64" s="415"/>
      <c r="AZ64" s="416"/>
    </row>
    <row r="65" spans="1:52">
      <c r="A65" s="5" t="str">
        <f t="shared" si="1"/>
        <v>Res - SF Rebates_Foundation Insulation</v>
      </c>
      <c r="B65" s="407">
        <v>62</v>
      </c>
      <c r="C65" s="407" t="s">
        <v>703</v>
      </c>
      <c r="D65" s="407" t="s">
        <v>432</v>
      </c>
      <c r="E65" s="408" t="s">
        <v>429</v>
      </c>
      <c r="F65" s="408">
        <v>140</v>
      </c>
      <c r="G65" s="409">
        <v>0.9</v>
      </c>
      <c r="H65" s="470">
        <v>25</v>
      </c>
      <c r="I65" s="463">
        <v>25</v>
      </c>
      <c r="J65" s="408">
        <v>17</v>
      </c>
      <c r="K65" s="408">
        <v>17</v>
      </c>
      <c r="L65" s="408">
        <v>17</v>
      </c>
      <c r="M65" s="408">
        <v>17</v>
      </c>
      <c r="N65" s="208">
        <f>(1/X65-1/Z65)*(1-AB65)*24*AF65/(AH65*100067)*AD65</f>
        <v>8.2417994229580488E-2</v>
      </c>
      <c r="O65" s="461">
        <f t="shared" si="7"/>
        <v>8.2417994229580488E-2</v>
      </c>
      <c r="P65" s="461">
        <f t="shared" si="7"/>
        <v>8.2417994229580488E-2</v>
      </c>
      <c r="Q65" s="461">
        <f t="shared" si="7"/>
        <v>8.2417994229580488E-2</v>
      </c>
      <c r="R65" s="411"/>
      <c r="S65" s="411" t="s">
        <v>1046</v>
      </c>
      <c r="T65" s="411" t="s">
        <v>431</v>
      </c>
      <c r="U65" s="411" t="s">
        <v>430</v>
      </c>
      <c r="V65" s="158" t="s">
        <v>409</v>
      </c>
      <c r="W65" s="158" t="s">
        <v>415</v>
      </c>
      <c r="X65" s="158">
        <v>4</v>
      </c>
      <c r="Y65" s="158" t="s">
        <v>414</v>
      </c>
      <c r="Z65" s="158">
        <f>13+1</f>
        <v>14</v>
      </c>
      <c r="AA65" s="150" t="s">
        <v>413</v>
      </c>
      <c r="AB65" s="423">
        <v>0.25</v>
      </c>
      <c r="AC65" s="150" t="s">
        <v>412</v>
      </c>
      <c r="AD65" s="423">
        <v>0.6</v>
      </c>
      <c r="AE65" s="150" t="s">
        <v>411</v>
      </c>
      <c r="AF65" s="158">
        <v>3079</v>
      </c>
      <c r="AG65" s="158" t="s">
        <v>410</v>
      </c>
      <c r="AH65" s="423">
        <v>0.72</v>
      </c>
      <c r="AI65" s="158"/>
      <c r="AJ65" s="158"/>
      <c r="AK65" s="158"/>
      <c r="AL65" s="158"/>
      <c r="AM65" s="158"/>
      <c r="AN65" s="158"/>
      <c r="AO65" s="158"/>
      <c r="AP65" s="158"/>
      <c r="AQ65" s="158"/>
      <c r="AR65" s="158"/>
      <c r="AS65" s="158"/>
      <c r="AT65" s="158"/>
      <c r="AV65" s="413"/>
      <c r="AW65" s="413"/>
      <c r="AX65" s="414"/>
      <c r="AY65" s="415"/>
      <c r="AZ65" s="416"/>
    </row>
    <row r="66" spans="1:52">
      <c r="A66" s="5" t="str">
        <f t="shared" si="1"/>
        <v>Res - SF Rebates_New Construction 20-25% over IL 2015 Code</v>
      </c>
      <c r="B66" s="407">
        <v>63</v>
      </c>
      <c r="C66" s="407" t="s">
        <v>703</v>
      </c>
      <c r="D66" s="407" t="s">
        <v>381</v>
      </c>
      <c r="E66" s="408" t="s">
        <v>150</v>
      </c>
      <c r="F66" s="408">
        <v>1</v>
      </c>
      <c r="G66" s="409">
        <v>0.65</v>
      </c>
      <c r="H66" s="470">
        <v>15</v>
      </c>
      <c r="I66" s="463">
        <v>15</v>
      </c>
      <c r="J66" s="408">
        <v>35</v>
      </c>
      <c r="K66" s="408">
        <v>35</v>
      </c>
      <c r="L66" s="408">
        <v>35</v>
      </c>
      <c r="M66" s="408">
        <v>35</v>
      </c>
      <c r="N66" s="208">
        <f>0.95*270</f>
        <v>256.5</v>
      </c>
      <c r="O66" s="461">
        <f t="shared" si="7"/>
        <v>256.5</v>
      </c>
      <c r="P66" s="461">
        <f t="shared" si="7"/>
        <v>256.5</v>
      </c>
      <c r="Q66" s="461">
        <f t="shared" si="7"/>
        <v>256.5</v>
      </c>
      <c r="R66" s="411"/>
      <c r="S66" s="411" t="s">
        <v>140</v>
      </c>
      <c r="T66" s="407" t="s">
        <v>140</v>
      </c>
      <c r="U66" s="411" t="s">
        <v>140</v>
      </c>
      <c r="V66" s="412" t="s">
        <v>140</v>
      </c>
      <c r="W66" s="412"/>
      <c r="X66" s="412"/>
      <c r="Y66" s="412"/>
      <c r="Z66" s="412"/>
      <c r="AA66" s="149"/>
      <c r="AB66" s="412"/>
      <c r="AC66" s="149"/>
      <c r="AD66" s="412"/>
      <c r="AE66" s="149"/>
      <c r="AF66" s="412"/>
      <c r="AG66" s="412"/>
      <c r="AH66" s="412"/>
      <c r="AI66" s="412"/>
      <c r="AJ66" s="412"/>
      <c r="AK66" s="412"/>
      <c r="AL66" s="412"/>
      <c r="AM66" s="412"/>
      <c r="AN66" s="412"/>
      <c r="AO66" s="412"/>
      <c r="AP66" s="412"/>
      <c r="AQ66" s="412"/>
      <c r="AR66" s="412"/>
      <c r="AS66" s="412"/>
      <c r="AT66" s="412"/>
      <c r="AV66" s="413"/>
      <c r="AW66" s="413"/>
      <c r="AX66" s="414"/>
      <c r="AY66" s="415"/>
      <c r="AZ66" s="416"/>
    </row>
    <row r="67" spans="1:52">
      <c r="A67" s="5" t="str">
        <f t="shared" si="1"/>
        <v>Res - SF Rebates_New Construction 25-30% over IL 2015 Code</v>
      </c>
      <c r="B67" s="407">
        <v>64</v>
      </c>
      <c r="C67" s="407" t="s">
        <v>703</v>
      </c>
      <c r="D67" s="407" t="s">
        <v>380</v>
      </c>
      <c r="E67" s="408" t="s">
        <v>150</v>
      </c>
      <c r="F67" s="408">
        <v>1</v>
      </c>
      <c r="G67" s="409">
        <v>0.65</v>
      </c>
      <c r="H67" s="470">
        <v>15</v>
      </c>
      <c r="I67" s="463">
        <v>15</v>
      </c>
      <c r="J67" s="408">
        <v>14</v>
      </c>
      <c r="K67" s="408">
        <v>14</v>
      </c>
      <c r="L67" s="408">
        <v>14</v>
      </c>
      <c r="M67" s="408">
        <v>14</v>
      </c>
      <c r="N67" s="208">
        <f>0.95*380</f>
        <v>361</v>
      </c>
      <c r="O67" s="461">
        <f t="shared" si="7"/>
        <v>361</v>
      </c>
      <c r="P67" s="461">
        <f t="shared" si="7"/>
        <v>361</v>
      </c>
      <c r="Q67" s="461">
        <f t="shared" si="7"/>
        <v>361</v>
      </c>
      <c r="R67" s="411"/>
      <c r="S67" s="411" t="s">
        <v>140</v>
      </c>
      <c r="T67" s="407" t="s">
        <v>140</v>
      </c>
      <c r="U67" s="411" t="s">
        <v>140</v>
      </c>
      <c r="V67" s="412" t="s">
        <v>140</v>
      </c>
      <c r="W67" s="412"/>
      <c r="X67" s="412"/>
      <c r="Y67" s="412"/>
      <c r="Z67" s="412"/>
      <c r="AA67" s="149"/>
      <c r="AB67" s="412"/>
      <c r="AC67" s="149"/>
      <c r="AD67" s="412"/>
      <c r="AE67" s="149"/>
      <c r="AF67" s="412"/>
      <c r="AG67" s="412"/>
      <c r="AH67" s="412"/>
      <c r="AI67" s="412"/>
      <c r="AJ67" s="412"/>
      <c r="AK67" s="412"/>
      <c r="AL67" s="412"/>
      <c r="AM67" s="412"/>
      <c r="AN67" s="412"/>
      <c r="AO67" s="412"/>
      <c r="AP67" s="412"/>
      <c r="AQ67" s="412"/>
      <c r="AR67" s="412"/>
      <c r="AS67" s="412"/>
      <c r="AT67" s="412"/>
      <c r="AV67" s="413"/>
      <c r="AW67" s="413"/>
      <c r="AX67" s="414"/>
      <c r="AY67" s="415"/>
      <c r="AZ67" s="416"/>
    </row>
    <row r="68" spans="1:52">
      <c r="A68" s="5" t="str">
        <f t="shared" si="1"/>
        <v>Res - SF Rebates_New Construction 30-40% over IL 2015 Code</v>
      </c>
      <c r="B68" s="407">
        <v>65</v>
      </c>
      <c r="C68" s="407" t="s">
        <v>703</v>
      </c>
      <c r="D68" s="407" t="s">
        <v>379</v>
      </c>
      <c r="E68" s="408" t="s">
        <v>150</v>
      </c>
      <c r="F68" s="408">
        <v>1</v>
      </c>
      <c r="G68" s="409">
        <v>0.65</v>
      </c>
      <c r="H68" s="470">
        <v>15</v>
      </c>
      <c r="I68" s="463">
        <v>15</v>
      </c>
      <c r="J68" s="408">
        <v>7</v>
      </c>
      <c r="K68" s="408">
        <v>7</v>
      </c>
      <c r="L68" s="408">
        <v>7</v>
      </c>
      <c r="M68" s="408">
        <v>7</v>
      </c>
      <c r="N68" s="208">
        <f>0.95*500</f>
        <v>475</v>
      </c>
      <c r="O68" s="461">
        <f t="shared" si="7"/>
        <v>475</v>
      </c>
      <c r="P68" s="461">
        <f t="shared" si="7"/>
        <v>475</v>
      </c>
      <c r="Q68" s="461">
        <f t="shared" si="7"/>
        <v>475</v>
      </c>
      <c r="R68" s="411"/>
      <c r="S68" s="411" t="s">
        <v>140</v>
      </c>
      <c r="T68" s="407" t="s">
        <v>140</v>
      </c>
      <c r="U68" s="411" t="s">
        <v>140</v>
      </c>
      <c r="V68" s="412" t="s">
        <v>140</v>
      </c>
      <c r="W68" s="412"/>
      <c r="X68" s="412"/>
      <c r="Y68" s="412"/>
      <c r="Z68" s="412"/>
      <c r="AA68" s="149"/>
      <c r="AB68" s="412"/>
      <c r="AC68" s="149"/>
      <c r="AD68" s="412"/>
      <c r="AE68" s="149"/>
      <c r="AF68" s="412"/>
      <c r="AG68" s="412"/>
      <c r="AH68" s="412"/>
      <c r="AI68" s="412"/>
      <c r="AJ68" s="412"/>
      <c r="AK68" s="412"/>
      <c r="AL68" s="412"/>
      <c r="AM68" s="412"/>
      <c r="AN68" s="412"/>
      <c r="AO68" s="412"/>
      <c r="AP68" s="412"/>
      <c r="AQ68" s="412"/>
      <c r="AR68" s="412"/>
      <c r="AS68" s="412"/>
      <c r="AT68" s="412"/>
      <c r="AV68" s="413"/>
      <c r="AW68" s="413"/>
      <c r="AX68" s="414"/>
      <c r="AY68" s="415"/>
      <c r="AZ68" s="416"/>
    </row>
    <row r="69" spans="1:52">
      <c r="A69" s="5" t="str">
        <f t="shared" si="1"/>
        <v>Res - SF Rebates_New Construction ≥40% over IL 2015 Code</v>
      </c>
      <c r="B69" s="407">
        <v>66</v>
      </c>
      <c r="C69" s="407" t="s">
        <v>703</v>
      </c>
      <c r="D69" s="407" t="s">
        <v>378</v>
      </c>
      <c r="E69" s="408" t="s">
        <v>150</v>
      </c>
      <c r="F69" s="408">
        <v>1</v>
      </c>
      <c r="G69" s="409">
        <v>0.65</v>
      </c>
      <c r="H69" s="470">
        <v>15</v>
      </c>
      <c r="I69" s="463">
        <v>15</v>
      </c>
      <c r="J69" s="408">
        <v>1</v>
      </c>
      <c r="K69" s="408">
        <v>1</v>
      </c>
      <c r="L69" s="408">
        <v>1</v>
      </c>
      <c r="M69" s="408">
        <v>1</v>
      </c>
      <c r="N69" s="208">
        <f>0.95*840</f>
        <v>798</v>
      </c>
      <c r="O69" s="461">
        <f t="shared" si="7"/>
        <v>798</v>
      </c>
      <c r="P69" s="461">
        <f t="shared" si="7"/>
        <v>798</v>
      </c>
      <c r="Q69" s="461">
        <f t="shared" si="7"/>
        <v>798</v>
      </c>
      <c r="R69" s="411"/>
      <c r="S69" s="411" t="s">
        <v>140</v>
      </c>
      <c r="T69" s="407" t="s">
        <v>140</v>
      </c>
      <c r="U69" s="411" t="s">
        <v>140</v>
      </c>
      <c r="V69" s="412" t="s">
        <v>140</v>
      </c>
      <c r="W69" s="412"/>
      <c r="X69" s="412"/>
      <c r="Y69" s="412"/>
      <c r="Z69" s="412"/>
      <c r="AA69" s="149"/>
      <c r="AB69" s="412"/>
      <c r="AC69" s="149"/>
      <c r="AD69" s="412"/>
      <c r="AE69" s="149"/>
      <c r="AF69" s="412"/>
      <c r="AG69" s="412"/>
      <c r="AH69" s="412"/>
      <c r="AI69" s="412"/>
      <c r="AJ69" s="412"/>
      <c r="AK69" s="412"/>
      <c r="AL69" s="412"/>
      <c r="AM69" s="412"/>
      <c r="AN69" s="412"/>
      <c r="AO69" s="412"/>
      <c r="AP69" s="412"/>
      <c r="AQ69" s="412"/>
      <c r="AR69" s="412"/>
      <c r="AS69" s="412"/>
      <c r="AT69" s="412"/>
      <c r="AV69" s="413"/>
      <c r="AW69" s="413"/>
      <c r="AX69" s="414"/>
      <c r="AY69" s="415"/>
      <c r="AZ69" s="416"/>
    </row>
    <row r="70" spans="1:52">
      <c r="A70" s="5" t="str">
        <f t="shared" si="1"/>
        <v>Res - MF Standard Rebates_Boiler ≥88% AFUE, &lt;300MBh</v>
      </c>
      <c r="B70" s="407">
        <v>67</v>
      </c>
      <c r="C70" s="407" t="s">
        <v>721</v>
      </c>
      <c r="D70" s="407" t="s">
        <v>718</v>
      </c>
      <c r="E70" s="408" t="s">
        <v>240</v>
      </c>
      <c r="F70" s="408">
        <v>150</v>
      </c>
      <c r="G70" s="409">
        <v>0.76</v>
      </c>
      <c r="H70" s="470">
        <v>20</v>
      </c>
      <c r="I70" s="463">
        <v>20</v>
      </c>
      <c r="J70" s="408">
        <v>18</v>
      </c>
      <c r="K70" s="408">
        <v>18</v>
      </c>
      <c r="L70" s="408">
        <v>18</v>
      </c>
      <c r="M70" s="408">
        <v>18</v>
      </c>
      <c r="N70" s="208">
        <f>X70*Z70*((AB70-AD70)/AD70)/100000/F70</f>
        <v>1.3039024390243914</v>
      </c>
      <c r="O70" s="461">
        <f t="shared" si="7"/>
        <v>1.3039024390243914</v>
      </c>
      <c r="P70" s="461">
        <f t="shared" si="7"/>
        <v>1.3039024390243914</v>
      </c>
      <c r="Q70" s="461">
        <f t="shared" si="7"/>
        <v>1.3039024390243914</v>
      </c>
      <c r="R70" s="411"/>
      <c r="S70" s="411" t="s">
        <v>1046</v>
      </c>
      <c r="T70" s="411" t="s">
        <v>343</v>
      </c>
      <c r="U70" s="411" t="s">
        <v>342</v>
      </c>
      <c r="V70" s="158" t="s">
        <v>340</v>
      </c>
      <c r="W70" s="494" t="s">
        <v>302</v>
      </c>
      <c r="X70" s="495">
        <v>1782</v>
      </c>
      <c r="Y70" s="150" t="s">
        <v>273</v>
      </c>
      <c r="Z70" s="424">
        <v>150000</v>
      </c>
      <c r="AA70" s="150" t="s">
        <v>341</v>
      </c>
      <c r="AB70" s="423">
        <v>0.88</v>
      </c>
      <c r="AC70" s="158" t="s">
        <v>248</v>
      </c>
      <c r="AD70" s="423">
        <v>0.82</v>
      </c>
      <c r="AE70" s="158"/>
      <c r="AF70" s="158"/>
      <c r="AG70" s="158"/>
      <c r="AH70" s="158"/>
      <c r="AI70" s="158"/>
      <c r="AJ70" s="158"/>
      <c r="AK70" s="158"/>
      <c r="AL70" s="158"/>
      <c r="AM70" s="158"/>
      <c r="AN70" s="158"/>
      <c r="AO70" s="158"/>
      <c r="AP70" s="158"/>
      <c r="AQ70" s="158"/>
      <c r="AR70" s="158"/>
      <c r="AS70" s="158"/>
      <c r="AT70" s="158"/>
      <c r="AV70" s="413"/>
      <c r="AW70" s="413"/>
      <c r="AX70" s="414"/>
      <c r="AY70" s="415"/>
      <c r="AZ70" s="416"/>
    </row>
    <row r="71" spans="1:52">
      <c r="A71" s="5" t="str">
        <f t="shared" ref="A71:A134" si="8">C71&amp;"_"&amp;D71</f>
        <v>Res - MF Standard Rebates_Boiler ≥88% AFUE, ≥300MBh TE</v>
      </c>
      <c r="B71" s="407">
        <v>68</v>
      </c>
      <c r="C71" s="407" t="s">
        <v>721</v>
      </c>
      <c r="D71" s="407" t="s">
        <v>719</v>
      </c>
      <c r="E71" s="408" t="s">
        <v>240</v>
      </c>
      <c r="F71" s="408">
        <v>350</v>
      </c>
      <c r="G71" s="409">
        <v>0.76</v>
      </c>
      <c r="H71" s="470">
        <v>20</v>
      </c>
      <c r="I71" s="463">
        <v>20</v>
      </c>
      <c r="J71" s="408">
        <v>25</v>
      </c>
      <c r="K71" s="408">
        <v>25</v>
      </c>
      <c r="L71" s="408">
        <v>25</v>
      </c>
      <c r="M71" s="408">
        <v>25</v>
      </c>
      <c r="N71" s="208">
        <f>X71*Z71*((AB71-AD71)/AD71)/100000/F71</f>
        <v>1.7819999999999991</v>
      </c>
      <c r="O71" s="461">
        <f t="shared" si="7"/>
        <v>1.7819999999999991</v>
      </c>
      <c r="P71" s="461">
        <f t="shared" si="7"/>
        <v>1.7819999999999991</v>
      </c>
      <c r="Q71" s="461">
        <f t="shared" si="7"/>
        <v>1.7819999999999991</v>
      </c>
      <c r="R71" s="411"/>
      <c r="S71" s="411" t="s">
        <v>1046</v>
      </c>
      <c r="T71" s="411" t="s">
        <v>343</v>
      </c>
      <c r="U71" s="411" t="s">
        <v>342</v>
      </c>
      <c r="V71" s="158" t="s">
        <v>340</v>
      </c>
      <c r="W71" s="494" t="s">
        <v>302</v>
      </c>
      <c r="X71" s="495">
        <v>1782</v>
      </c>
      <c r="Y71" s="150" t="s">
        <v>273</v>
      </c>
      <c r="Z71" s="424">
        <v>350000</v>
      </c>
      <c r="AA71" s="150" t="s">
        <v>341</v>
      </c>
      <c r="AB71" s="423">
        <v>0.88</v>
      </c>
      <c r="AC71" s="158" t="s">
        <v>248</v>
      </c>
      <c r="AD71" s="423">
        <v>0.8</v>
      </c>
      <c r="AE71" s="158"/>
      <c r="AF71" s="158"/>
      <c r="AG71" s="158"/>
      <c r="AH71" s="158"/>
      <c r="AI71" s="158"/>
      <c r="AJ71" s="158"/>
      <c r="AK71" s="158"/>
      <c r="AL71" s="158"/>
      <c r="AM71" s="158"/>
      <c r="AN71" s="158"/>
      <c r="AO71" s="158"/>
      <c r="AP71" s="158"/>
      <c r="AQ71" s="158"/>
      <c r="AR71" s="158"/>
      <c r="AS71" s="158"/>
      <c r="AT71" s="158"/>
      <c r="AV71" s="413"/>
      <c r="AW71" s="413"/>
      <c r="AX71" s="414"/>
      <c r="AY71" s="415"/>
      <c r="AZ71" s="416"/>
    </row>
    <row r="72" spans="1:52">
      <c r="A72" s="5" t="str">
        <f t="shared" si="8"/>
        <v>Res - MF Standard Rebates_Boiler Reset Controls</v>
      </c>
      <c r="B72" s="407">
        <v>69</v>
      </c>
      <c r="C72" s="407" t="s">
        <v>721</v>
      </c>
      <c r="D72" s="407" t="s">
        <v>1065</v>
      </c>
      <c r="E72" s="408" t="s">
        <v>240</v>
      </c>
      <c r="F72" s="408">
        <v>200</v>
      </c>
      <c r="G72" s="409">
        <v>0.76</v>
      </c>
      <c r="H72" s="470">
        <v>20</v>
      </c>
      <c r="I72" s="463">
        <v>20</v>
      </c>
      <c r="J72" s="408">
        <v>11</v>
      </c>
      <c r="K72" s="408">
        <v>11</v>
      </c>
      <c r="L72" s="408">
        <v>11</v>
      </c>
      <c r="M72" s="408">
        <v>11</v>
      </c>
      <c r="N72" s="208">
        <f>X72*Z72/100</f>
        <v>1.4256</v>
      </c>
      <c r="O72" s="461">
        <f t="shared" si="7"/>
        <v>1.4256</v>
      </c>
      <c r="P72" s="461">
        <f t="shared" si="7"/>
        <v>1.4256</v>
      </c>
      <c r="Q72" s="461">
        <f t="shared" si="7"/>
        <v>1.4256</v>
      </c>
      <c r="R72" s="411"/>
      <c r="S72" s="411" t="s">
        <v>1046</v>
      </c>
      <c r="T72" s="411" t="s">
        <v>339</v>
      </c>
      <c r="U72" s="411" t="s">
        <v>338</v>
      </c>
      <c r="V72" s="158" t="s">
        <v>336</v>
      </c>
      <c r="W72" s="494" t="s">
        <v>302</v>
      </c>
      <c r="X72" s="495">
        <v>1782</v>
      </c>
      <c r="Y72" s="150" t="s">
        <v>337</v>
      </c>
      <c r="Z72" s="425">
        <v>0.08</v>
      </c>
      <c r="AA72" s="150"/>
      <c r="AB72" s="150"/>
      <c r="AC72" s="150"/>
      <c r="AD72" s="150"/>
      <c r="AE72" s="150"/>
      <c r="AF72" s="158"/>
      <c r="AG72" s="158"/>
      <c r="AH72" s="158"/>
      <c r="AI72" s="158"/>
      <c r="AJ72" s="158"/>
      <c r="AK72" s="158"/>
      <c r="AL72" s="158"/>
      <c r="AM72" s="158"/>
      <c r="AN72" s="158"/>
      <c r="AO72" s="158"/>
      <c r="AP72" s="158"/>
      <c r="AQ72" s="158"/>
      <c r="AR72" s="158"/>
      <c r="AS72" s="158"/>
      <c r="AT72" s="158"/>
      <c r="AV72" s="413"/>
      <c r="AW72" s="413"/>
      <c r="AX72" s="414"/>
      <c r="AY72" s="415"/>
      <c r="AZ72" s="416"/>
    </row>
    <row r="73" spans="1:52">
      <c r="A73" s="5" t="str">
        <f t="shared" si="8"/>
        <v>Res - MF Standard Rebates_Boiler Tune Up - Process</v>
      </c>
      <c r="B73" s="407">
        <v>70</v>
      </c>
      <c r="C73" s="407" t="s">
        <v>721</v>
      </c>
      <c r="D73" s="407" t="s">
        <v>335</v>
      </c>
      <c r="E73" s="408" t="s">
        <v>240</v>
      </c>
      <c r="F73" s="408">
        <v>200</v>
      </c>
      <c r="G73" s="409">
        <v>0.76</v>
      </c>
      <c r="H73" s="470">
        <v>3</v>
      </c>
      <c r="I73" s="463">
        <v>3</v>
      </c>
      <c r="J73" s="408">
        <v>7</v>
      </c>
      <c r="K73" s="408">
        <v>7</v>
      </c>
      <c r="L73" s="408">
        <v>7</v>
      </c>
      <c r="M73" s="408">
        <v>7</v>
      </c>
      <c r="N73" s="208">
        <f>(X73*8766*Z73)/100*(1-AB73/AD73)</f>
        <v>0.83823507428978783</v>
      </c>
      <c r="O73" s="461">
        <f t="shared" si="7"/>
        <v>0.83823507428978783</v>
      </c>
      <c r="P73" s="461">
        <f t="shared" si="7"/>
        <v>0.83823507428978783</v>
      </c>
      <c r="Q73" s="461">
        <f t="shared" si="7"/>
        <v>0.83823507428978783</v>
      </c>
      <c r="R73" s="411"/>
      <c r="S73" s="411" t="s">
        <v>1046</v>
      </c>
      <c r="T73" s="411" t="s">
        <v>334</v>
      </c>
      <c r="U73" s="411" t="s">
        <v>333</v>
      </c>
      <c r="V73" s="158" t="s">
        <v>328</v>
      </c>
      <c r="W73" s="158" t="s">
        <v>332</v>
      </c>
      <c r="X73" s="424">
        <v>1</v>
      </c>
      <c r="Y73" s="158" t="s">
        <v>331</v>
      </c>
      <c r="Z73" s="431">
        <v>0.41899999999999998</v>
      </c>
      <c r="AA73" s="150" t="s">
        <v>330</v>
      </c>
      <c r="AB73" s="432">
        <v>0.82210000000000005</v>
      </c>
      <c r="AC73" s="150" t="s">
        <v>329</v>
      </c>
      <c r="AD73" s="432">
        <v>0.84130000000000005</v>
      </c>
      <c r="AE73" s="150"/>
      <c r="AF73" s="158"/>
      <c r="AG73" s="158"/>
      <c r="AH73" s="158"/>
      <c r="AI73" s="158"/>
      <c r="AJ73" s="158"/>
      <c r="AK73" s="158"/>
      <c r="AL73" s="158"/>
      <c r="AM73" s="158"/>
      <c r="AN73" s="158"/>
      <c r="AO73" s="158"/>
      <c r="AP73" s="158"/>
      <c r="AQ73" s="158"/>
      <c r="AR73" s="158"/>
      <c r="AS73" s="158"/>
      <c r="AT73" s="158"/>
      <c r="AV73" s="413"/>
      <c r="AW73" s="413"/>
      <c r="AX73" s="414"/>
      <c r="AY73" s="415"/>
      <c r="AZ73" s="416"/>
    </row>
    <row r="74" spans="1:52">
      <c r="A74" s="5" t="str">
        <f t="shared" si="8"/>
        <v>Res - MF Standard Rebates_Boiler Tune Up - Space Heating</v>
      </c>
      <c r="B74" s="407">
        <v>71</v>
      </c>
      <c r="C74" s="407" t="s">
        <v>721</v>
      </c>
      <c r="D74" s="407" t="s">
        <v>724</v>
      </c>
      <c r="E74" s="408" t="s">
        <v>240</v>
      </c>
      <c r="F74" s="408">
        <v>200</v>
      </c>
      <c r="G74" s="409">
        <v>0.76</v>
      </c>
      <c r="H74" s="470">
        <v>3</v>
      </c>
      <c r="I74" s="463">
        <v>3</v>
      </c>
      <c r="J74" s="408">
        <v>11</v>
      </c>
      <c r="K74" s="408">
        <v>11</v>
      </c>
      <c r="L74" s="408">
        <v>11</v>
      </c>
      <c r="M74" s="408">
        <v>11</v>
      </c>
      <c r="N74" s="208">
        <f>(AD74*X74*(AB74/Z74-1))/100000</f>
        <v>0.41618294611360979</v>
      </c>
      <c r="O74" s="461">
        <f t="shared" si="7"/>
        <v>0.41618294611360979</v>
      </c>
      <c r="P74" s="461">
        <f t="shared" si="7"/>
        <v>0.41618294611360979</v>
      </c>
      <c r="Q74" s="461">
        <f t="shared" si="7"/>
        <v>0.41618294611360979</v>
      </c>
      <c r="R74" s="411"/>
      <c r="S74" s="411" t="s">
        <v>1046</v>
      </c>
      <c r="T74" s="411" t="s">
        <v>327</v>
      </c>
      <c r="U74" s="411" t="s">
        <v>326</v>
      </c>
      <c r="V74" s="158" t="s">
        <v>322</v>
      </c>
      <c r="W74" s="494" t="s">
        <v>302</v>
      </c>
      <c r="X74" s="495">
        <v>1782</v>
      </c>
      <c r="Y74" s="150" t="s">
        <v>325</v>
      </c>
      <c r="Z74" s="432">
        <v>0.82210000000000005</v>
      </c>
      <c r="AA74" s="150" t="s">
        <v>324</v>
      </c>
      <c r="AB74" s="432">
        <v>0.84130000000000005</v>
      </c>
      <c r="AC74" s="158" t="s">
        <v>323</v>
      </c>
      <c r="AD74" s="433">
        <v>1000</v>
      </c>
      <c r="AE74" s="158"/>
      <c r="AF74" s="158"/>
      <c r="AG74" s="158"/>
      <c r="AH74" s="158"/>
      <c r="AI74" s="158"/>
      <c r="AJ74" s="158"/>
      <c r="AK74" s="158"/>
      <c r="AL74" s="158"/>
      <c r="AM74" s="158"/>
      <c r="AN74" s="158"/>
      <c r="AO74" s="158"/>
      <c r="AP74" s="158"/>
      <c r="AQ74" s="158"/>
      <c r="AR74" s="158"/>
      <c r="AS74" s="158"/>
      <c r="AT74" s="158"/>
      <c r="AV74" s="413"/>
      <c r="AW74" s="413"/>
      <c r="AX74" s="414"/>
      <c r="AY74" s="415"/>
      <c r="AZ74" s="416"/>
    </row>
    <row r="75" spans="1:52">
      <c r="A75" s="5" t="str">
        <f t="shared" si="8"/>
        <v>Res - MF Standard Rebates_Condensing Unit Heater</v>
      </c>
      <c r="B75" s="407">
        <v>72</v>
      </c>
      <c r="C75" s="407" t="s">
        <v>721</v>
      </c>
      <c r="D75" s="407" t="s">
        <v>321</v>
      </c>
      <c r="E75" s="408" t="s">
        <v>240</v>
      </c>
      <c r="F75" s="408">
        <v>150</v>
      </c>
      <c r="G75" s="409">
        <v>0.76</v>
      </c>
      <c r="H75" s="470">
        <v>12</v>
      </c>
      <c r="I75" s="463">
        <v>12</v>
      </c>
      <c r="J75" s="408">
        <v>0</v>
      </c>
      <c r="K75" s="408">
        <v>0</v>
      </c>
      <c r="L75" s="408">
        <v>0</v>
      </c>
      <c r="M75" s="408">
        <v>0</v>
      </c>
      <c r="N75" s="208">
        <f>266/F75</f>
        <v>1.7733333333333334</v>
      </c>
      <c r="O75" s="461">
        <f t="shared" si="7"/>
        <v>1.7733333333333334</v>
      </c>
      <c r="P75" s="461">
        <f t="shared" si="7"/>
        <v>1.7733333333333334</v>
      </c>
      <c r="Q75" s="461">
        <f t="shared" si="7"/>
        <v>1.7733333333333334</v>
      </c>
      <c r="R75" s="411"/>
      <c r="S75" s="411" t="s">
        <v>1046</v>
      </c>
      <c r="T75" s="411" t="s">
        <v>320</v>
      </c>
      <c r="U75" s="411" t="s">
        <v>319</v>
      </c>
      <c r="V75" s="158" t="s">
        <v>318</v>
      </c>
      <c r="W75" s="158"/>
      <c r="X75" s="158"/>
      <c r="Y75" s="158"/>
      <c r="Z75" s="158"/>
      <c r="AA75" s="150"/>
      <c r="AB75" s="158"/>
      <c r="AC75" s="150"/>
      <c r="AD75" s="158"/>
      <c r="AE75" s="150"/>
      <c r="AF75" s="158"/>
      <c r="AG75" s="158"/>
      <c r="AH75" s="158"/>
      <c r="AI75" s="158"/>
      <c r="AJ75" s="158"/>
      <c r="AK75" s="158"/>
      <c r="AL75" s="158"/>
      <c r="AM75" s="158"/>
      <c r="AN75" s="158"/>
      <c r="AO75" s="158"/>
      <c r="AP75" s="158"/>
      <c r="AQ75" s="158"/>
      <c r="AR75" s="158"/>
      <c r="AS75" s="158"/>
      <c r="AT75" s="158"/>
      <c r="AV75" s="413"/>
      <c r="AW75" s="413"/>
      <c r="AX75" s="414"/>
      <c r="AY75" s="415"/>
      <c r="AZ75" s="416"/>
    </row>
    <row r="76" spans="1:52">
      <c r="A76" s="5" t="str">
        <f t="shared" si="8"/>
        <v>Res - MF Standard Rebates_Direct Fired Heaters</v>
      </c>
      <c r="B76" s="407">
        <v>73</v>
      </c>
      <c r="C76" s="407" t="s">
        <v>721</v>
      </c>
      <c r="D76" s="407" t="s">
        <v>317</v>
      </c>
      <c r="E76" s="408" t="s">
        <v>240</v>
      </c>
      <c r="F76" s="408">
        <v>150</v>
      </c>
      <c r="G76" s="409">
        <v>0.76</v>
      </c>
      <c r="H76" s="470">
        <v>20</v>
      </c>
      <c r="I76" s="463">
        <v>20</v>
      </c>
      <c r="J76" s="408">
        <v>0</v>
      </c>
      <c r="K76" s="408">
        <v>0</v>
      </c>
      <c r="L76" s="408">
        <v>0</v>
      </c>
      <c r="M76" s="408">
        <v>0</v>
      </c>
      <c r="N76" s="208">
        <f>AD76*X76*(Z76/AB76-1)/100000</f>
        <v>2.4914999999999985</v>
      </c>
      <c r="O76" s="461">
        <f t="shared" si="7"/>
        <v>2.4914999999999985</v>
      </c>
      <c r="P76" s="461">
        <f t="shared" si="7"/>
        <v>2.4914999999999985</v>
      </c>
      <c r="Q76" s="461">
        <f t="shared" si="7"/>
        <v>2.4914999999999985</v>
      </c>
      <c r="R76" s="411"/>
      <c r="S76" s="411" t="s">
        <v>140</v>
      </c>
      <c r="T76" s="407" t="s">
        <v>140</v>
      </c>
      <c r="U76" s="411" t="s">
        <v>140</v>
      </c>
      <c r="V76" s="158" t="s">
        <v>313</v>
      </c>
      <c r="W76" s="158" t="s">
        <v>273</v>
      </c>
      <c r="X76" s="158">
        <v>1000</v>
      </c>
      <c r="Y76" s="158" t="s">
        <v>316</v>
      </c>
      <c r="Z76" s="423">
        <v>0.92</v>
      </c>
      <c r="AA76" s="150" t="s">
        <v>315</v>
      </c>
      <c r="AB76" s="423">
        <v>0.8</v>
      </c>
      <c r="AC76" s="494" t="s">
        <v>302</v>
      </c>
      <c r="AD76" s="496">
        <f>(1540+1782)/2</f>
        <v>1661</v>
      </c>
      <c r="AE76" s="494" t="s">
        <v>314</v>
      </c>
      <c r="AF76" s="496">
        <v>1678</v>
      </c>
      <c r="AG76" s="158"/>
      <c r="AH76" s="158"/>
      <c r="AI76" s="158"/>
      <c r="AJ76" s="158"/>
      <c r="AK76" s="158"/>
      <c r="AL76" s="158"/>
      <c r="AM76" s="158"/>
      <c r="AN76" s="158"/>
      <c r="AO76" s="158"/>
      <c r="AP76" s="158"/>
      <c r="AQ76" s="158"/>
      <c r="AR76" s="158"/>
      <c r="AS76" s="158"/>
      <c r="AT76" s="158"/>
      <c r="AV76" s="413"/>
      <c r="AW76" s="413"/>
      <c r="AX76" s="414"/>
      <c r="AY76" s="415"/>
      <c r="AZ76" s="416"/>
    </row>
    <row r="77" spans="1:52">
      <c r="A77" s="5" t="str">
        <f t="shared" si="8"/>
        <v>Res - MF Standard Rebates_Furnace &gt;95% AFUE</v>
      </c>
      <c r="B77" s="407">
        <v>74</v>
      </c>
      <c r="C77" s="407" t="s">
        <v>721</v>
      </c>
      <c r="D77" s="407" t="s">
        <v>1063</v>
      </c>
      <c r="E77" s="408" t="s">
        <v>150</v>
      </c>
      <c r="F77" s="408">
        <v>1</v>
      </c>
      <c r="G77" s="409">
        <v>0.76</v>
      </c>
      <c r="H77" s="470">
        <v>16</v>
      </c>
      <c r="I77" s="463">
        <v>16</v>
      </c>
      <c r="J77" s="408">
        <v>11</v>
      </c>
      <c r="K77" s="408">
        <v>11</v>
      </c>
      <c r="L77" s="408">
        <v>11</v>
      </c>
      <c r="M77" s="408">
        <v>11</v>
      </c>
      <c r="N77" s="208">
        <f>X77*Z77*((AB77-AD77)/AD77)/100000</f>
        <v>253.93499999999986</v>
      </c>
      <c r="O77" s="461">
        <f t="shared" si="7"/>
        <v>253.93499999999986</v>
      </c>
      <c r="P77" s="461">
        <f t="shared" si="7"/>
        <v>253.93499999999986</v>
      </c>
      <c r="Q77" s="461">
        <f t="shared" si="7"/>
        <v>253.93499999999986</v>
      </c>
      <c r="R77" s="411"/>
      <c r="S77" s="411" t="s">
        <v>1046</v>
      </c>
      <c r="T77" s="411" t="s">
        <v>301</v>
      </c>
      <c r="U77" s="411" t="s">
        <v>300</v>
      </c>
      <c r="V77" s="158" t="s">
        <v>296</v>
      </c>
      <c r="W77" s="494" t="s">
        <v>302</v>
      </c>
      <c r="X77" s="495">
        <v>1782</v>
      </c>
      <c r="Y77" s="150" t="s">
        <v>273</v>
      </c>
      <c r="Z77" s="424">
        <v>76000</v>
      </c>
      <c r="AA77" s="158" t="s">
        <v>299</v>
      </c>
      <c r="AB77" s="434">
        <v>0.95</v>
      </c>
      <c r="AC77" s="158" t="s">
        <v>298</v>
      </c>
      <c r="AD77" s="423">
        <v>0.8</v>
      </c>
      <c r="AE77" s="158" t="s">
        <v>153</v>
      </c>
      <c r="AF77" s="158">
        <v>2899</v>
      </c>
      <c r="AG77" s="158" t="s">
        <v>297</v>
      </c>
      <c r="AH77" s="435">
        <v>0.24299999999999999</v>
      </c>
      <c r="AI77" s="158"/>
      <c r="AJ77" s="158"/>
      <c r="AK77" s="158"/>
      <c r="AL77" s="158"/>
      <c r="AM77" s="158"/>
      <c r="AN77" s="158"/>
      <c r="AO77" s="158"/>
      <c r="AP77" s="158"/>
      <c r="AQ77" s="158"/>
      <c r="AR77" s="158"/>
      <c r="AS77" s="158"/>
      <c r="AT77" s="158"/>
      <c r="AV77" s="413"/>
      <c r="AW77" s="413"/>
      <c r="AX77" s="414"/>
      <c r="AY77" s="415"/>
      <c r="AZ77" s="416"/>
    </row>
    <row r="78" spans="1:52">
      <c r="A78" s="5" t="str">
        <f t="shared" si="8"/>
        <v>Res - MF Standard Rebates_High Speed Washer</v>
      </c>
      <c r="B78" s="407">
        <v>75</v>
      </c>
      <c r="C78" s="407" t="s">
        <v>721</v>
      </c>
      <c r="D78" s="407" t="s">
        <v>706</v>
      </c>
      <c r="E78" s="408" t="s">
        <v>237</v>
      </c>
      <c r="F78" s="408">
        <v>250</v>
      </c>
      <c r="G78" s="409">
        <v>0.76</v>
      </c>
      <c r="H78" s="470">
        <v>7</v>
      </c>
      <c r="I78" s="463">
        <v>7</v>
      </c>
      <c r="J78" s="408">
        <v>11</v>
      </c>
      <c r="K78" s="408">
        <v>11</v>
      </c>
      <c r="L78" s="408">
        <v>11</v>
      </c>
      <c r="M78" s="408">
        <v>11</v>
      </c>
      <c r="N78" s="208">
        <f>X78*Z78*AB78*AD78*AF78/AH78/100000*AJ78*AL78/F78</f>
        <v>3.6756720000000001</v>
      </c>
      <c r="O78" s="461">
        <f t="shared" si="7"/>
        <v>3.6756720000000001</v>
      </c>
      <c r="P78" s="461">
        <f t="shared" si="7"/>
        <v>3.6756720000000001</v>
      </c>
      <c r="Q78" s="461">
        <f t="shared" si="7"/>
        <v>3.6756720000000001</v>
      </c>
      <c r="R78" s="411"/>
      <c r="S78" s="411" t="s">
        <v>1046</v>
      </c>
      <c r="T78" s="411" t="s">
        <v>236</v>
      </c>
      <c r="U78" s="411" t="s">
        <v>235</v>
      </c>
      <c r="V78" s="436"/>
      <c r="W78" s="158" t="s">
        <v>234</v>
      </c>
      <c r="X78" s="158">
        <v>3.4</v>
      </c>
      <c r="Y78" s="158" t="s">
        <v>233</v>
      </c>
      <c r="Z78" s="158">
        <v>360</v>
      </c>
      <c r="AA78" s="150" t="s">
        <v>232</v>
      </c>
      <c r="AB78" s="424">
        <v>250</v>
      </c>
      <c r="AC78" s="150" t="s">
        <v>231</v>
      </c>
      <c r="AD78" s="429">
        <v>0.25</v>
      </c>
      <c r="AE78" s="150" t="s">
        <v>230</v>
      </c>
      <c r="AF78" s="424">
        <v>1200</v>
      </c>
      <c r="AG78" s="423" t="s">
        <v>229</v>
      </c>
      <c r="AH78" s="423">
        <v>0.6</v>
      </c>
      <c r="AI78" s="158" t="s">
        <v>228</v>
      </c>
      <c r="AJ78" s="423">
        <v>0.91</v>
      </c>
      <c r="AK78" s="158" t="s">
        <v>227</v>
      </c>
      <c r="AL78" s="429">
        <v>0.66</v>
      </c>
      <c r="AM78" s="158"/>
      <c r="AN78" s="158"/>
      <c r="AO78" s="158"/>
      <c r="AP78" s="158"/>
      <c r="AQ78" s="158"/>
      <c r="AR78" s="158"/>
      <c r="AS78" s="158"/>
      <c r="AT78" s="158"/>
      <c r="AV78" s="413"/>
      <c r="AW78" s="413"/>
      <c r="AX78" s="414"/>
      <c r="AY78" s="415"/>
      <c r="AZ78" s="416"/>
    </row>
    <row r="79" spans="1:52">
      <c r="A79" s="5" t="str">
        <f t="shared" si="8"/>
        <v>Res - MF Standard Rebates_Infrared Heater</v>
      </c>
      <c r="B79" s="407">
        <v>76</v>
      </c>
      <c r="C79" s="407" t="s">
        <v>721</v>
      </c>
      <c r="D79" s="407" t="s">
        <v>295</v>
      </c>
      <c r="E79" s="408" t="s">
        <v>240</v>
      </c>
      <c r="F79" s="408">
        <v>150</v>
      </c>
      <c r="G79" s="409">
        <v>0.76</v>
      </c>
      <c r="H79" s="470">
        <v>12</v>
      </c>
      <c r="I79" s="463">
        <v>12</v>
      </c>
      <c r="J79" s="408">
        <v>0</v>
      </c>
      <c r="K79" s="408">
        <v>0</v>
      </c>
      <c r="L79" s="408">
        <v>0</v>
      </c>
      <c r="M79" s="408">
        <v>0</v>
      </c>
      <c r="N79" s="208">
        <f>451/F79</f>
        <v>3.0066666666666668</v>
      </c>
      <c r="O79" s="461">
        <f t="shared" si="7"/>
        <v>3.0066666666666668</v>
      </c>
      <c r="P79" s="461">
        <f t="shared" si="7"/>
        <v>3.0066666666666668</v>
      </c>
      <c r="Q79" s="461">
        <f t="shared" si="7"/>
        <v>3.0066666666666668</v>
      </c>
      <c r="R79" s="411"/>
      <c r="S79" s="411" t="s">
        <v>1046</v>
      </c>
      <c r="T79" s="411" t="s">
        <v>294</v>
      </c>
      <c r="U79" s="411" t="s">
        <v>293</v>
      </c>
      <c r="V79" s="158" t="s">
        <v>291</v>
      </c>
      <c r="W79" s="158" t="s">
        <v>292</v>
      </c>
      <c r="X79" s="437">
        <v>150</v>
      </c>
      <c r="Y79" s="158"/>
      <c r="Z79" s="158"/>
      <c r="AA79" s="150"/>
      <c r="AB79" s="158"/>
      <c r="AC79" s="150"/>
      <c r="AD79" s="158"/>
      <c r="AE79" s="150"/>
      <c r="AF79" s="158"/>
      <c r="AG79" s="158"/>
      <c r="AH79" s="158"/>
      <c r="AI79" s="158"/>
      <c r="AJ79" s="158"/>
      <c r="AK79" s="158"/>
      <c r="AL79" s="158"/>
      <c r="AM79" s="158"/>
      <c r="AN79" s="158"/>
      <c r="AO79" s="158"/>
      <c r="AP79" s="158"/>
      <c r="AQ79" s="158"/>
      <c r="AR79" s="158"/>
      <c r="AS79" s="158"/>
      <c r="AT79" s="158"/>
      <c r="AV79" s="413"/>
      <c r="AW79" s="413"/>
      <c r="AX79" s="414"/>
      <c r="AY79" s="415"/>
      <c r="AZ79" s="416"/>
    </row>
    <row r="80" spans="1:52">
      <c r="A80" s="5" t="str">
        <f t="shared" si="8"/>
        <v>Res - MF Standard Rebates_Ozone Laundry</v>
      </c>
      <c r="B80" s="407">
        <v>77</v>
      </c>
      <c r="C80" s="407" t="s">
        <v>721</v>
      </c>
      <c r="D80" s="407" t="s">
        <v>287</v>
      </c>
      <c r="E80" s="408" t="s">
        <v>237</v>
      </c>
      <c r="F80" s="408">
        <v>250</v>
      </c>
      <c r="G80" s="409">
        <v>0.76</v>
      </c>
      <c r="H80" s="470">
        <v>10</v>
      </c>
      <c r="I80" s="463">
        <v>10</v>
      </c>
      <c r="J80" s="408">
        <v>11</v>
      </c>
      <c r="K80" s="408">
        <v>11</v>
      </c>
      <c r="L80" s="408">
        <v>11</v>
      </c>
      <c r="M80" s="408">
        <v>11</v>
      </c>
      <c r="N80" s="460">
        <f xml:space="preserve"> (X80 * Z80 * AB80 * AD80 * (AF80 - AH80) * 8.33 * 1 * AJ80) / (AL80 * 100000) * (AN80 - AP80)</f>
        <v>13.190532978680915</v>
      </c>
      <c r="O80" s="461">
        <f t="shared" si="7"/>
        <v>13.190532978680915</v>
      </c>
      <c r="P80" s="461">
        <f t="shared" si="7"/>
        <v>13.190532978680915</v>
      </c>
      <c r="Q80" s="461">
        <f t="shared" si="7"/>
        <v>13.190532978680915</v>
      </c>
      <c r="R80" s="411"/>
      <c r="S80" s="411" t="s">
        <v>1046</v>
      </c>
      <c r="T80" s="421" t="s">
        <v>982</v>
      </c>
      <c r="U80" s="411" t="s">
        <v>285</v>
      </c>
      <c r="V80" s="421" t="s">
        <v>1047</v>
      </c>
      <c r="W80" s="421" t="s">
        <v>1048</v>
      </c>
      <c r="X80" s="430">
        <v>1</v>
      </c>
      <c r="Y80" s="421" t="s">
        <v>273</v>
      </c>
      <c r="Z80" s="458">
        <v>4.96</v>
      </c>
      <c r="AA80" s="391" t="s">
        <v>1049</v>
      </c>
      <c r="AB80" s="457">
        <v>8.4</v>
      </c>
      <c r="AC80" s="391" t="s">
        <v>1050</v>
      </c>
      <c r="AD80" s="456">
        <v>0.1757</v>
      </c>
      <c r="AE80" s="391" t="s">
        <v>1051</v>
      </c>
      <c r="AF80" s="421">
        <v>125</v>
      </c>
      <c r="AG80" s="421" t="s">
        <v>1052</v>
      </c>
      <c r="AH80" s="457">
        <v>54.1</v>
      </c>
      <c r="AI80" s="421" t="s">
        <v>234</v>
      </c>
      <c r="AJ80" s="421">
        <v>264</v>
      </c>
      <c r="AK80" s="421" t="s">
        <v>461</v>
      </c>
      <c r="AL80" s="430">
        <v>0.67</v>
      </c>
      <c r="AM80" s="421" t="s">
        <v>1053</v>
      </c>
      <c r="AN80" s="459">
        <v>0.77429999999999999</v>
      </c>
      <c r="AO80" s="421" t="s">
        <v>1054</v>
      </c>
      <c r="AP80" s="457">
        <v>0</v>
      </c>
      <c r="AQ80" s="158"/>
      <c r="AR80" s="158"/>
      <c r="AS80" s="158"/>
      <c r="AT80" s="158"/>
      <c r="AV80" s="413"/>
      <c r="AW80" s="413"/>
      <c r="AX80" s="414"/>
      <c r="AY80" s="415"/>
      <c r="AZ80" s="416"/>
    </row>
    <row r="81" spans="1:52">
      <c r="A81" s="5" t="str">
        <f t="shared" si="8"/>
        <v>Res - MF Standard Rebates_Pipe Insulation - Hyd. Boiler Sm &lt;=1.25"</v>
      </c>
      <c r="B81" s="407">
        <v>78</v>
      </c>
      <c r="C81" s="407" t="s">
        <v>721</v>
      </c>
      <c r="D81" s="407" t="s">
        <v>221</v>
      </c>
      <c r="E81" s="408" t="s">
        <v>210</v>
      </c>
      <c r="F81" s="408">
        <v>75</v>
      </c>
      <c r="G81" s="409">
        <v>0.76</v>
      </c>
      <c r="H81" s="470">
        <v>15</v>
      </c>
      <c r="I81" s="463">
        <v>15</v>
      </c>
      <c r="J81" s="408">
        <v>1</v>
      </c>
      <c r="K81" s="408">
        <v>1</v>
      </c>
      <c r="L81" s="408">
        <v>1</v>
      </c>
      <c r="M81" s="408">
        <v>1</v>
      </c>
      <c r="N81" s="208">
        <f>'Pipe Insulation Detail'!$C$44</f>
        <v>2.3011493874643869</v>
      </c>
      <c r="O81" s="461">
        <f t="shared" si="7"/>
        <v>2.3011493874643869</v>
      </c>
      <c r="P81" s="461">
        <f t="shared" si="7"/>
        <v>2.3011493874643869</v>
      </c>
      <c r="Q81" s="461">
        <f t="shared" si="7"/>
        <v>2.3011493874643869</v>
      </c>
      <c r="R81" s="411"/>
      <c r="S81" s="411" t="s">
        <v>1046</v>
      </c>
      <c r="T81" s="411" t="s">
        <v>201</v>
      </c>
      <c r="U81" s="411" t="s">
        <v>200</v>
      </c>
      <c r="V81" s="439" t="s">
        <v>825</v>
      </c>
      <c r="W81" s="158"/>
      <c r="X81" s="158"/>
      <c r="Y81" s="158"/>
      <c r="Z81" s="158"/>
      <c r="AA81" s="150"/>
      <c r="AB81" s="158"/>
      <c r="AC81" s="150"/>
      <c r="AD81" s="158"/>
      <c r="AE81" s="150"/>
      <c r="AF81" s="158"/>
      <c r="AG81" s="158"/>
      <c r="AH81" s="158"/>
      <c r="AI81" s="158"/>
      <c r="AJ81" s="158"/>
      <c r="AK81" s="158"/>
      <c r="AL81" s="158"/>
      <c r="AM81" s="158"/>
      <c r="AN81" s="158"/>
      <c r="AO81" s="158"/>
      <c r="AP81" s="158"/>
      <c r="AQ81" s="158"/>
      <c r="AR81" s="158"/>
      <c r="AS81" s="158"/>
      <c r="AT81" s="158"/>
      <c r="AV81" s="413"/>
      <c r="AW81" s="413"/>
      <c r="AX81" s="414"/>
      <c r="AY81" s="415"/>
      <c r="AZ81" s="416"/>
    </row>
    <row r="82" spans="1:52">
      <c r="A82" s="5" t="str">
        <f t="shared" si="8"/>
        <v>Res - MF Standard Rebates_Pipe Insulation - Hyd. Boiler Med 1.25-2"</v>
      </c>
      <c r="B82" s="407">
        <v>79</v>
      </c>
      <c r="C82" s="407" t="s">
        <v>721</v>
      </c>
      <c r="D82" s="407" t="s">
        <v>220</v>
      </c>
      <c r="E82" s="408" t="s">
        <v>210</v>
      </c>
      <c r="F82" s="408">
        <v>75</v>
      </c>
      <c r="G82" s="409">
        <v>0.76</v>
      </c>
      <c r="H82" s="470">
        <v>15</v>
      </c>
      <c r="I82" s="463">
        <v>15</v>
      </c>
      <c r="J82" s="408">
        <v>1</v>
      </c>
      <c r="K82" s="408">
        <v>1</v>
      </c>
      <c r="L82" s="408">
        <v>1</v>
      </c>
      <c r="M82" s="408">
        <v>1</v>
      </c>
      <c r="N82" s="208">
        <f>'Pipe Insulation Detail'!$C$45</f>
        <v>3.6034773504273505</v>
      </c>
      <c r="O82" s="461">
        <f t="shared" si="7"/>
        <v>3.6034773504273505</v>
      </c>
      <c r="P82" s="461">
        <f t="shared" si="7"/>
        <v>3.6034773504273505</v>
      </c>
      <c r="Q82" s="461">
        <f t="shared" si="7"/>
        <v>3.6034773504273505</v>
      </c>
      <c r="R82" s="411"/>
      <c r="S82" s="411" t="s">
        <v>1046</v>
      </c>
      <c r="T82" s="411" t="s">
        <v>201</v>
      </c>
      <c r="U82" s="411" t="s">
        <v>200</v>
      </c>
      <c r="V82" s="439" t="s">
        <v>825</v>
      </c>
      <c r="W82" s="158"/>
      <c r="X82" s="158"/>
      <c r="Y82" s="158"/>
      <c r="Z82" s="158"/>
      <c r="AA82" s="150"/>
      <c r="AB82" s="158"/>
      <c r="AC82" s="150"/>
      <c r="AD82" s="158"/>
      <c r="AE82" s="150"/>
      <c r="AF82" s="158"/>
      <c r="AG82" s="158"/>
      <c r="AH82" s="158"/>
      <c r="AI82" s="158"/>
      <c r="AJ82" s="158"/>
      <c r="AK82" s="158"/>
      <c r="AL82" s="158"/>
      <c r="AM82" s="158"/>
      <c r="AN82" s="158"/>
      <c r="AO82" s="158"/>
      <c r="AP82" s="158"/>
      <c r="AQ82" s="158"/>
      <c r="AR82" s="158"/>
      <c r="AS82" s="158"/>
      <c r="AT82" s="158"/>
      <c r="AV82" s="413"/>
      <c r="AW82" s="413"/>
      <c r="AX82" s="414"/>
      <c r="AY82" s="415"/>
      <c r="AZ82" s="416"/>
    </row>
    <row r="83" spans="1:52">
      <c r="A83" s="5" t="str">
        <f t="shared" si="8"/>
        <v>Res - MF Standard Rebates_Pipe Insulation - Hyd. Boiler Large ≥2"</v>
      </c>
      <c r="B83" s="407">
        <v>80</v>
      </c>
      <c r="C83" s="407" t="s">
        <v>721</v>
      </c>
      <c r="D83" s="407" t="s">
        <v>720</v>
      </c>
      <c r="E83" s="408" t="s">
        <v>210</v>
      </c>
      <c r="F83" s="408">
        <v>75</v>
      </c>
      <c r="G83" s="409">
        <v>0.76</v>
      </c>
      <c r="H83" s="470">
        <v>15</v>
      </c>
      <c r="I83" s="463">
        <v>15</v>
      </c>
      <c r="J83" s="408">
        <v>1</v>
      </c>
      <c r="K83" s="408">
        <v>1</v>
      </c>
      <c r="L83" s="408">
        <v>1</v>
      </c>
      <c r="M83" s="408">
        <v>1</v>
      </c>
      <c r="N83" s="208">
        <f>'Pipe Insulation Detail'!$C$46</f>
        <v>6.1867824786324785</v>
      </c>
      <c r="O83" s="461">
        <f t="shared" si="7"/>
        <v>6.1867824786324785</v>
      </c>
      <c r="P83" s="461">
        <f t="shared" si="7"/>
        <v>6.1867824786324785</v>
      </c>
      <c r="Q83" s="461">
        <f t="shared" si="7"/>
        <v>6.1867824786324785</v>
      </c>
      <c r="R83" s="411"/>
      <c r="S83" s="411" t="s">
        <v>1046</v>
      </c>
      <c r="T83" s="411" t="s">
        <v>201</v>
      </c>
      <c r="U83" s="411" t="s">
        <v>200</v>
      </c>
      <c r="V83" s="439" t="s">
        <v>825</v>
      </c>
      <c r="W83" s="158"/>
      <c r="X83" s="158"/>
      <c r="Y83" s="158"/>
      <c r="Z83" s="158"/>
      <c r="AA83" s="150"/>
      <c r="AB83" s="158"/>
      <c r="AC83" s="150"/>
      <c r="AD83" s="158"/>
      <c r="AE83" s="150"/>
      <c r="AF83" s="158"/>
      <c r="AG83" s="158"/>
      <c r="AH83" s="158"/>
      <c r="AI83" s="158"/>
      <c r="AJ83" s="158"/>
      <c r="AK83" s="158"/>
      <c r="AL83" s="158"/>
      <c r="AM83" s="158"/>
      <c r="AN83" s="158"/>
      <c r="AO83" s="158"/>
      <c r="AP83" s="158"/>
      <c r="AQ83" s="158"/>
      <c r="AR83" s="158"/>
      <c r="AS83" s="158"/>
      <c r="AT83" s="158"/>
      <c r="AV83" s="413"/>
      <c r="AW83" s="413"/>
      <c r="AX83" s="414"/>
      <c r="AY83" s="415"/>
      <c r="AZ83" s="416"/>
    </row>
    <row r="84" spans="1:52">
      <c r="A84" s="5" t="str">
        <f t="shared" si="8"/>
        <v>Res - MF Standard Rebates_Pipe Insulation - HW Small 1" to 2"</v>
      </c>
      <c r="B84" s="407">
        <v>81</v>
      </c>
      <c r="C84" s="407" t="s">
        <v>721</v>
      </c>
      <c r="D84" s="407" t="s">
        <v>217</v>
      </c>
      <c r="E84" s="408" t="s">
        <v>210</v>
      </c>
      <c r="F84" s="408">
        <v>75</v>
      </c>
      <c r="G84" s="409">
        <v>0.76</v>
      </c>
      <c r="H84" s="470">
        <v>15</v>
      </c>
      <c r="I84" s="463">
        <v>15</v>
      </c>
      <c r="J84" s="408">
        <v>4</v>
      </c>
      <c r="K84" s="408">
        <v>4</v>
      </c>
      <c r="L84" s="408">
        <v>4</v>
      </c>
      <c r="M84" s="408">
        <v>4</v>
      </c>
      <c r="N84" s="208">
        <f>'Pipe Insulation Detail'!$C$47</f>
        <v>3.1358228800964363</v>
      </c>
      <c r="O84" s="461">
        <f t="shared" ref="O84:Q103" si="9">N84</f>
        <v>3.1358228800964363</v>
      </c>
      <c r="P84" s="461">
        <f t="shared" si="9"/>
        <v>3.1358228800964363</v>
      </c>
      <c r="Q84" s="461">
        <f t="shared" si="9"/>
        <v>3.1358228800964363</v>
      </c>
      <c r="R84" s="411"/>
      <c r="S84" s="411" t="s">
        <v>1046</v>
      </c>
      <c r="T84" s="411" t="s">
        <v>201</v>
      </c>
      <c r="U84" s="411" t="s">
        <v>200</v>
      </c>
      <c r="V84" s="439" t="s">
        <v>825</v>
      </c>
      <c r="W84" s="158"/>
      <c r="X84" s="158"/>
      <c r="Y84" s="158"/>
      <c r="Z84" s="158"/>
      <c r="AA84" s="150"/>
      <c r="AB84" s="158"/>
      <c r="AC84" s="150"/>
      <c r="AD84" s="158"/>
      <c r="AE84" s="150"/>
      <c r="AF84" s="158"/>
      <c r="AG84" s="158"/>
      <c r="AH84" s="158"/>
      <c r="AI84" s="158"/>
      <c r="AJ84" s="158"/>
      <c r="AK84" s="158"/>
      <c r="AL84" s="158"/>
      <c r="AM84" s="158"/>
      <c r="AN84" s="158"/>
      <c r="AO84" s="158"/>
      <c r="AP84" s="158"/>
      <c r="AQ84" s="158"/>
      <c r="AR84" s="158"/>
      <c r="AS84" s="158"/>
      <c r="AT84" s="158"/>
      <c r="AV84" s="413"/>
      <c r="AW84" s="413"/>
      <c r="AX84" s="414"/>
      <c r="AY84" s="415"/>
      <c r="AZ84" s="416"/>
    </row>
    <row r="85" spans="1:52">
      <c r="A85" s="5" t="str">
        <f t="shared" si="8"/>
        <v>Res - MF Standard Rebates_Pipe Insulation - HW Medium 2.1" to 4"</v>
      </c>
      <c r="B85" s="407">
        <v>82</v>
      </c>
      <c r="C85" s="407" t="s">
        <v>721</v>
      </c>
      <c r="D85" s="407" t="s">
        <v>216</v>
      </c>
      <c r="E85" s="408" t="s">
        <v>210</v>
      </c>
      <c r="F85" s="408">
        <v>75</v>
      </c>
      <c r="G85" s="409">
        <v>0.76</v>
      </c>
      <c r="H85" s="470">
        <v>15</v>
      </c>
      <c r="I85" s="463">
        <v>15</v>
      </c>
      <c r="J85" s="408">
        <v>1</v>
      </c>
      <c r="K85" s="408">
        <v>1</v>
      </c>
      <c r="L85" s="408">
        <v>1</v>
      </c>
      <c r="M85" s="408">
        <v>1</v>
      </c>
      <c r="N85" s="208">
        <f>'Pipe Insulation Detail'!$C$48</f>
        <v>6.1942373572810965</v>
      </c>
      <c r="O85" s="461">
        <f t="shared" si="9"/>
        <v>6.1942373572810965</v>
      </c>
      <c r="P85" s="461">
        <f t="shared" si="9"/>
        <v>6.1942373572810965</v>
      </c>
      <c r="Q85" s="461">
        <f t="shared" si="9"/>
        <v>6.1942373572810965</v>
      </c>
      <c r="R85" s="411"/>
      <c r="S85" s="411" t="s">
        <v>1046</v>
      </c>
      <c r="T85" s="411" t="s">
        <v>201</v>
      </c>
      <c r="U85" s="411" t="s">
        <v>200</v>
      </c>
      <c r="V85" s="439" t="s">
        <v>825</v>
      </c>
      <c r="W85" s="158"/>
      <c r="X85" s="158"/>
      <c r="Y85" s="158"/>
      <c r="Z85" s="158"/>
      <c r="AA85" s="150"/>
      <c r="AB85" s="158"/>
      <c r="AC85" s="150"/>
      <c r="AD85" s="158"/>
      <c r="AE85" s="150"/>
      <c r="AF85" s="158"/>
      <c r="AG85" s="158"/>
      <c r="AH85" s="158"/>
      <c r="AI85" s="158"/>
      <c r="AJ85" s="158"/>
      <c r="AK85" s="158"/>
      <c r="AL85" s="158"/>
      <c r="AM85" s="158"/>
      <c r="AN85" s="158"/>
      <c r="AO85" s="158"/>
      <c r="AP85" s="158"/>
      <c r="AQ85" s="158"/>
      <c r="AR85" s="158"/>
      <c r="AS85" s="158"/>
      <c r="AT85" s="158"/>
      <c r="AV85" s="413"/>
      <c r="AW85" s="413"/>
      <c r="AX85" s="414"/>
      <c r="AY85" s="415"/>
      <c r="AZ85" s="416"/>
    </row>
    <row r="86" spans="1:52">
      <c r="A86" s="5" t="str">
        <f t="shared" si="8"/>
        <v>Res - MF Standard Rebates_Pipe Insulation - HW Large &gt;4"</v>
      </c>
      <c r="B86" s="407">
        <v>83</v>
      </c>
      <c r="C86" s="407" t="s">
        <v>721</v>
      </c>
      <c r="D86" s="407" t="s">
        <v>215</v>
      </c>
      <c r="E86" s="408" t="s">
        <v>210</v>
      </c>
      <c r="F86" s="408">
        <v>75</v>
      </c>
      <c r="G86" s="409">
        <v>0.76</v>
      </c>
      <c r="H86" s="470">
        <v>15</v>
      </c>
      <c r="I86" s="463">
        <v>15</v>
      </c>
      <c r="J86" s="408">
        <v>0</v>
      </c>
      <c r="K86" s="408">
        <v>0</v>
      </c>
      <c r="L86" s="408">
        <v>0</v>
      </c>
      <c r="M86" s="408">
        <v>0</v>
      </c>
      <c r="N86" s="208">
        <f>'Pipe Insulation Detail'!$C$49</f>
        <v>10.672873287490331</v>
      </c>
      <c r="O86" s="461">
        <f t="shared" si="9"/>
        <v>10.672873287490331</v>
      </c>
      <c r="P86" s="461">
        <f t="shared" si="9"/>
        <v>10.672873287490331</v>
      </c>
      <c r="Q86" s="461">
        <f t="shared" si="9"/>
        <v>10.672873287490331</v>
      </c>
      <c r="R86" s="411"/>
      <c r="S86" s="411" t="s">
        <v>1046</v>
      </c>
      <c r="T86" s="411" t="s">
        <v>201</v>
      </c>
      <c r="U86" s="411" t="s">
        <v>200</v>
      </c>
      <c r="V86" s="439" t="s">
        <v>825</v>
      </c>
      <c r="W86" s="158"/>
      <c r="X86" s="158"/>
      <c r="Y86" s="158"/>
      <c r="Z86" s="158"/>
      <c r="AA86" s="150"/>
      <c r="AB86" s="158"/>
      <c r="AC86" s="150"/>
      <c r="AD86" s="158"/>
      <c r="AE86" s="150"/>
      <c r="AF86" s="158"/>
      <c r="AG86" s="158"/>
      <c r="AH86" s="158"/>
      <c r="AI86" s="158"/>
      <c r="AJ86" s="158"/>
      <c r="AK86" s="158"/>
      <c r="AL86" s="158"/>
      <c r="AM86" s="158"/>
      <c r="AN86" s="158"/>
      <c r="AO86" s="158"/>
      <c r="AP86" s="158"/>
      <c r="AQ86" s="158"/>
      <c r="AR86" s="158"/>
      <c r="AS86" s="158"/>
      <c r="AT86" s="158"/>
      <c r="AV86" s="413"/>
      <c r="AW86" s="413"/>
      <c r="AX86" s="414"/>
      <c r="AY86" s="415"/>
      <c r="AZ86" s="416"/>
    </row>
    <row r="87" spans="1:52">
      <c r="A87" s="5" t="str">
        <f t="shared" si="8"/>
        <v>Res - MF Standard Rebates_Pipe Insulation - Steam - Small 1" to 2"</v>
      </c>
      <c r="B87" s="407">
        <v>84</v>
      </c>
      <c r="C87" s="407" t="s">
        <v>721</v>
      </c>
      <c r="D87" s="407" t="s">
        <v>214</v>
      </c>
      <c r="E87" s="408" t="s">
        <v>210</v>
      </c>
      <c r="F87" s="408">
        <v>75</v>
      </c>
      <c r="G87" s="409">
        <v>0.76</v>
      </c>
      <c r="H87" s="470">
        <v>15</v>
      </c>
      <c r="I87" s="463">
        <v>15</v>
      </c>
      <c r="J87" s="408">
        <v>7</v>
      </c>
      <c r="K87" s="408">
        <v>7</v>
      </c>
      <c r="L87" s="408">
        <v>7</v>
      </c>
      <c r="M87" s="408">
        <v>7</v>
      </c>
      <c r="N87" s="208">
        <f>'Pipe Insulation Detail'!$C$50</f>
        <v>3.967097058288509</v>
      </c>
      <c r="O87" s="461">
        <f t="shared" si="9"/>
        <v>3.967097058288509</v>
      </c>
      <c r="P87" s="461">
        <f t="shared" si="9"/>
        <v>3.967097058288509</v>
      </c>
      <c r="Q87" s="461">
        <f t="shared" si="9"/>
        <v>3.967097058288509</v>
      </c>
      <c r="R87" s="411"/>
      <c r="S87" s="411" t="s">
        <v>1046</v>
      </c>
      <c r="T87" s="411" t="s">
        <v>201</v>
      </c>
      <c r="U87" s="411" t="s">
        <v>200</v>
      </c>
      <c r="V87" s="439" t="s">
        <v>825</v>
      </c>
      <c r="W87" s="158"/>
      <c r="X87" s="158"/>
      <c r="Y87" s="158"/>
      <c r="Z87" s="158"/>
      <c r="AA87" s="150"/>
      <c r="AB87" s="158"/>
      <c r="AC87" s="150"/>
      <c r="AD87" s="158"/>
      <c r="AE87" s="150"/>
      <c r="AF87" s="158"/>
      <c r="AG87" s="158"/>
      <c r="AH87" s="158"/>
      <c r="AI87" s="158"/>
      <c r="AJ87" s="158"/>
      <c r="AK87" s="158"/>
      <c r="AL87" s="158"/>
      <c r="AM87" s="158"/>
      <c r="AN87" s="158"/>
      <c r="AO87" s="158"/>
      <c r="AP87" s="158"/>
      <c r="AQ87" s="158"/>
      <c r="AR87" s="158"/>
      <c r="AS87" s="158"/>
      <c r="AT87" s="158"/>
      <c r="AV87" s="413"/>
      <c r="AW87" s="413"/>
      <c r="AX87" s="414"/>
      <c r="AY87" s="415"/>
      <c r="AZ87" s="416"/>
    </row>
    <row r="88" spans="1:52">
      <c r="A88" s="5" t="str">
        <f t="shared" si="8"/>
        <v>Res - MF Standard Rebates_Pipe Insulation - Steam - Med 2.1" to 5"</v>
      </c>
      <c r="B88" s="407">
        <v>85</v>
      </c>
      <c r="C88" s="407" t="s">
        <v>721</v>
      </c>
      <c r="D88" s="407" t="s">
        <v>213</v>
      </c>
      <c r="E88" s="408" t="s">
        <v>210</v>
      </c>
      <c r="F88" s="408">
        <v>75</v>
      </c>
      <c r="G88" s="409">
        <v>0.76</v>
      </c>
      <c r="H88" s="470">
        <v>15</v>
      </c>
      <c r="I88" s="463">
        <v>15</v>
      </c>
      <c r="J88" s="408">
        <v>7</v>
      </c>
      <c r="K88" s="408">
        <v>7</v>
      </c>
      <c r="L88" s="408">
        <v>7</v>
      </c>
      <c r="M88" s="408">
        <v>7</v>
      </c>
      <c r="N88" s="208">
        <f>'Pipe Insulation Detail'!$C$51</f>
        <v>13.577404706790121</v>
      </c>
      <c r="O88" s="461">
        <f t="shared" si="9"/>
        <v>13.577404706790121</v>
      </c>
      <c r="P88" s="461">
        <f t="shared" si="9"/>
        <v>13.577404706790121</v>
      </c>
      <c r="Q88" s="461">
        <f t="shared" si="9"/>
        <v>13.577404706790121</v>
      </c>
      <c r="R88" s="411"/>
      <c r="S88" s="411" t="s">
        <v>1046</v>
      </c>
      <c r="T88" s="411" t="s">
        <v>201</v>
      </c>
      <c r="U88" s="411" t="s">
        <v>200</v>
      </c>
      <c r="V88" s="439" t="s">
        <v>825</v>
      </c>
      <c r="W88" s="158"/>
      <c r="X88" s="158"/>
      <c r="Y88" s="158"/>
      <c r="Z88" s="158"/>
      <c r="AA88" s="150"/>
      <c r="AB88" s="158"/>
      <c r="AC88" s="150"/>
      <c r="AD88" s="158"/>
      <c r="AE88" s="150"/>
      <c r="AF88" s="158"/>
      <c r="AG88" s="158"/>
      <c r="AH88" s="158"/>
      <c r="AI88" s="158"/>
      <c r="AJ88" s="158"/>
      <c r="AK88" s="158"/>
      <c r="AL88" s="158"/>
      <c r="AM88" s="158"/>
      <c r="AN88" s="158"/>
      <c r="AO88" s="158"/>
      <c r="AP88" s="158"/>
      <c r="AQ88" s="158"/>
      <c r="AR88" s="158"/>
      <c r="AS88" s="158"/>
      <c r="AT88" s="158"/>
      <c r="AV88" s="413"/>
      <c r="AW88" s="413"/>
      <c r="AX88" s="414"/>
      <c r="AY88" s="415"/>
      <c r="AZ88" s="416"/>
    </row>
    <row r="89" spans="1:52">
      <c r="A89" s="5" t="str">
        <f t="shared" si="8"/>
        <v>Res - MF Standard Rebates_Pipe Insulation - Steam - Large 5.1" to 8"</v>
      </c>
      <c r="B89" s="407">
        <v>86</v>
      </c>
      <c r="C89" s="407" t="s">
        <v>721</v>
      </c>
      <c r="D89" s="407" t="s">
        <v>212</v>
      </c>
      <c r="E89" s="408" t="s">
        <v>210</v>
      </c>
      <c r="F89" s="408">
        <v>75</v>
      </c>
      <c r="G89" s="409">
        <v>0.76</v>
      </c>
      <c r="H89" s="470">
        <v>15</v>
      </c>
      <c r="I89" s="463">
        <v>15</v>
      </c>
      <c r="J89" s="408">
        <v>4</v>
      </c>
      <c r="K89" s="408">
        <v>4</v>
      </c>
      <c r="L89" s="408">
        <v>4</v>
      </c>
      <c r="M89" s="408">
        <v>4</v>
      </c>
      <c r="N89" s="208">
        <f>'Pipe Insulation Detail'!$C$52</f>
        <v>30.207245887345675</v>
      </c>
      <c r="O89" s="461">
        <f t="shared" si="9"/>
        <v>30.207245887345675</v>
      </c>
      <c r="P89" s="461">
        <f t="shared" si="9"/>
        <v>30.207245887345675</v>
      </c>
      <c r="Q89" s="461">
        <f t="shared" si="9"/>
        <v>30.207245887345675</v>
      </c>
      <c r="R89" s="411"/>
      <c r="S89" s="411" t="s">
        <v>1046</v>
      </c>
      <c r="T89" s="411" t="s">
        <v>201</v>
      </c>
      <c r="U89" s="411" t="s">
        <v>200</v>
      </c>
      <c r="V89" s="439" t="s">
        <v>825</v>
      </c>
      <c r="W89" s="158"/>
      <c r="X89" s="158"/>
      <c r="Y89" s="158"/>
      <c r="Z89" s="158"/>
      <c r="AA89" s="150"/>
      <c r="AB89" s="158"/>
      <c r="AC89" s="150"/>
      <c r="AD89" s="158"/>
      <c r="AE89" s="150"/>
      <c r="AF89" s="158"/>
      <c r="AG89" s="158"/>
      <c r="AH89" s="158"/>
      <c r="AI89" s="158"/>
      <c r="AJ89" s="158"/>
      <c r="AK89" s="158"/>
      <c r="AL89" s="158"/>
      <c r="AM89" s="158"/>
      <c r="AN89" s="158"/>
      <c r="AO89" s="158"/>
      <c r="AP89" s="158"/>
      <c r="AQ89" s="158"/>
      <c r="AR89" s="158"/>
      <c r="AS89" s="158"/>
      <c r="AT89" s="158"/>
      <c r="AV89" s="413"/>
      <c r="AW89" s="413"/>
      <c r="AX89" s="414"/>
      <c r="AY89" s="415"/>
      <c r="AZ89" s="416"/>
    </row>
    <row r="90" spans="1:52">
      <c r="A90" s="5" t="str">
        <f t="shared" si="8"/>
        <v>Res - MF Standard Rebates_Pipe Insulation - Steam - X-Large &gt;8"</v>
      </c>
      <c r="B90" s="407">
        <v>87</v>
      </c>
      <c r="C90" s="407" t="s">
        <v>721</v>
      </c>
      <c r="D90" s="407" t="s">
        <v>211</v>
      </c>
      <c r="E90" s="408" t="s">
        <v>210</v>
      </c>
      <c r="F90" s="408">
        <v>75</v>
      </c>
      <c r="G90" s="409">
        <v>0.76</v>
      </c>
      <c r="H90" s="470">
        <v>15</v>
      </c>
      <c r="I90" s="463">
        <v>15</v>
      </c>
      <c r="J90" s="408">
        <v>1</v>
      </c>
      <c r="K90" s="408">
        <v>1</v>
      </c>
      <c r="L90" s="408">
        <v>1</v>
      </c>
      <c r="M90" s="408">
        <v>1</v>
      </c>
      <c r="N90" s="208">
        <f>'Pipe Insulation Detail'!$C$53</f>
        <v>44.814401171573145</v>
      </c>
      <c r="O90" s="461">
        <f t="shared" si="9"/>
        <v>44.814401171573145</v>
      </c>
      <c r="P90" s="461">
        <f t="shared" si="9"/>
        <v>44.814401171573145</v>
      </c>
      <c r="Q90" s="461">
        <f t="shared" si="9"/>
        <v>44.814401171573145</v>
      </c>
      <c r="R90" s="411"/>
      <c r="S90" s="411" t="s">
        <v>1046</v>
      </c>
      <c r="T90" s="411" t="s">
        <v>201</v>
      </c>
      <c r="U90" s="411" t="s">
        <v>200</v>
      </c>
      <c r="V90" s="439" t="s">
        <v>825</v>
      </c>
      <c r="W90" s="158"/>
      <c r="X90" s="158"/>
      <c r="Y90" s="158"/>
      <c r="Z90" s="158"/>
      <c r="AA90" s="150"/>
      <c r="AB90" s="158"/>
      <c r="AC90" s="150"/>
      <c r="AD90" s="158"/>
      <c r="AE90" s="150"/>
      <c r="AF90" s="158"/>
      <c r="AG90" s="158"/>
      <c r="AH90" s="158"/>
      <c r="AI90" s="158"/>
      <c r="AJ90" s="158"/>
      <c r="AK90" s="158"/>
      <c r="AL90" s="158"/>
      <c r="AM90" s="158"/>
      <c r="AN90" s="158"/>
      <c r="AO90" s="158"/>
      <c r="AP90" s="158"/>
      <c r="AQ90" s="158"/>
      <c r="AR90" s="158"/>
      <c r="AS90" s="158"/>
      <c r="AT90" s="158"/>
      <c r="AV90" s="413"/>
      <c r="AW90" s="413"/>
      <c r="AX90" s="414"/>
      <c r="AY90" s="415"/>
      <c r="AZ90" s="416"/>
    </row>
    <row r="91" spans="1:52">
      <c r="A91" s="5" t="str">
        <f t="shared" si="8"/>
        <v>Res - MF Standard Rebates_Pipe Insulation - Steam Med Fitting</v>
      </c>
      <c r="B91" s="407">
        <v>88</v>
      </c>
      <c r="C91" s="407" t="s">
        <v>721</v>
      </c>
      <c r="D91" s="407" t="s">
        <v>208</v>
      </c>
      <c r="E91" s="408" t="s">
        <v>150</v>
      </c>
      <c r="F91" s="408">
        <v>1</v>
      </c>
      <c r="G91" s="409">
        <v>0.76</v>
      </c>
      <c r="H91" s="470">
        <v>15</v>
      </c>
      <c r="I91" s="463">
        <v>15</v>
      </c>
      <c r="J91" s="408">
        <v>6</v>
      </c>
      <c r="K91" s="408">
        <v>6</v>
      </c>
      <c r="L91" s="408">
        <v>6</v>
      </c>
      <c r="M91" s="408">
        <v>6</v>
      </c>
      <c r="N91" s="208">
        <f>'Pipe Insulation Detail'!$C$55</f>
        <v>15.586033402860688</v>
      </c>
      <c r="O91" s="461">
        <f t="shared" si="9"/>
        <v>15.586033402860688</v>
      </c>
      <c r="P91" s="461">
        <f t="shared" si="9"/>
        <v>15.586033402860688</v>
      </c>
      <c r="Q91" s="461">
        <f t="shared" si="9"/>
        <v>15.586033402860688</v>
      </c>
      <c r="R91" s="411"/>
      <c r="S91" s="411" t="s">
        <v>1046</v>
      </c>
      <c r="T91" s="411" t="s">
        <v>201</v>
      </c>
      <c r="U91" s="411" t="s">
        <v>200</v>
      </c>
      <c r="V91" s="439" t="s">
        <v>825</v>
      </c>
      <c r="W91" s="158"/>
      <c r="X91" s="158"/>
      <c r="Y91" s="158"/>
      <c r="Z91" s="158"/>
      <c r="AA91" s="150"/>
      <c r="AB91" s="158"/>
      <c r="AC91" s="150"/>
      <c r="AD91" s="158"/>
      <c r="AE91" s="150"/>
      <c r="AF91" s="158"/>
      <c r="AG91" s="158"/>
      <c r="AH91" s="158"/>
      <c r="AI91" s="158"/>
      <c r="AJ91" s="158"/>
      <c r="AK91" s="158"/>
      <c r="AL91" s="158"/>
      <c r="AM91" s="158"/>
      <c r="AN91" s="158"/>
      <c r="AO91" s="158"/>
      <c r="AP91" s="158"/>
      <c r="AQ91" s="158"/>
      <c r="AR91" s="158"/>
      <c r="AS91" s="158"/>
      <c r="AT91" s="158"/>
      <c r="AV91" s="413"/>
      <c r="AW91" s="413"/>
      <c r="AX91" s="414"/>
      <c r="AY91" s="415"/>
      <c r="AZ91" s="416"/>
    </row>
    <row r="92" spans="1:52">
      <c r="A92" s="5" t="str">
        <f t="shared" si="8"/>
        <v>Res - MF Standard Rebates_Pipe Insulation - Steam Large Fitting</v>
      </c>
      <c r="B92" s="407">
        <v>89</v>
      </c>
      <c r="C92" s="407" t="s">
        <v>721</v>
      </c>
      <c r="D92" s="407" t="s">
        <v>207</v>
      </c>
      <c r="E92" s="408" t="s">
        <v>150</v>
      </c>
      <c r="F92" s="408">
        <v>1</v>
      </c>
      <c r="G92" s="409">
        <v>0.76</v>
      </c>
      <c r="H92" s="470">
        <v>15</v>
      </c>
      <c r="I92" s="463">
        <v>15</v>
      </c>
      <c r="J92" s="408">
        <v>4</v>
      </c>
      <c r="K92" s="408">
        <v>4</v>
      </c>
      <c r="L92" s="408">
        <v>4</v>
      </c>
      <c r="M92" s="408">
        <v>4</v>
      </c>
      <c r="N92" s="208">
        <f>'Pipe Insulation Detail'!$C$56</f>
        <v>63.824627950912159</v>
      </c>
      <c r="O92" s="461">
        <f t="shared" si="9"/>
        <v>63.824627950912159</v>
      </c>
      <c r="P92" s="461">
        <f t="shared" si="9"/>
        <v>63.824627950912159</v>
      </c>
      <c r="Q92" s="461">
        <f t="shared" si="9"/>
        <v>63.824627950912159</v>
      </c>
      <c r="R92" s="411"/>
      <c r="S92" s="411" t="s">
        <v>1046</v>
      </c>
      <c r="T92" s="411" t="s">
        <v>201</v>
      </c>
      <c r="U92" s="411" t="s">
        <v>200</v>
      </c>
      <c r="V92" s="439" t="s">
        <v>825</v>
      </c>
      <c r="W92" s="158"/>
      <c r="X92" s="158"/>
      <c r="Y92" s="158"/>
      <c r="Z92" s="158"/>
      <c r="AA92" s="150"/>
      <c r="AB92" s="158"/>
      <c r="AC92" s="150"/>
      <c r="AD92" s="158"/>
      <c r="AE92" s="150"/>
      <c r="AF92" s="158"/>
      <c r="AG92" s="158"/>
      <c r="AH92" s="158"/>
      <c r="AI92" s="158"/>
      <c r="AJ92" s="158"/>
      <c r="AK92" s="158"/>
      <c r="AL92" s="158"/>
      <c r="AM92" s="158"/>
      <c r="AN92" s="158"/>
      <c r="AO92" s="158"/>
      <c r="AP92" s="158"/>
      <c r="AQ92" s="158"/>
      <c r="AR92" s="158"/>
      <c r="AS92" s="158"/>
      <c r="AT92" s="158"/>
      <c r="AV92" s="413"/>
      <c r="AW92" s="413"/>
      <c r="AX92" s="414"/>
      <c r="AY92" s="415"/>
      <c r="AZ92" s="416"/>
    </row>
    <row r="93" spans="1:52">
      <c r="A93" s="5" t="str">
        <f t="shared" si="8"/>
        <v>Res - MF Standard Rebates_Pipe Insulation - Steam X-Large Fitting</v>
      </c>
      <c r="B93" s="407">
        <v>90</v>
      </c>
      <c r="C93" s="407" t="s">
        <v>721</v>
      </c>
      <c r="D93" s="407" t="s">
        <v>206</v>
      </c>
      <c r="E93" s="408" t="s">
        <v>150</v>
      </c>
      <c r="F93" s="408">
        <v>1</v>
      </c>
      <c r="G93" s="409">
        <v>0.76</v>
      </c>
      <c r="H93" s="470">
        <v>15</v>
      </c>
      <c r="I93" s="463">
        <v>15</v>
      </c>
      <c r="J93" s="408">
        <v>1</v>
      </c>
      <c r="K93" s="408">
        <v>1</v>
      </c>
      <c r="L93" s="408">
        <v>1</v>
      </c>
      <c r="M93" s="408">
        <v>1</v>
      </c>
      <c r="N93" s="208">
        <f>'Pipe Insulation Detail'!$C$57</f>
        <v>123.46367522768401</v>
      </c>
      <c r="O93" s="461">
        <f t="shared" si="9"/>
        <v>123.46367522768401</v>
      </c>
      <c r="P93" s="461">
        <f t="shared" si="9"/>
        <v>123.46367522768401</v>
      </c>
      <c r="Q93" s="461">
        <f t="shared" si="9"/>
        <v>123.46367522768401</v>
      </c>
      <c r="R93" s="411"/>
      <c r="S93" s="411" t="s">
        <v>1046</v>
      </c>
      <c r="T93" s="411" t="s">
        <v>201</v>
      </c>
      <c r="U93" s="411" t="s">
        <v>200</v>
      </c>
      <c r="V93" s="439" t="s">
        <v>825</v>
      </c>
      <c r="W93" s="158"/>
      <c r="X93" s="158"/>
      <c r="Y93" s="158"/>
      <c r="Z93" s="158"/>
      <c r="AA93" s="150"/>
      <c r="AB93" s="158"/>
      <c r="AC93" s="150"/>
      <c r="AD93" s="158"/>
      <c r="AE93" s="150"/>
      <c r="AF93" s="158"/>
      <c r="AG93" s="158"/>
      <c r="AH93" s="158"/>
      <c r="AI93" s="158"/>
      <c r="AJ93" s="158"/>
      <c r="AK93" s="158"/>
      <c r="AL93" s="158"/>
      <c r="AM93" s="158"/>
      <c r="AN93" s="158"/>
      <c r="AO93" s="158"/>
      <c r="AP93" s="158"/>
      <c r="AQ93" s="158"/>
      <c r="AR93" s="158"/>
      <c r="AS93" s="158"/>
      <c r="AT93" s="158"/>
      <c r="AV93" s="413"/>
      <c r="AW93" s="413"/>
      <c r="AX93" s="414"/>
      <c r="AY93" s="415"/>
      <c r="AZ93" s="416"/>
    </row>
    <row r="94" spans="1:52">
      <c r="A94" s="5" t="str">
        <f t="shared" si="8"/>
        <v>Res - MF Standard Rebates_Pipe Insulation - Steam Med Valve</v>
      </c>
      <c r="B94" s="407">
        <v>91</v>
      </c>
      <c r="C94" s="407" t="s">
        <v>721</v>
      </c>
      <c r="D94" s="407" t="s">
        <v>204</v>
      </c>
      <c r="E94" s="408" t="s">
        <v>150</v>
      </c>
      <c r="F94" s="408">
        <v>1</v>
      </c>
      <c r="G94" s="409">
        <v>0.76</v>
      </c>
      <c r="H94" s="470">
        <v>15</v>
      </c>
      <c r="I94" s="463">
        <v>15</v>
      </c>
      <c r="J94" s="408">
        <v>3</v>
      </c>
      <c r="K94" s="408">
        <v>3</v>
      </c>
      <c r="L94" s="408">
        <v>3</v>
      </c>
      <c r="M94" s="408">
        <v>3</v>
      </c>
      <c r="N94" s="208">
        <f>'Pipe Insulation Detail'!$C$59</f>
        <v>46.605980670745772</v>
      </c>
      <c r="O94" s="461">
        <f t="shared" si="9"/>
        <v>46.605980670745772</v>
      </c>
      <c r="P94" s="461">
        <f t="shared" si="9"/>
        <v>46.605980670745772</v>
      </c>
      <c r="Q94" s="461">
        <f t="shared" si="9"/>
        <v>46.605980670745772</v>
      </c>
      <c r="R94" s="411"/>
      <c r="S94" s="411" t="s">
        <v>1046</v>
      </c>
      <c r="T94" s="411" t="s">
        <v>201</v>
      </c>
      <c r="U94" s="411" t="s">
        <v>200</v>
      </c>
      <c r="V94" s="439" t="s">
        <v>825</v>
      </c>
      <c r="W94" s="158"/>
      <c r="X94" s="158"/>
      <c r="Y94" s="158"/>
      <c r="Z94" s="158"/>
      <c r="AA94" s="150"/>
      <c r="AB94" s="158"/>
      <c r="AC94" s="150"/>
      <c r="AD94" s="158"/>
      <c r="AE94" s="150"/>
      <c r="AF94" s="158"/>
      <c r="AG94" s="158"/>
      <c r="AH94" s="158"/>
      <c r="AI94" s="158"/>
      <c r="AJ94" s="158"/>
      <c r="AK94" s="158"/>
      <c r="AL94" s="158"/>
      <c r="AM94" s="158"/>
      <c r="AN94" s="158"/>
      <c r="AO94" s="158"/>
      <c r="AP94" s="158"/>
      <c r="AQ94" s="158"/>
      <c r="AR94" s="158"/>
      <c r="AS94" s="158"/>
      <c r="AT94" s="158"/>
      <c r="AV94" s="413"/>
      <c r="AW94" s="413"/>
      <c r="AX94" s="414"/>
      <c r="AY94" s="415"/>
      <c r="AZ94" s="416"/>
    </row>
    <row r="95" spans="1:52">
      <c r="A95" s="5" t="str">
        <f t="shared" si="8"/>
        <v>Res - MF Standard Rebates_Pipe Insulation - Steam Large Valve</v>
      </c>
      <c r="B95" s="407">
        <v>92</v>
      </c>
      <c r="C95" s="407" t="s">
        <v>721</v>
      </c>
      <c r="D95" s="407" t="s">
        <v>203</v>
      </c>
      <c r="E95" s="408" t="s">
        <v>150</v>
      </c>
      <c r="F95" s="408">
        <v>1</v>
      </c>
      <c r="G95" s="409">
        <v>0.76</v>
      </c>
      <c r="H95" s="470">
        <v>15</v>
      </c>
      <c r="I95" s="463">
        <v>15</v>
      </c>
      <c r="J95" s="408">
        <v>9</v>
      </c>
      <c r="K95" s="408">
        <v>9</v>
      </c>
      <c r="L95" s="408">
        <v>9</v>
      </c>
      <c r="M95" s="408">
        <v>9</v>
      </c>
      <c r="N95" s="208">
        <f>'Pipe Insulation Detail'!$C$60</f>
        <v>133.90978522057964</v>
      </c>
      <c r="O95" s="461">
        <f t="shared" si="9"/>
        <v>133.90978522057964</v>
      </c>
      <c r="P95" s="461">
        <f t="shared" si="9"/>
        <v>133.90978522057964</v>
      </c>
      <c r="Q95" s="461">
        <f t="shared" si="9"/>
        <v>133.90978522057964</v>
      </c>
      <c r="R95" s="411"/>
      <c r="S95" s="411" t="s">
        <v>1046</v>
      </c>
      <c r="T95" s="411" t="s">
        <v>201</v>
      </c>
      <c r="U95" s="411" t="s">
        <v>200</v>
      </c>
      <c r="V95" s="439" t="s">
        <v>825</v>
      </c>
      <c r="W95" s="158"/>
      <c r="X95" s="158"/>
      <c r="Y95" s="158"/>
      <c r="Z95" s="158"/>
      <c r="AA95" s="150"/>
      <c r="AB95" s="158"/>
      <c r="AC95" s="150"/>
      <c r="AD95" s="158"/>
      <c r="AE95" s="150"/>
      <c r="AF95" s="158"/>
      <c r="AG95" s="158"/>
      <c r="AH95" s="158"/>
      <c r="AI95" s="158"/>
      <c r="AJ95" s="158"/>
      <c r="AK95" s="158"/>
      <c r="AL95" s="158"/>
      <c r="AM95" s="158"/>
      <c r="AN95" s="158"/>
      <c r="AO95" s="158"/>
      <c r="AP95" s="158"/>
      <c r="AQ95" s="158"/>
      <c r="AR95" s="158"/>
      <c r="AS95" s="158"/>
      <c r="AT95" s="158"/>
      <c r="AV95" s="413"/>
      <c r="AW95" s="413"/>
      <c r="AX95" s="414"/>
      <c r="AY95" s="415"/>
      <c r="AZ95" s="416"/>
    </row>
    <row r="96" spans="1:52">
      <c r="A96" s="5" t="str">
        <f t="shared" si="8"/>
        <v>Res - MF Standard Rebates_Pipe Insulation - Steam X-Large Valve</v>
      </c>
      <c r="B96" s="407">
        <v>93</v>
      </c>
      <c r="C96" s="407" t="s">
        <v>721</v>
      </c>
      <c r="D96" s="407" t="s">
        <v>202</v>
      </c>
      <c r="E96" s="408" t="s">
        <v>150</v>
      </c>
      <c r="F96" s="408">
        <v>1</v>
      </c>
      <c r="G96" s="409">
        <v>0.76</v>
      </c>
      <c r="H96" s="470">
        <v>15</v>
      </c>
      <c r="I96" s="463">
        <v>15</v>
      </c>
      <c r="J96" s="408">
        <v>1</v>
      </c>
      <c r="K96" s="408">
        <v>1</v>
      </c>
      <c r="L96" s="408">
        <v>1</v>
      </c>
      <c r="M96" s="408">
        <v>1</v>
      </c>
      <c r="N96" s="208">
        <f>'Pipe Insulation Detail'!$C$61</f>
        <v>218.0177023221575</v>
      </c>
      <c r="O96" s="461">
        <f t="shared" si="9"/>
        <v>218.0177023221575</v>
      </c>
      <c r="P96" s="461">
        <f t="shared" si="9"/>
        <v>218.0177023221575</v>
      </c>
      <c r="Q96" s="461">
        <f t="shared" si="9"/>
        <v>218.0177023221575</v>
      </c>
      <c r="R96" s="411"/>
      <c r="S96" s="411" t="s">
        <v>1046</v>
      </c>
      <c r="T96" s="411" t="s">
        <v>201</v>
      </c>
      <c r="U96" s="411" t="s">
        <v>200</v>
      </c>
      <c r="V96" s="439" t="s">
        <v>825</v>
      </c>
      <c r="W96" s="158"/>
      <c r="X96" s="158"/>
      <c r="Y96" s="158"/>
      <c r="Z96" s="158"/>
      <c r="AA96" s="150"/>
      <c r="AB96" s="158"/>
      <c r="AC96" s="150"/>
      <c r="AD96" s="158"/>
      <c r="AE96" s="150"/>
      <c r="AF96" s="158"/>
      <c r="AG96" s="158"/>
      <c r="AH96" s="158"/>
      <c r="AI96" s="158"/>
      <c r="AJ96" s="158"/>
      <c r="AK96" s="158"/>
      <c r="AL96" s="158"/>
      <c r="AM96" s="158"/>
      <c r="AN96" s="158"/>
      <c r="AO96" s="158"/>
      <c r="AP96" s="158"/>
      <c r="AQ96" s="158"/>
      <c r="AR96" s="158"/>
      <c r="AS96" s="158"/>
      <c r="AT96" s="158"/>
      <c r="AV96" s="413"/>
      <c r="AW96" s="413"/>
      <c r="AX96" s="414"/>
      <c r="AY96" s="415"/>
      <c r="AZ96" s="416"/>
    </row>
    <row r="97" spans="1:52">
      <c r="A97" s="5" t="str">
        <f t="shared" si="8"/>
        <v>Res - MF Standard Rebates_Steam Boiler ≥82% AFUE, &gt;300MBh TE</v>
      </c>
      <c r="B97" s="407">
        <v>94</v>
      </c>
      <c r="C97" s="407" t="s">
        <v>721</v>
      </c>
      <c r="D97" s="407" t="s">
        <v>723</v>
      </c>
      <c r="E97" s="408" t="s">
        <v>240</v>
      </c>
      <c r="F97" s="408">
        <v>450</v>
      </c>
      <c r="G97" s="409">
        <v>0.76</v>
      </c>
      <c r="H97" s="470">
        <v>20</v>
      </c>
      <c r="I97" s="463">
        <v>20</v>
      </c>
      <c r="J97" s="408">
        <v>18</v>
      </c>
      <c r="K97" s="408">
        <v>18</v>
      </c>
      <c r="L97" s="408">
        <v>18</v>
      </c>
      <c r="M97" s="408">
        <v>18</v>
      </c>
      <c r="N97" s="208">
        <f>X97*Z97*((AB97-AD97)/AD97)/100000/F97</f>
        <v>0.67670886075949166</v>
      </c>
      <c r="O97" s="461">
        <f t="shared" si="9"/>
        <v>0.67670886075949166</v>
      </c>
      <c r="P97" s="461">
        <f t="shared" si="9"/>
        <v>0.67670886075949166</v>
      </c>
      <c r="Q97" s="461">
        <f t="shared" si="9"/>
        <v>0.67670886075949166</v>
      </c>
      <c r="R97" s="411"/>
      <c r="S97" s="411" t="s">
        <v>1046</v>
      </c>
      <c r="T97" s="411" t="s">
        <v>343</v>
      </c>
      <c r="U97" s="411" t="s">
        <v>342</v>
      </c>
      <c r="V97" s="158" t="s">
        <v>340</v>
      </c>
      <c r="W97" s="494" t="s">
        <v>302</v>
      </c>
      <c r="X97" s="495">
        <v>1782</v>
      </c>
      <c r="Y97" s="150" t="s">
        <v>273</v>
      </c>
      <c r="Z97" s="424">
        <v>450000</v>
      </c>
      <c r="AA97" s="150" t="s">
        <v>341</v>
      </c>
      <c r="AB97" s="434">
        <v>0.82</v>
      </c>
      <c r="AC97" s="158" t="s">
        <v>248</v>
      </c>
      <c r="AD97" s="423">
        <v>0.79</v>
      </c>
      <c r="AE97" s="158"/>
      <c r="AF97" s="158"/>
      <c r="AG97" s="158"/>
      <c r="AH97" s="158"/>
      <c r="AI97" s="440"/>
      <c r="AJ97" s="441"/>
      <c r="AK97" s="440"/>
      <c r="AL97" s="423"/>
      <c r="AM97" s="158"/>
      <c r="AN97" s="158"/>
      <c r="AO97" s="158"/>
      <c r="AP97" s="158"/>
      <c r="AQ97" s="158"/>
      <c r="AR97" s="158"/>
      <c r="AS97" s="158"/>
      <c r="AT97" s="158"/>
      <c r="AV97" s="413"/>
      <c r="AW97" s="413"/>
      <c r="AX97" s="414"/>
      <c r="AY97" s="415"/>
      <c r="AZ97" s="416"/>
    </row>
    <row r="98" spans="1:52">
      <c r="A98" s="5" t="str">
        <f t="shared" si="8"/>
        <v>Res - MF Standard Rebates_Steam Boiler Averaging Controls</v>
      </c>
      <c r="B98" s="407">
        <v>95</v>
      </c>
      <c r="C98" s="407" t="s">
        <v>721</v>
      </c>
      <c r="D98" s="407" t="s">
        <v>277</v>
      </c>
      <c r="E98" s="408" t="s">
        <v>150</v>
      </c>
      <c r="F98" s="408">
        <v>1</v>
      </c>
      <c r="G98" s="409">
        <v>0.76</v>
      </c>
      <c r="H98" s="470">
        <v>20</v>
      </c>
      <c r="I98" s="463">
        <v>20</v>
      </c>
      <c r="J98" s="408">
        <v>57</v>
      </c>
      <c r="K98" s="408">
        <v>57</v>
      </c>
      <c r="L98" s="408">
        <v>57</v>
      </c>
      <c r="M98" s="408">
        <v>57</v>
      </c>
      <c r="N98" s="208">
        <f>X98*Z98*AB98/100000</f>
        <v>156.97800000000001</v>
      </c>
      <c r="O98" s="461">
        <f t="shared" si="9"/>
        <v>156.97800000000001</v>
      </c>
      <c r="P98" s="461">
        <f t="shared" si="9"/>
        <v>156.97800000000001</v>
      </c>
      <c r="Q98" s="461">
        <f t="shared" si="9"/>
        <v>156.97800000000001</v>
      </c>
      <c r="R98" s="411"/>
      <c r="S98" s="411" t="s">
        <v>276</v>
      </c>
      <c r="T98" s="411" t="s">
        <v>275</v>
      </c>
      <c r="U98" s="411" t="s">
        <v>274</v>
      </c>
      <c r="V98" s="158" t="s">
        <v>270</v>
      </c>
      <c r="W98" s="158" t="s">
        <v>273</v>
      </c>
      <c r="X98" s="424">
        <v>100000</v>
      </c>
      <c r="Y98" s="421" t="s">
        <v>272</v>
      </c>
      <c r="Z98" s="442">
        <v>0.10199999999999999</v>
      </c>
      <c r="AA98" s="158" t="s">
        <v>271</v>
      </c>
      <c r="AB98" s="424">
        <v>1539</v>
      </c>
      <c r="AC98" s="150"/>
      <c r="AD98" s="435"/>
      <c r="AE98" s="150"/>
      <c r="AF98" s="429"/>
      <c r="AG98" s="158"/>
      <c r="AH98" s="158"/>
      <c r="AI98" s="158"/>
      <c r="AJ98" s="158"/>
      <c r="AK98" s="158"/>
      <c r="AL98" s="158"/>
      <c r="AM98" s="158"/>
      <c r="AN98" s="158"/>
      <c r="AO98" s="158"/>
      <c r="AP98" s="158"/>
      <c r="AQ98" s="158"/>
      <c r="AR98" s="158"/>
      <c r="AS98" s="158"/>
      <c r="AT98" s="158"/>
      <c r="AV98" s="413"/>
      <c r="AW98" s="413"/>
      <c r="AX98" s="414"/>
      <c r="AY98" s="415"/>
      <c r="AZ98" s="416"/>
    </row>
    <row r="99" spans="1:52">
      <c r="A99" s="5" t="str">
        <f t="shared" si="8"/>
        <v>Res - MF Standard Rebates_Steam Traps - Dry Cleaner/Industrial</v>
      </c>
      <c r="B99" s="407">
        <v>96</v>
      </c>
      <c r="C99" s="407" t="s">
        <v>721</v>
      </c>
      <c r="D99" s="407" t="s">
        <v>269</v>
      </c>
      <c r="E99" s="408" t="s">
        <v>150</v>
      </c>
      <c r="F99" s="408">
        <v>1</v>
      </c>
      <c r="G99" s="409">
        <v>0.76</v>
      </c>
      <c r="H99" s="470">
        <v>6</v>
      </c>
      <c r="I99" s="463">
        <v>6</v>
      </c>
      <c r="J99" s="408">
        <v>3</v>
      </c>
      <c r="K99" s="408">
        <v>3</v>
      </c>
      <c r="L99" s="408">
        <v>3</v>
      </c>
      <c r="M99" s="408">
        <v>3</v>
      </c>
      <c r="N99" s="208">
        <f>X99*(Z99/AB99)*AD99*AF99/100000</f>
        <v>137.91939591078068</v>
      </c>
      <c r="O99" s="461">
        <f t="shared" si="9"/>
        <v>137.91939591078068</v>
      </c>
      <c r="P99" s="461">
        <f t="shared" si="9"/>
        <v>137.91939591078068</v>
      </c>
      <c r="Q99" s="461">
        <f t="shared" si="9"/>
        <v>137.91939591078068</v>
      </c>
      <c r="R99" s="411"/>
      <c r="S99" s="411" t="s">
        <v>1046</v>
      </c>
      <c r="T99" s="411" t="s">
        <v>266</v>
      </c>
      <c r="U99" s="411" t="s">
        <v>265</v>
      </c>
      <c r="V99" s="158" t="s">
        <v>259</v>
      </c>
      <c r="W99" s="158" t="s">
        <v>264</v>
      </c>
      <c r="X99" s="158">
        <v>19.100000000000001</v>
      </c>
      <c r="Y99" s="158" t="s">
        <v>263</v>
      </c>
      <c r="Z99" s="158">
        <v>890</v>
      </c>
      <c r="AA99" s="150" t="s">
        <v>262</v>
      </c>
      <c r="AB99" s="425">
        <v>0.80700000000000005</v>
      </c>
      <c r="AC99" s="150" t="s">
        <v>153</v>
      </c>
      <c r="AD99" s="158">
        <v>2425</v>
      </c>
      <c r="AE99" s="158" t="s">
        <v>260</v>
      </c>
      <c r="AF99" s="423">
        <v>0.27</v>
      </c>
      <c r="AG99" s="158"/>
      <c r="AH99" s="158"/>
      <c r="AI99" s="158"/>
      <c r="AJ99" s="158"/>
      <c r="AK99" s="158"/>
      <c r="AL99" s="158"/>
      <c r="AM99" s="158"/>
      <c r="AN99" s="158"/>
      <c r="AO99" s="158"/>
      <c r="AP99" s="158"/>
      <c r="AQ99" s="158"/>
      <c r="AR99" s="158"/>
      <c r="AS99" s="158"/>
      <c r="AT99" s="158"/>
      <c r="AV99" s="413"/>
      <c r="AW99" s="413"/>
      <c r="AX99" s="414"/>
      <c r="AY99" s="415"/>
      <c r="AZ99" s="416"/>
    </row>
    <row r="100" spans="1:52">
      <c r="A100" s="5" t="str">
        <f t="shared" si="8"/>
        <v>Res - MF Standard Rebates_Steam Traps - HVAC Repair/Rep - Audit</v>
      </c>
      <c r="B100" s="407">
        <v>97</v>
      </c>
      <c r="C100" s="407" t="s">
        <v>721</v>
      </c>
      <c r="D100" s="407" t="s">
        <v>268</v>
      </c>
      <c r="E100" s="408" t="s">
        <v>150</v>
      </c>
      <c r="F100" s="408">
        <v>1</v>
      </c>
      <c r="G100" s="409">
        <v>0.76</v>
      </c>
      <c r="H100" s="470">
        <v>6</v>
      </c>
      <c r="I100" s="463">
        <v>6</v>
      </c>
      <c r="J100" s="408">
        <v>3</v>
      </c>
      <c r="K100" s="408">
        <v>3</v>
      </c>
      <c r="L100" s="408">
        <v>3</v>
      </c>
      <c r="M100" s="408">
        <v>3</v>
      </c>
      <c r="N100" s="208">
        <f>X100*(Z100/AB100)*AD100*AF100/100000</f>
        <v>110.15789625000002</v>
      </c>
      <c r="O100" s="461">
        <f t="shared" si="9"/>
        <v>110.15789625000002</v>
      </c>
      <c r="P100" s="461">
        <f t="shared" si="9"/>
        <v>110.15789625000002</v>
      </c>
      <c r="Q100" s="461">
        <f t="shared" si="9"/>
        <v>110.15789625000002</v>
      </c>
      <c r="R100" s="411"/>
      <c r="S100" s="411" t="s">
        <v>1046</v>
      </c>
      <c r="T100" s="411" t="s">
        <v>266</v>
      </c>
      <c r="U100" s="411" t="s">
        <v>265</v>
      </c>
      <c r="V100" s="158" t="s">
        <v>259</v>
      </c>
      <c r="W100" s="158" t="s">
        <v>264</v>
      </c>
      <c r="X100" s="158">
        <v>6.9</v>
      </c>
      <c r="Y100" s="158" t="s">
        <v>263</v>
      </c>
      <c r="Z100" s="158">
        <v>951</v>
      </c>
      <c r="AA100" s="150" t="s">
        <v>262</v>
      </c>
      <c r="AB100" s="425">
        <v>0.64800000000000002</v>
      </c>
      <c r="AC100" s="150" t="s">
        <v>261</v>
      </c>
      <c r="AD100" s="158">
        <v>4029</v>
      </c>
      <c r="AE100" s="158" t="s">
        <v>260</v>
      </c>
      <c r="AF100" s="423">
        <v>0.27</v>
      </c>
      <c r="AG100" s="158"/>
      <c r="AH100" s="158"/>
      <c r="AI100" s="158"/>
      <c r="AJ100" s="158"/>
      <c r="AK100" s="158"/>
      <c r="AL100" s="158"/>
      <c r="AM100" s="158"/>
      <c r="AN100" s="158"/>
      <c r="AO100" s="158"/>
      <c r="AP100" s="158"/>
      <c r="AQ100" s="158"/>
      <c r="AR100" s="158"/>
      <c r="AS100" s="158"/>
      <c r="AT100" s="158"/>
      <c r="AV100" s="413"/>
      <c r="AW100" s="413"/>
      <c r="AX100" s="414"/>
      <c r="AY100" s="415"/>
      <c r="AZ100" s="416"/>
    </row>
    <row r="101" spans="1:52">
      <c r="A101" s="5" t="str">
        <f t="shared" si="8"/>
        <v>Res - MF Standard Rebates_Steam Traps - HVAC Repair/Rep - No Audit</v>
      </c>
      <c r="B101" s="407">
        <v>98</v>
      </c>
      <c r="C101" s="407" t="s">
        <v>721</v>
      </c>
      <c r="D101" s="407" t="s">
        <v>267</v>
      </c>
      <c r="E101" s="408" t="s">
        <v>150</v>
      </c>
      <c r="F101" s="408">
        <v>1</v>
      </c>
      <c r="G101" s="409">
        <v>0.76</v>
      </c>
      <c r="H101" s="470">
        <v>6</v>
      </c>
      <c r="I101" s="463">
        <v>6</v>
      </c>
      <c r="J101" s="408">
        <v>4</v>
      </c>
      <c r="K101" s="408">
        <v>4</v>
      </c>
      <c r="L101" s="408">
        <v>4</v>
      </c>
      <c r="M101" s="408">
        <v>4</v>
      </c>
      <c r="N101" s="208">
        <f>X101*(Z101/AB101)*AD101*AF101/100000</f>
        <v>110.15789625000002</v>
      </c>
      <c r="O101" s="461">
        <f t="shared" si="9"/>
        <v>110.15789625000002</v>
      </c>
      <c r="P101" s="461">
        <f t="shared" si="9"/>
        <v>110.15789625000002</v>
      </c>
      <c r="Q101" s="461">
        <f t="shared" si="9"/>
        <v>110.15789625000002</v>
      </c>
      <c r="R101" s="411"/>
      <c r="S101" s="411" t="s">
        <v>1046</v>
      </c>
      <c r="T101" s="411" t="s">
        <v>266</v>
      </c>
      <c r="U101" s="411" t="s">
        <v>265</v>
      </c>
      <c r="V101" s="158" t="s">
        <v>259</v>
      </c>
      <c r="W101" s="158" t="s">
        <v>264</v>
      </c>
      <c r="X101" s="158">
        <v>6.9</v>
      </c>
      <c r="Y101" s="158" t="s">
        <v>263</v>
      </c>
      <c r="Z101" s="158">
        <v>951</v>
      </c>
      <c r="AA101" s="150" t="s">
        <v>262</v>
      </c>
      <c r="AB101" s="425">
        <v>0.64800000000000002</v>
      </c>
      <c r="AC101" s="150" t="s">
        <v>261</v>
      </c>
      <c r="AD101" s="158">
        <v>4029</v>
      </c>
      <c r="AE101" s="158" t="s">
        <v>260</v>
      </c>
      <c r="AF101" s="423">
        <v>0.27</v>
      </c>
      <c r="AG101" s="158"/>
      <c r="AH101" s="158"/>
      <c r="AI101" s="158"/>
      <c r="AJ101" s="158"/>
      <c r="AK101" s="158"/>
      <c r="AL101" s="158"/>
      <c r="AM101" s="158"/>
      <c r="AN101" s="158"/>
      <c r="AO101" s="158"/>
      <c r="AP101" s="158"/>
      <c r="AQ101" s="158"/>
      <c r="AR101" s="158"/>
      <c r="AS101" s="158"/>
      <c r="AT101" s="158"/>
      <c r="AV101" s="413"/>
      <c r="AW101" s="413"/>
      <c r="AX101" s="414"/>
      <c r="AY101" s="415"/>
      <c r="AZ101" s="416"/>
    </row>
    <row r="102" spans="1:52">
      <c r="A102" s="5" t="str">
        <f t="shared" si="8"/>
        <v>Res - MF Standard Rebates_Steam Traps - Test</v>
      </c>
      <c r="B102" s="407">
        <v>99</v>
      </c>
      <c r="C102" s="407" t="s">
        <v>721</v>
      </c>
      <c r="D102" s="407" t="s">
        <v>258</v>
      </c>
      <c r="E102" s="408" t="s">
        <v>150</v>
      </c>
      <c r="F102" s="408">
        <v>1</v>
      </c>
      <c r="G102" s="409">
        <v>0.76</v>
      </c>
      <c r="H102" s="470">
        <v>3</v>
      </c>
      <c r="I102" s="463">
        <v>3</v>
      </c>
      <c r="J102" s="408">
        <v>1</v>
      </c>
      <c r="K102" s="408">
        <v>1</v>
      </c>
      <c r="L102" s="408">
        <v>1</v>
      </c>
      <c r="M102" s="408">
        <v>1</v>
      </c>
      <c r="N102" s="208">
        <v>0</v>
      </c>
      <c r="O102" s="461">
        <f t="shared" si="9"/>
        <v>0</v>
      </c>
      <c r="P102" s="461">
        <f t="shared" si="9"/>
        <v>0</v>
      </c>
      <c r="Q102" s="461">
        <f t="shared" si="9"/>
        <v>0</v>
      </c>
      <c r="R102" s="411"/>
      <c r="S102" s="411" t="s">
        <v>140</v>
      </c>
      <c r="T102" s="411" t="s">
        <v>140</v>
      </c>
      <c r="U102" s="411" t="s">
        <v>140</v>
      </c>
      <c r="V102" s="412" t="s">
        <v>140</v>
      </c>
      <c r="W102" s="158"/>
      <c r="X102" s="158"/>
      <c r="Y102" s="158"/>
      <c r="Z102" s="158"/>
      <c r="AA102" s="150"/>
      <c r="AB102" s="423"/>
      <c r="AC102" s="150"/>
      <c r="AD102" s="158"/>
      <c r="AE102" s="150"/>
      <c r="AF102" s="423"/>
      <c r="AG102" s="158"/>
      <c r="AH102" s="423"/>
      <c r="AI102" s="158"/>
      <c r="AJ102" s="423"/>
      <c r="AK102" s="158"/>
      <c r="AL102" s="158"/>
      <c r="AM102" s="158"/>
      <c r="AN102" s="158"/>
      <c r="AO102" s="158"/>
      <c r="AP102" s="158"/>
      <c r="AQ102" s="158"/>
      <c r="AR102" s="158"/>
      <c r="AS102" s="158"/>
      <c r="AT102" s="158"/>
      <c r="AV102" s="413"/>
      <c r="AW102" s="413"/>
      <c r="AX102" s="414"/>
      <c r="AY102" s="415"/>
      <c r="AZ102" s="416"/>
    </row>
    <row r="103" spans="1:52">
      <c r="A103" s="5" t="str">
        <f t="shared" si="8"/>
        <v>Res - MF Standard Rebates_Thermostat - Programmable</v>
      </c>
      <c r="B103" s="407">
        <v>100</v>
      </c>
      <c r="C103" s="407" t="s">
        <v>721</v>
      </c>
      <c r="D103" s="407" t="s">
        <v>226</v>
      </c>
      <c r="E103" s="408" t="s">
        <v>150</v>
      </c>
      <c r="F103" s="408">
        <v>1</v>
      </c>
      <c r="G103" s="409">
        <v>0.76</v>
      </c>
      <c r="H103" s="470">
        <v>4</v>
      </c>
      <c r="I103" s="463">
        <v>4</v>
      </c>
      <c r="J103" s="408"/>
      <c r="K103" s="408">
        <v>0</v>
      </c>
      <c r="L103" s="408">
        <v>0</v>
      </c>
      <c r="M103" s="408">
        <v>0</v>
      </c>
      <c r="N103" s="354">
        <f>'Thermostat Detail'!$L$13</f>
        <v>124.68584320000001</v>
      </c>
      <c r="O103" s="461">
        <f t="shared" si="9"/>
        <v>124.68584320000001</v>
      </c>
      <c r="P103" s="461">
        <f t="shared" si="9"/>
        <v>124.68584320000001</v>
      </c>
      <c r="Q103" s="461">
        <f t="shared" si="9"/>
        <v>124.68584320000001</v>
      </c>
      <c r="R103" s="411"/>
      <c r="S103" s="411" t="s">
        <v>1046</v>
      </c>
      <c r="T103" s="411" t="s">
        <v>225</v>
      </c>
      <c r="U103" s="411" t="s">
        <v>224</v>
      </c>
      <c r="V103" s="439" t="s">
        <v>824</v>
      </c>
      <c r="W103" s="158"/>
      <c r="X103" s="158"/>
      <c r="Y103" s="158"/>
      <c r="Z103" s="158"/>
      <c r="AA103" s="150"/>
      <c r="AB103" s="423"/>
      <c r="AC103" s="150"/>
      <c r="AD103" s="158"/>
      <c r="AE103" s="150"/>
      <c r="AF103" s="423"/>
      <c r="AG103" s="158"/>
      <c r="AH103" s="423"/>
      <c r="AI103" s="158"/>
      <c r="AJ103" s="423"/>
      <c r="AK103" s="158"/>
      <c r="AL103" s="158"/>
      <c r="AM103" s="158"/>
      <c r="AN103" s="158"/>
      <c r="AO103" s="158"/>
      <c r="AP103" s="158"/>
      <c r="AQ103" s="158"/>
      <c r="AR103" s="158"/>
      <c r="AS103" s="158"/>
      <c r="AT103" s="158"/>
      <c r="AV103" s="413"/>
      <c r="AW103" s="413"/>
      <c r="AX103" s="414"/>
      <c r="AY103" s="415"/>
      <c r="AZ103" s="416"/>
    </row>
    <row r="104" spans="1:52">
      <c r="A104" s="5" t="str">
        <f t="shared" si="8"/>
        <v>Res - MF PTA Rebates_Air Sealing</v>
      </c>
      <c r="B104" s="407">
        <v>101</v>
      </c>
      <c r="C104" s="407" t="s">
        <v>722</v>
      </c>
      <c r="D104" s="407" t="s">
        <v>678</v>
      </c>
      <c r="E104" s="408" t="s">
        <v>439</v>
      </c>
      <c r="F104" s="408">
        <v>434.85999999999996</v>
      </c>
      <c r="G104" s="409">
        <v>0.88</v>
      </c>
      <c r="H104" s="470">
        <v>15</v>
      </c>
      <c r="I104" s="467">
        <v>20</v>
      </c>
      <c r="J104" s="408">
        <v>71</v>
      </c>
      <c r="K104" s="408">
        <v>71</v>
      </c>
      <c r="L104" s="408">
        <v>71</v>
      </c>
      <c r="M104" s="408">
        <v>71</v>
      </c>
      <c r="N104" s="502">
        <f>1/X104*60*24*Z104*0.018/(AB104*100000)*AD104*AF104</f>
        <v>5.8327308024976238E-2</v>
      </c>
      <c r="O104" s="461">
        <f t="shared" ref="O104:Q123" si="10">N104</f>
        <v>5.8327308024976238E-2</v>
      </c>
      <c r="P104" s="461">
        <f t="shared" si="10"/>
        <v>5.8327308024976238E-2</v>
      </c>
      <c r="Q104" s="461">
        <f t="shared" si="10"/>
        <v>5.8327308024976238E-2</v>
      </c>
      <c r="R104" s="411"/>
      <c r="S104" s="411" t="s">
        <v>1046</v>
      </c>
      <c r="T104" s="411" t="s">
        <v>438</v>
      </c>
      <c r="U104" s="411" t="s">
        <v>437</v>
      </c>
      <c r="V104" s="497" t="s">
        <v>1457</v>
      </c>
      <c r="W104" s="158" t="s">
        <v>436</v>
      </c>
      <c r="X104" s="158">
        <v>23.9</v>
      </c>
      <c r="Y104" s="158" t="s">
        <v>411</v>
      </c>
      <c r="Z104" s="158">
        <v>5113</v>
      </c>
      <c r="AA104" s="150" t="s">
        <v>435</v>
      </c>
      <c r="AB104" s="423">
        <f>(64.9%+72%)/2</f>
        <v>0.6845</v>
      </c>
      <c r="AC104" s="391" t="s">
        <v>851</v>
      </c>
      <c r="AD104" s="430">
        <v>0.72</v>
      </c>
      <c r="AE104" s="494" t="s">
        <v>1445</v>
      </c>
      <c r="AF104" s="498">
        <v>1</v>
      </c>
      <c r="AG104" s="158"/>
      <c r="AH104" s="158"/>
      <c r="AI104" s="158"/>
      <c r="AJ104" s="158"/>
      <c r="AK104" s="158"/>
      <c r="AL104" s="158"/>
      <c r="AM104" s="158"/>
      <c r="AN104" s="158"/>
      <c r="AO104" s="158"/>
      <c r="AP104" s="158"/>
      <c r="AQ104" s="158"/>
      <c r="AR104" s="158"/>
      <c r="AS104" s="158"/>
      <c r="AT104" s="158"/>
      <c r="AV104" s="413"/>
      <c r="AW104" s="413"/>
      <c r="AX104" s="414"/>
      <c r="AY104" s="415"/>
      <c r="AZ104" s="416"/>
    </row>
    <row r="105" spans="1:52">
      <c r="A105" s="5" t="str">
        <f t="shared" si="8"/>
        <v>Res - MF PTA Rebates_Duct Sealing</v>
      </c>
      <c r="B105" s="407">
        <v>102</v>
      </c>
      <c r="C105" s="407" t="s">
        <v>722</v>
      </c>
      <c r="D105" s="407" t="s">
        <v>707</v>
      </c>
      <c r="E105" s="408" t="s">
        <v>429</v>
      </c>
      <c r="F105" s="408">
        <v>120</v>
      </c>
      <c r="G105" s="409">
        <v>0.88</v>
      </c>
      <c r="H105" s="470">
        <v>20</v>
      </c>
      <c r="I105" s="463">
        <v>20</v>
      </c>
      <c r="J105" s="408">
        <v>36</v>
      </c>
      <c r="K105" s="408">
        <v>36</v>
      </c>
      <c r="L105" s="408">
        <v>36</v>
      </c>
      <c r="M105" s="408">
        <v>36</v>
      </c>
      <c r="N105" s="208">
        <f>X105/(Z105*0.0123)*AB105*Z105*AH105*(AD105/AF105)/100000</f>
        <v>0.70950058072009281</v>
      </c>
      <c r="O105" s="461">
        <f t="shared" si="10"/>
        <v>0.70950058072009281</v>
      </c>
      <c r="P105" s="461">
        <f t="shared" si="10"/>
        <v>0.70950058072009281</v>
      </c>
      <c r="Q105" s="461">
        <f t="shared" si="10"/>
        <v>0.70950058072009281</v>
      </c>
      <c r="R105" s="411"/>
      <c r="S105" s="411" t="s">
        <v>1046</v>
      </c>
      <c r="T105" s="411" t="s">
        <v>428</v>
      </c>
      <c r="U105" s="411" t="s">
        <v>427</v>
      </c>
      <c r="V105" s="158" t="s">
        <v>420</v>
      </c>
      <c r="W105" s="158" t="s">
        <v>426</v>
      </c>
      <c r="X105" s="158">
        <v>1</v>
      </c>
      <c r="Y105" s="158" t="s">
        <v>425</v>
      </c>
      <c r="Z105" s="424">
        <v>76000</v>
      </c>
      <c r="AA105" s="150" t="s">
        <v>424</v>
      </c>
      <c r="AB105" s="424">
        <v>1840</v>
      </c>
      <c r="AC105" s="150" t="s">
        <v>423</v>
      </c>
      <c r="AD105" s="429">
        <v>0.83</v>
      </c>
      <c r="AE105" s="150" t="s">
        <v>422</v>
      </c>
      <c r="AF105" s="423">
        <v>0.7</v>
      </c>
      <c r="AG105" s="158" t="s">
        <v>421</v>
      </c>
      <c r="AH105" s="423">
        <v>0.4</v>
      </c>
      <c r="AI105" s="158"/>
      <c r="AJ105" s="158"/>
      <c r="AK105" s="158"/>
      <c r="AL105" s="158"/>
      <c r="AM105" s="158"/>
      <c r="AN105" s="158"/>
      <c r="AO105" s="158"/>
      <c r="AP105" s="158"/>
      <c r="AQ105" s="158"/>
      <c r="AR105" s="158"/>
      <c r="AS105" s="158"/>
      <c r="AT105" s="158"/>
      <c r="AV105" s="413"/>
      <c r="AW105" s="413"/>
      <c r="AX105" s="414"/>
      <c r="AY105" s="415"/>
      <c r="AZ105" s="416"/>
    </row>
    <row r="106" spans="1:52">
      <c r="A106" s="5" t="str">
        <f t="shared" si="8"/>
        <v>Res - MF PTA Rebates_Boiler ≥88% AFUE, &lt;300MBh</v>
      </c>
      <c r="B106" s="407">
        <v>103</v>
      </c>
      <c r="C106" s="407" t="s">
        <v>722</v>
      </c>
      <c r="D106" s="407" t="s">
        <v>718</v>
      </c>
      <c r="E106" s="408" t="s">
        <v>240</v>
      </c>
      <c r="F106" s="408">
        <v>150</v>
      </c>
      <c r="G106" s="409">
        <v>0.88</v>
      </c>
      <c r="H106" s="470">
        <v>20</v>
      </c>
      <c r="I106" s="463">
        <v>20</v>
      </c>
      <c r="J106" s="408">
        <v>28</v>
      </c>
      <c r="K106" s="408">
        <v>28</v>
      </c>
      <c r="L106" s="408">
        <v>28</v>
      </c>
      <c r="M106" s="408">
        <v>28</v>
      </c>
      <c r="N106" s="208">
        <f>X106*Z106*((AB106-AD106)/AD106)/100000/F106</f>
        <v>1.3039024390243914</v>
      </c>
      <c r="O106" s="461">
        <f t="shared" si="10"/>
        <v>1.3039024390243914</v>
      </c>
      <c r="P106" s="461">
        <f t="shared" si="10"/>
        <v>1.3039024390243914</v>
      </c>
      <c r="Q106" s="461">
        <f t="shared" si="10"/>
        <v>1.3039024390243914</v>
      </c>
      <c r="R106" s="411"/>
      <c r="S106" s="411" t="s">
        <v>1046</v>
      </c>
      <c r="T106" s="411" t="s">
        <v>343</v>
      </c>
      <c r="U106" s="411" t="s">
        <v>342</v>
      </c>
      <c r="V106" s="158" t="s">
        <v>340</v>
      </c>
      <c r="W106" s="494" t="s">
        <v>302</v>
      </c>
      <c r="X106" s="495">
        <v>1782</v>
      </c>
      <c r="Y106" s="150" t="s">
        <v>273</v>
      </c>
      <c r="Z106" s="424">
        <v>150000</v>
      </c>
      <c r="AA106" s="150" t="s">
        <v>341</v>
      </c>
      <c r="AB106" s="423">
        <v>0.88</v>
      </c>
      <c r="AC106" s="158" t="s">
        <v>248</v>
      </c>
      <c r="AD106" s="423">
        <v>0.82</v>
      </c>
      <c r="AE106" s="158"/>
      <c r="AF106" s="158"/>
      <c r="AG106" s="158"/>
      <c r="AH106" s="158"/>
      <c r="AI106" s="158"/>
      <c r="AJ106" s="158"/>
      <c r="AK106" s="158"/>
      <c r="AL106" s="158"/>
      <c r="AM106" s="158"/>
      <c r="AN106" s="158"/>
      <c r="AO106" s="158"/>
      <c r="AP106" s="158"/>
      <c r="AQ106" s="158"/>
      <c r="AR106" s="158"/>
      <c r="AS106" s="158"/>
      <c r="AT106" s="158"/>
      <c r="AV106" s="413"/>
      <c r="AW106" s="413"/>
      <c r="AX106" s="414"/>
      <c r="AY106" s="415"/>
      <c r="AZ106" s="416"/>
    </row>
    <row r="107" spans="1:52">
      <c r="A107" s="5" t="str">
        <f t="shared" si="8"/>
        <v>Res - MF PTA Rebates_Boiler ≥88% AFUE, ≥300MBh TE</v>
      </c>
      <c r="B107" s="407">
        <v>104</v>
      </c>
      <c r="C107" s="407" t="s">
        <v>722</v>
      </c>
      <c r="D107" s="407" t="s">
        <v>719</v>
      </c>
      <c r="E107" s="408" t="s">
        <v>240</v>
      </c>
      <c r="F107" s="408">
        <v>350</v>
      </c>
      <c r="G107" s="409">
        <v>0.88</v>
      </c>
      <c r="H107" s="470">
        <v>20</v>
      </c>
      <c r="I107" s="463">
        <v>20</v>
      </c>
      <c r="J107" s="408">
        <v>43</v>
      </c>
      <c r="K107" s="408">
        <v>43</v>
      </c>
      <c r="L107" s="408">
        <v>43</v>
      </c>
      <c r="M107" s="408">
        <v>43</v>
      </c>
      <c r="N107" s="208">
        <f>X107*Z107*((AB107-AD107)/AD107)/100000/F107</f>
        <v>1.7819999999999991</v>
      </c>
      <c r="O107" s="461">
        <f t="shared" si="10"/>
        <v>1.7819999999999991</v>
      </c>
      <c r="P107" s="461">
        <f t="shared" si="10"/>
        <v>1.7819999999999991</v>
      </c>
      <c r="Q107" s="461">
        <f t="shared" si="10"/>
        <v>1.7819999999999991</v>
      </c>
      <c r="R107" s="411"/>
      <c r="S107" s="411" t="s">
        <v>1046</v>
      </c>
      <c r="T107" s="411" t="s">
        <v>343</v>
      </c>
      <c r="U107" s="411" t="s">
        <v>342</v>
      </c>
      <c r="V107" s="158" t="s">
        <v>340</v>
      </c>
      <c r="W107" s="494" t="s">
        <v>302</v>
      </c>
      <c r="X107" s="495">
        <v>1782</v>
      </c>
      <c r="Y107" s="150" t="s">
        <v>273</v>
      </c>
      <c r="Z107" s="424">
        <v>350000</v>
      </c>
      <c r="AA107" s="150" t="s">
        <v>341</v>
      </c>
      <c r="AB107" s="423">
        <v>0.88</v>
      </c>
      <c r="AC107" s="158" t="s">
        <v>248</v>
      </c>
      <c r="AD107" s="423">
        <v>0.8</v>
      </c>
      <c r="AE107" s="158"/>
      <c r="AF107" s="158"/>
      <c r="AG107" s="158"/>
      <c r="AH107" s="158"/>
      <c r="AI107" s="158"/>
      <c r="AJ107" s="158"/>
      <c r="AK107" s="158"/>
      <c r="AL107" s="158"/>
      <c r="AM107" s="158"/>
      <c r="AN107" s="158"/>
      <c r="AO107" s="158"/>
      <c r="AP107" s="158"/>
      <c r="AQ107" s="158"/>
      <c r="AR107" s="158"/>
      <c r="AS107" s="158"/>
      <c r="AT107" s="158"/>
      <c r="AV107" s="413"/>
      <c r="AW107" s="413"/>
      <c r="AX107" s="414"/>
      <c r="AY107" s="415"/>
      <c r="AZ107" s="416"/>
    </row>
    <row r="108" spans="1:52">
      <c r="A108" s="5" t="str">
        <f t="shared" si="8"/>
        <v>Res - MF PTA Rebates_Boiler Reset Controls</v>
      </c>
      <c r="B108" s="407">
        <v>105</v>
      </c>
      <c r="C108" s="407" t="s">
        <v>722</v>
      </c>
      <c r="D108" s="407" t="s">
        <v>1065</v>
      </c>
      <c r="E108" s="408" t="s">
        <v>150</v>
      </c>
      <c r="F108" s="408">
        <v>200</v>
      </c>
      <c r="G108" s="409">
        <v>0.88</v>
      </c>
      <c r="H108" s="470">
        <v>20</v>
      </c>
      <c r="I108" s="463">
        <v>20</v>
      </c>
      <c r="J108" s="408">
        <v>18</v>
      </c>
      <c r="K108" s="408">
        <v>18</v>
      </c>
      <c r="L108" s="408">
        <v>18</v>
      </c>
      <c r="M108" s="408">
        <v>18</v>
      </c>
      <c r="N108" s="208">
        <f>X108*Z108/100</f>
        <v>1.4256</v>
      </c>
      <c r="O108" s="461">
        <f t="shared" si="10"/>
        <v>1.4256</v>
      </c>
      <c r="P108" s="461">
        <f t="shared" si="10"/>
        <v>1.4256</v>
      </c>
      <c r="Q108" s="461">
        <f t="shared" si="10"/>
        <v>1.4256</v>
      </c>
      <c r="R108" s="411"/>
      <c r="S108" s="411" t="s">
        <v>1046</v>
      </c>
      <c r="T108" s="411" t="s">
        <v>339</v>
      </c>
      <c r="U108" s="411" t="s">
        <v>338</v>
      </c>
      <c r="V108" s="158" t="s">
        <v>336</v>
      </c>
      <c r="W108" s="494" t="s">
        <v>302</v>
      </c>
      <c r="X108" s="495">
        <v>1782</v>
      </c>
      <c r="Y108" s="150" t="s">
        <v>337</v>
      </c>
      <c r="Z108" s="425">
        <v>0.08</v>
      </c>
      <c r="AA108" s="150"/>
      <c r="AB108" s="150"/>
      <c r="AC108" s="150"/>
      <c r="AD108" s="150"/>
      <c r="AE108" s="150"/>
      <c r="AF108" s="158"/>
      <c r="AG108" s="158"/>
      <c r="AH108" s="158"/>
      <c r="AI108" s="158"/>
      <c r="AJ108" s="158"/>
      <c r="AK108" s="158"/>
      <c r="AL108" s="158"/>
      <c r="AM108" s="158"/>
      <c r="AN108" s="158"/>
      <c r="AO108" s="158"/>
      <c r="AP108" s="158"/>
      <c r="AQ108" s="158"/>
      <c r="AR108" s="158"/>
      <c r="AS108" s="158"/>
      <c r="AT108" s="158"/>
      <c r="AV108" s="413"/>
      <c r="AW108" s="413"/>
      <c r="AX108" s="414"/>
      <c r="AY108" s="415"/>
      <c r="AZ108" s="416"/>
    </row>
    <row r="109" spans="1:52">
      <c r="A109" s="5" t="str">
        <f t="shared" si="8"/>
        <v>Res - MF PTA Rebates_Boiler Tune Up - Process</v>
      </c>
      <c r="B109" s="407">
        <v>106</v>
      </c>
      <c r="C109" s="407" t="s">
        <v>722</v>
      </c>
      <c r="D109" s="407" t="s">
        <v>335</v>
      </c>
      <c r="E109" s="408" t="s">
        <v>240</v>
      </c>
      <c r="F109" s="408">
        <v>200</v>
      </c>
      <c r="G109" s="409">
        <v>0.88</v>
      </c>
      <c r="H109" s="470">
        <v>3</v>
      </c>
      <c r="I109" s="463">
        <v>3</v>
      </c>
      <c r="J109" s="408">
        <v>36</v>
      </c>
      <c r="K109" s="408">
        <v>36</v>
      </c>
      <c r="L109" s="408">
        <v>36</v>
      </c>
      <c r="M109" s="408">
        <v>36</v>
      </c>
      <c r="N109" s="208">
        <f>(X109*8766*Z109)/100*(1-AB109/AD109)</f>
        <v>0.83823507428978783</v>
      </c>
      <c r="O109" s="461">
        <f t="shared" si="10"/>
        <v>0.83823507428978783</v>
      </c>
      <c r="P109" s="461">
        <f t="shared" si="10"/>
        <v>0.83823507428978783</v>
      </c>
      <c r="Q109" s="461">
        <f t="shared" si="10"/>
        <v>0.83823507428978783</v>
      </c>
      <c r="R109" s="411"/>
      <c r="S109" s="411" t="s">
        <v>1046</v>
      </c>
      <c r="T109" s="411" t="s">
        <v>334</v>
      </c>
      <c r="U109" s="411" t="s">
        <v>333</v>
      </c>
      <c r="V109" s="158" t="s">
        <v>328</v>
      </c>
      <c r="W109" s="158" t="s">
        <v>332</v>
      </c>
      <c r="X109" s="424">
        <v>1</v>
      </c>
      <c r="Y109" s="158" t="s">
        <v>331</v>
      </c>
      <c r="Z109" s="431">
        <v>0.41899999999999998</v>
      </c>
      <c r="AA109" s="150" t="s">
        <v>330</v>
      </c>
      <c r="AB109" s="432">
        <v>0.82210000000000005</v>
      </c>
      <c r="AC109" s="150" t="s">
        <v>329</v>
      </c>
      <c r="AD109" s="432">
        <v>0.84130000000000005</v>
      </c>
      <c r="AE109" s="150"/>
      <c r="AF109" s="158"/>
      <c r="AG109" s="158"/>
      <c r="AH109" s="158"/>
      <c r="AI109" s="158"/>
      <c r="AJ109" s="158"/>
      <c r="AK109" s="158"/>
      <c r="AL109" s="158"/>
      <c r="AM109" s="158"/>
      <c r="AN109" s="158"/>
      <c r="AO109" s="158"/>
      <c r="AP109" s="158"/>
      <c r="AQ109" s="158"/>
      <c r="AR109" s="158"/>
      <c r="AS109" s="158"/>
      <c r="AT109" s="158"/>
      <c r="AV109" s="413"/>
      <c r="AW109" s="413"/>
      <c r="AX109" s="414"/>
      <c r="AY109" s="415"/>
      <c r="AZ109" s="416"/>
    </row>
    <row r="110" spans="1:52">
      <c r="A110" s="5" t="str">
        <f t="shared" si="8"/>
        <v>Res - MF PTA Rebates_Boiler Tune Up - Space Heating</v>
      </c>
      <c r="B110" s="407">
        <v>107</v>
      </c>
      <c r="C110" s="407" t="s">
        <v>722</v>
      </c>
      <c r="D110" s="407" t="s">
        <v>724</v>
      </c>
      <c r="E110" s="408" t="s">
        <v>240</v>
      </c>
      <c r="F110" s="408">
        <v>200</v>
      </c>
      <c r="G110" s="409">
        <v>0.88</v>
      </c>
      <c r="H110" s="470">
        <v>3</v>
      </c>
      <c r="I110" s="463">
        <v>3</v>
      </c>
      <c r="J110" s="408">
        <v>43</v>
      </c>
      <c r="K110" s="408">
        <v>43</v>
      </c>
      <c r="L110" s="408">
        <v>43</v>
      </c>
      <c r="M110" s="408">
        <v>43</v>
      </c>
      <c r="N110" s="208">
        <f>(AD110*X110*(AB110/Z110-1))/100000</f>
        <v>0.41618294611360979</v>
      </c>
      <c r="O110" s="461">
        <f t="shared" si="10"/>
        <v>0.41618294611360979</v>
      </c>
      <c r="P110" s="461">
        <f t="shared" si="10"/>
        <v>0.41618294611360979</v>
      </c>
      <c r="Q110" s="461">
        <f t="shared" si="10"/>
        <v>0.41618294611360979</v>
      </c>
      <c r="R110" s="411"/>
      <c r="S110" s="411" t="s">
        <v>1046</v>
      </c>
      <c r="T110" s="411" t="s">
        <v>327</v>
      </c>
      <c r="U110" s="411" t="s">
        <v>326</v>
      </c>
      <c r="V110" s="158" t="s">
        <v>322</v>
      </c>
      <c r="W110" s="494" t="s">
        <v>302</v>
      </c>
      <c r="X110" s="495">
        <v>1782</v>
      </c>
      <c r="Y110" s="150" t="s">
        <v>325</v>
      </c>
      <c r="Z110" s="432">
        <v>0.82210000000000005</v>
      </c>
      <c r="AA110" s="150" t="s">
        <v>324</v>
      </c>
      <c r="AB110" s="432">
        <v>0.84130000000000005</v>
      </c>
      <c r="AC110" s="158" t="s">
        <v>323</v>
      </c>
      <c r="AD110" s="433">
        <v>1000</v>
      </c>
      <c r="AE110" s="158"/>
      <c r="AF110" s="158"/>
      <c r="AG110" s="158"/>
      <c r="AH110" s="158"/>
      <c r="AI110" s="158"/>
      <c r="AJ110" s="158"/>
      <c r="AK110" s="158"/>
      <c r="AL110" s="158"/>
      <c r="AM110" s="158"/>
      <c r="AN110" s="158"/>
      <c r="AO110" s="158"/>
      <c r="AP110" s="158"/>
      <c r="AQ110" s="158"/>
      <c r="AR110" s="158"/>
      <c r="AS110" s="158"/>
      <c r="AT110" s="158"/>
      <c r="AV110" s="413"/>
      <c r="AW110" s="413"/>
      <c r="AX110" s="414"/>
      <c r="AY110" s="415"/>
      <c r="AZ110" s="416"/>
    </row>
    <row r="111" spans="1:52">
      <c r="A111" s="5" t="str">
        <f t="shared" si="8"/>
        <v>Res - MF PTA Rebates_Condensing Unit Heater</v>
      </c>
      <c r="B111" s="407">
        <v>108</v>
      </c>
      <c r="C111" s="407" t="s">
        <v>722</v>
      </c>
      <c r="D111" s="407" t="s">
        <v>321</v>
      </c>
      <c r="E111" s="408" t="s">
        <v>240</v>
      </c>
      <c r="F111" s="408">
        <v>150</v>
      </c>
      <c r="G111" s="409">
        <v>0.88</v>
      </c>
      <c r="H111" s="470">
        <v>12</v>
      </c>
      <c r="I111" s="463">
        <v>12</v>
      </c>
      <c r="J111" s="408">
        <v>0</v>
      </c>
      <c r="K111" s="408">
        <v>0</v>
      </c>
      <c r="L111" s="408">
        <v>0</v>
      </c>
      <c r="M111" s="408">
        <v>0</v>
      </c>
      <c r="N111" s="208">
        <f>266/F111</f>
        <v>1.7733333333333334</v>
      </c>
      <c r="O111" s="461">
        <f t="shared" si="10"/>
        <v>1.7733333333333334</v>
      </c>
      <c r="P111" s="461">
        <f t="shared" si="10"/>
        <v>1.7733333333333334</v>
      </c>
      <c r="Q111" s="461">
        <f t="shared" si="10"/>
        <v>1.7733333333333334</v>
      </c>
      <c r="R111" s="411"/>
      <c r="S111" s="411" t="s">
        <v>1046</v>
      </c>
      <c r="T111" s="411" t="s">
        <v>320</v>
      </c>
      <c r="U111" s="411" t="s">
        <v>319</v>
      </c>
      <c r="V111" s="158" t="s">
        <v>318</v>
      </c>
      <c r="W111" s="158"/>
      <c r="X111" s="158"/>
      <c r="Y111" s="158"/>
      <c r="Z111" s="158"/>
      <c r="AA111" s="150"/>
      <c r="AB111" s="158"/>
      <c r="AC111" s="150"/>
      <c r="AD111" s="158"/>
      <c r="AE111" s="150"/>
      <c r="AF111" s="158"/>
      <c r="AG111" s="158"/>
      <c r="AH111" s="158"/>
      <c r="AI111" s="158"/>
      <c r="AJ111" s="158"/>
      <c r="AK111" s="158"/>
      <c r="AL111" s="158"/>
      <c r="AM111" s="158"/>
      <c r="AN111" s="158"/>
      <c r="AO111" s="158"/>
      <c r="AP111" s="158"/>
      <c r="AQ111" s="158"/>
      <c r="AR111" s="158"/>
      <c r="AS111" s="158"/>
      <c r="AT111" s="158"/>
      <c r="AV111" s="413"/>
      <c r="AW111" s="413"/>
      <c r="AX111" s="414"/>
      <c r="AY111" s="415"/>
      <c r="AZ111" s="416"/>
    </row>
    <row r="112" spans="1:52">
      <c r="A112" s="5" t="str">
        <f t="shared" si="8"/>
        <v>Res - MF PTA Rebates_Direct Fired Heaters</v>
      </c>
      <c r="B112" s="407">
        <v>109</v>
      </c>
      <c r="C112" s="407" t="s">
        <v>722</v>
      </c>
      <c r="D112" s="407" t="s">
        <v>317</v>
      </c>
      <c r="E112" s="408" t="s">
        <v>240</v>
      </c>
      <c r="F112" s="408">
        <v>150</v>
      </c>
      <c r="G112" s="409">
        <v>0.88</v>
      </c>
      <c r="H112" s="470">
        <v>20</v>
      </c>
      <c r="I112" s="463">
        <v>20</v>
      </c>
      <c r="J112" s="408">
        <v>0</v>
      </c>
      <c r="K112" s="408">
        <v>0</v>
      </c>
      <c r="L112" s="408">
        <v>0</v>
      </c>
      <c r="M112" s="408">
        <v>0</v>
      </c>
      <c r="N112" s="208">
        <f>AD112*X112*(Z112/AB112-1)/100000</f>
        <v>2.4914999999999985</v>
      </c>
      <c r="O112" s="461">
        <f t="shared" si="10"/>
        <v>2.4914999999999985</v>
      </c>
      <c r="P112" s="461">
        <f t="shared" si="10"/>
        <v>2.4914999999999985</v>
      </c>
      <c r="Q112" s="461">
        <f t="shared" si="10"/>
        <v>2.4914999999999985</v>
      </c>
      <c r="R112" s="411"/>
      <c r="S112" s="411" t="s">
        <v>140</v>
      </c>
      <c r="T112" s="411" t="s">
        <v>140</v>
      </c>
      <c r="U112" s="411" t="s">
        <v>140</v>
      </c>
      <c r="V112" s="158" t="s">
        <v>313</v>
      </c>
      <c r="W112" s="158" t="s">
        <v>273</v>
      </c>
      <c r="X112" s="158">
        <v>1000</v>
      </c>
      <c r="Y112" s="158" t="s">
        <v>316</v>
      </c>
      <c r="Z112" s="423">
        <v>0.92</v>
      </c>
      <c r="AA112" s="150" t="s">
        <v>315</v>
      </c>
      <c r="AB112" s="423">
        <v>0.8</v>
      </c>
      <c r="AC112" s="494" t="s">
        <v>302</v>
      </c>
      <c r="AD112" s="496">
        <f>(1540+1782)/2</f>
        <v>1661</v>
      </c>
      <c r="AE112" s="494" t="s">
        <v>314</v>
      </c>
      <c r="AF112" s="496">
        <v>1678</v>
      </c>
      <c r="AG112" s="158"/>
      <c r="AH112" s="158"/>
      <c r="AI112" s="158"/>
      <c r="AJ112" s="158"/>
      <c r="AK112" s="158"/>
      <c r="AL112" s="158"/>
      <c r="AM112" s="158"/>
      <c r="AN112" s="158"/>
      <c r="AO112" s="158"/>
      <c r="AP112" s="158"/>
      <c r="AQ112" s="158"/>
      <c r="AR112" s="158"/>
      <c r="AS112" s="158"/>
      <c r="AT112" s="158"/>
      <c r="AV112" s="413"/>
      <c r="AW112" s="413"/>
      <c r="AX112" s="414"/>
      <c r="AY112" s="415"/>
      <c r="AZ112" s="416"/>
    </row>
    <row r="113" spans="1:52">
      <c r="A113" s="5" t="str">
        <f t="shared" si="8"/>
        <v>Res - MF PTA Rebates_Furnace &gt;95% AFUE</v>
      </c>
      <c r="B113" s="407">
        <v>110</v>
      </c>
      <c r="C113" s="407" t="s">
        <v>722</v>
      </c>
      <c r="D113" s="407" t="s">
        <v>1063</v>
      </c>
      <c r="E113" s="408" t="s">
        <v>150</v>
      </c>
      <c r="F113" s="408">
        <v>1</v>
      </c>
      <c r="G113" s="409">
        <v>0.88</v>
      </c>
      <c r="H113" s="470">
        <v>16</v>
      </c>
      <c r="I113" s="463">
        <v>16</v>
      </c>
      <c r="J113" s="408">
        <v>4</v>
      </c>
      <c r="K113" s="408">
        <v>4</v>
      </c>
      <c r="L113" s="408">
        <v>4</v>
      </c>
      <c r="M113" s="408">
        <v>4</v>
      </c>
      <c r="N113" s="208">
        <f>X113*Z113*((AB113-AD113)/AD113)/100000</f>
        <v>253.93499999999986</v>
      </c>
      <c r="O113" s="461">
        <f t="shared" si="10"/>
        <v>253.93499999999986</v>
      </c>
      <c r="P113" s="461">
        <f t="shared" si="10"/>
        <v>253.93499999999986</v>
      </c>
      <c r="Q113" s="461">
        <f t="shared" si="10"/>
        <v>253.93499999999986</v>
      </c>
      <c r="R113" s="411"/>
      <c r="S113" s="411" t="s">
        <v>1046</v>
      </c>
      <c r="T113" s="411" t="s">
        <v>301</v>
      </c>
      <c r="U113" s="411" t="s">
        <v>300</v>
      </c>
      <c r="V113" s="158" t="s">
        <v>296</v>
      </c>
      <c r="W113" s="494" t="s">
        <v>302</v>
      </c>
      <c r="X113" s="495">
        <v>1782</v>
      </c>
      <c r="Y113" s="150" t="s">
        <v>273</v>
      </c>
      <c r="Z113" s="424">
        <v>76000</v>
      </c>
      <c r="AA113" s="158" t="s">
        <v>299</v>
      </c>
      <c r="AB113" s="434">
        <v>0.95</v>
      </c>
      <c r="AC113" s="158" t="s">
        <v>298</v>
      </c>
      <c r="AD113" s="423">
        <v>0.8</v>
      </c>
      <c r="AE113" s="158" t="s">
        <v>153</v>
      </c>
      <c r="AF113" s="158">
        <v>2899</v>
      </c>
      <c r="AG113" s="158" t="s">
        <v>297</v>
      </c>
      <c r="AH113" s="435">
        <v>0.24299999999999999</v>
      </c>
      <c r="AI113" s="158"/>
      <c r="AJ113" s="158"/>
      <c r="AK113" s="158"/>
      <c r="AL113" s="158"/>
      <c r="AM113" s="158"/>
      <c r="AN113" s="158"/>
      <c r="AO113" s="158"/>
      <c r="AP113" s="158"/>
      <c r="AQ113" s="158"/>
      <c r="AR113" s="158"/>
      <c r="AS113" s="158"/>
      <c r="AT113" s="158"/>
      <c r="AV113" s="413"/>
      <c r="AW113" s="413"/>
      <c r="AX113" s="414"/>
      <c r="AY113" s="415"/>
      <c r="AZ113" s="416"/>
    </row>
    <row r="114" spans="1:52" ht="12.75" customHeight="1">
      <c r="A114" s="5" t="str">
        <f t="shared" si="8"/>
        <v>Res - MF PTA Rebates_Furnace &gt;95% AFUE (MF Unit)</v>
      </c>
      <c r="B114" s="407">
        <v>111</v>
      </c>
      <c r="C114" s="407" t="s">
        <v>722</v>
      </c>
      <c r="D114" s="407" t="s">
        <v>402</v>
      </c>
      <c r="E114" s="408" t="s">
        <v>150</v>
      </c>
      <c r="F114" s="408">
        <v>1</v>
      </c>
      <c r="G114" s="409">
        <v>0.88</v>
      </c>
      <c r="H114" s="470">
        <v>20</v>
      </c>
      <c r="I114" s="463">
        <v>20</v>
      </c>
      <c r="J114" s="408">
        <v>11</v>
      </c>
      <c r="K114" s="408">
        <v>11</v>
      </c>
      <c r="L114" s="408">
        <v>11</v>
      </c>
      <c r="M114" s="408">
        <v>11</v>
      </c>
      <c r="N114" s="393">
        <f xml:space="preserve"> ((X114 * Z114)/(1-AH114) * (((AD114 * (1-AH114)) / (AB114 * (1-AF114))) - 1)) / 100000</f>
        <v>156.41025641025624</v>
      </c>
      <c r="O114" s="461">
        <f t="shared" si="10"/>
        <v>156.41025641025624</v>
      </c>
      <c r="P114" s="461">
        <f t="shared" si="10"/>
        <v>156.41025641025624</v>
      </c>
      <c r="Q114" s="461">
        <f t="shared" si="10"/>
        <v>156.41025641025624</v>
      </c>
      <c r="R114" s="411"/>
      <c r="S114" s="411" t="s">
        <v>1046</v>
      </c>
      <c r="T114" s="411" t="s">
        <v>401</v>
      </c>
      <c r="U114" s="411" t="s">
        <v>400</v>
      </c>
      <c r="V114" s="421" t="s">
        <v>845</v>
      </c>
      <c r="W114" s="421" t="s">
        <v>303</v>
      </c>
      <c r="X114" s="426">
        <v>976</v>
      </c>
      <c r="Y114" s="421" t="s">
        <v>844</v>
      </c>
      <c r="Z114" s="428">
        <v>80000</v>
      </c>
      <c r="AA114" s="150" t="s">
        <v>390</v>
      </c>
      <c r="AB114" s="423">
        <v>0.8</v>
      </c>
      <c r="AC114" s="150" t="s">
        <v>299</v>
      </c>
      <c r="AD114" s="423">
        <v>0.95</v>
      </c>
      <c r="AE114" s="157" t="s">
        <v>398</v>
      </c>
      <c r="AF114" s="425">
        <v>6.4000000000000001E-2</v>
      </c>
      <c r="AG114" s="158" t="s">
        <v>397</v>
      </c>
      <c r="AH114" s="425">
        <v>6.4000000000000001E-2</v>
      </c>
      <c r="AI114" s="158"/>
      <c r="AJ114" s="158"/>
      <c r="AK114" s="158"/>
      <c r="AL114" s="158"/>
      <c r="AM114" s="158"/>
      <c r="AN114" s="158"/>
      <c r="AO114" s="158"/>
      <c r="AP114" s="158"/>
      <c r="AQ114" s="158"/>
      <c r="AR114" s="158"/>
      <c r="AS114" s="158"/>
      <c r="AT114" s="158"/>
      <c r="AV114" s="413"/>
      <c r="AW114" s="413"/>
      <c r="AX114" s="414"/>
      <c r="AY114" s="415"/>
      <c r="AZ114" s="416"/>
    </row>
    <row r="115" spans="1:52">
      <c r="A115" s="5" t="str">
        <f t="shared" si="8"/>
        <v>Res - MF PTA Rebates_High Speed Washer</v>
      </c>
      <c r="B115" s="407">
        <v>112</v>
      </c>
      <c r="C115" s="407" t="s">
        <v>722</v>
      </c>
      <c r="D115" s="407" t="s">
        <v>706</v>
      </c>
      <c r="E115" s="408" t="s">
        <v>237</v>
      </c>
      <c r="F115" s="408">
        <v>250</v>
      </c>
      <c r="G115" s="409">
        <v>0.88</v>
      </c>
      <c r="H115" s="470">
        <v>7</v>
      </c>
      <c r="I115" s="463">
        <v>7</v>
      </c>
      <c r="J115" s="408">
        <v>23</v>
      </c>
      <c r="K115" s="408">
        <v>23</v>
      </c>
      <c r="L115" s="408">
        <v>23</v>
      </c>
      <c r="M115" s="408">
        <v>23</v>
      </c>
      <c r="N115" s="208">
        <f>X115*Z115*AB115*AD115*AF115/AH115/100000*AJ115*AL115/F115</f>
        <v>3.6756720000000001</v>
      </c>
      <c r="O115" s="461">
        <f t="shared" si="10"/>
        <v>3.6756720000000001</v>
      </c>
      <c r="P115" s="461">
        <f t="shared" si="10"/>
        <v>3.6756720000000001</v>
      </c>
      <c r="Q115" s="461">
        <f t="shared" si="10"/>
        <v>3.6756720000000001</v>
      </c>
      <c r="R115" s="411"/>
      <c r="S115" s="411" t="s">
        <v>1046</v>
      </c>
      <c r="T115" s="411" t="s">
        <v>236</v>
      </c>
      <c r="U115" s="411" t="s">
        <v>235</v>
      </c>
      <c r="V115" s="158" t="s">
        <v>396</v>
      </c>
      <c r="W115" s="158" t="s">
        <v>234</v>
      </c>
      <c r="X115" s="158">
        <v>3.4</v>
      </c>
      <c r="Y115" s="158" t="s">
        <v>233</v>
      </c>
      <c r="Z115" s="158">
        <v>360</v>
      </c>
      <c r="AA115" s="150" t="s">
        <v>232</v>
      </c>
      <c r="AB115" s="424">
        <v>250</v>
      </c>
      <c r="AC115" s="150" t="s">
        <v>231</v>
      </c>
      <c r="AD115" s="429">
        <v>0.25</v>
      </c>
      <c r="AE115" s="150" t="s">
        <v>230</v>
      </c>
      <c r="AF115" s="424">
        <v>1200</v>
      </c>
      <c r="AG115" s="423" t="s">
        <v>229</v>
      </c>
      <c r="AH115" s="423">
        <v>0.6</v>
      </c>
      <c r="AI115" s="158" t="s">
        <v>228</v>
      </c>
      <c r="AJ115" s="423">
        <v>0.91</v>
      </c>
      <c r="AK115" s="158" t="s">
        <v>227</v>
      </c>
      <c r="AL115" s="429">
        <v>0.66</v>
      </c>
      <c r="AM115" s="158"/>
      <c r="AN115" s="158"/>
      <c r="AO115" s="158"/>
      <c r="AP115" s="158"/>
      <c r="AQ115" s="158"/>
      <c r="AR115" s="158"/>
      <c r="AS115" s="158"/>
      <c r="AT115" s="158"/>
      <c r="AV115" s="413"/>
      <c r="AW115" s="413"/>
      <c r="AX115" s="414"/>
      <c r="AY115" s="415"/>
      <c r="AZ115" s="416"/>
    </row>
    <row r="116" spans="1:52">
      <c r="A116" s="5" t="str">
        <f t="shared" si="8"/>
        <v>Res - MF PTA Rebates_Infrared Heater</v>
      </c>
      <c r="B116" s="407">
        <v>113</v>
      </c>
      <c r="C116" s="407" t="s">
        <v>722</v>
      </c>
      <c r="D116" s="407" t="s">
        <v>295</v>
      </c>
      <c r="E116" s="408" t="s">
        <v>240</v>
      </c>
      <c r="F116" s="408">
        <v>150</v>
      </c>
      <c r="G116" s="409">
        <v>0.88</v>
      </c>
      <c r="H116" s="470">
        <v>12</v>
      </c>
      <c r="I116" s="463">
        <v>12</v>
      </c>
      <c r="J116" s="408">
        <v>0</v>
      </c>
      <c r="K116" s="408">
        <v>0</v>
      </c>
      <c r="L116" s="408">
        <v>0</v>
      </c>
      <c r="M116" s="408">
        <v>0</v>
      </c>
      <c r="N116" s="208">
        <f>451/F116</f>
        <v>3.0066666666666668</v>
      </c>
      <c r="O116" s="461">
        <f t="shared" si="10"/>
        <v>3.0066666666666668</v>
      </c>
      <c r="P116" s="461">
        <f t="shared" si="10"/>
        <v>3.0066666666666668</v>
      </c>
      <c r="Q116" s="461">
        <f t="shared" si="10"/>
        <v>3.0066666666666668</v>
      </c>
      <c r="R116" s="411"/>
      <c r="S116" s="411" t="s">
        <v>1046</v>
      </c>
      <c r="T116" s="411" t="s">
        <v>294</v>
      </c>
      <c r="U116" s="411" t="s">
        <v>293</v>
      </c>
      <c r="V116" s="158" t="s">
        <v>291</v>
      </c>
      <c r="W116" s="158" t="s">
        <v>292</v>
      </c>
      <c r="X116" s="437">
        <v>150</v>
      </c>
      <c r="Y116" s="158"/>
      <c r="Z116" s="158"/>
      <c r="AA116" s="150"/>
      <c r="AB116" s="158"/>
      <c r="AC116" s="150"/>
      <c r="AD116" s="158"/>
      <c r="AE116" s="150"/>
      <c r="AF116" s="158"/>
      <c r="AG116" s="158"/>
      <c r="AH116" s="158"/>
      <c r="AI116" s="158"/>
      <c r="AJ116" s="158"/>
      <c r="AK116" s="158"/>
      <c r="AL116" s="158"/>
      <c r="AM116" s="158"/>
      <c r="AN116" s="158"/>
      <c r="AO116" s="158"/>
      <c r="AP116" s="158"/>
      <c r="AQ116" s="158"/>
      <c r="AR116" s="158"/>
      <c r="AS116" s="158"/>
      <c r="AT116" s="158"/>
      <c r="AV116" s="413"/>
      <c r="AW116" s="413"/>
      <c r="AX116" s="414"/>
      <c r="AY116" s="415"/>
      <c r="AZ116" s="416"/>
    </row>
    <row r="117" spans="1:52">
      <c r="A117" s="5" t="str">
        <f t="shared" si="8"/>
        <v>Res - MF PTA Rebates_Ozone Laundry</v>
      </c>
      <c r="B117" s="407">
        <v>114</v>
      </c>
      <c r="C117" s="407" t="s">
        <v>722</v>
      </c>
      <c r="D117" s="407" t="s">
        <v>287</v>
      </c>
      <c r="E117" s="408" t="s">
        <v>237</v>
      </c>
      <c r="F117" s="408">
        <v>250</v>
      </c>
      <c r="G117" s="409">
        <v>0.88</v>
      </c>
      <c r="H117" s="470">
        <v>10</v>
      </c>
      <c r="I117" s="463">
        <v>10</v>
      </c>
      <c r="J117" s="408">
        <v>18</v>
      </c>
      <c r="K117" s="408">
        <v>18</v>
      </c>
      <c r="L117" s="408">
        <v>18</v>
      </c>
      <c r="M117" s="408">
        <v>18</v>
      </c>
      <c r="N117" s="460">
        <f xml:space="preserve"> (X117 * Z117 * AB117 * AD117 * (AF117 - AH117) * 8.33 * 1 * AJ117) / (AL117 * 100000) * (AN117 - AP117)</f>
        <v>13.190532978680915</v>
      </c>
      <c r="O117" s="461">
        <f t="shared" si="10"/>
        <v>13.190532978680915</v>
      </c>
      <c r="P117" s="461">
        <f t="shared" si="10"/>
        <v>13.190532978680915</v>
      </c>
      <c r="Q117" s="461">
        <f t="shared" si="10"/>
        <v>13.190532978680915</v>
      </c>
      <c r="R117" s="411"/>
      <c r="S117" s="411" t="s">
        <v>1046</v>
      </c>
      <c r="T117" s="421" t="s">
        <v>982</v>
      </c>
      <c r="U117" s="411" t="s">
        <v>285</v>
      </c>
      <c r="V117" s="421" t="s">
        <v>1047</v>
      </c>
      <c r="W117" s="421" t="s">
        <v>1048</v>
      </c>
      <c r="X117" s="430">
        <v>1</v>
      </c>
      <c r="Y117" s="421" t="s">
        <v>273</v>
      </c>
      <c r="Z117" s="458">
        <v>4.96</v>
      </c>
      <c r="AA117" s="391" t="s">
        <v>1049</v>
      </c>
      <c r="AB117" s="457">
        <v>8.4</v>
      </c>
      <c r="AC117" s="391" t="s">
        <v>1050</v>
      </c>
      <c r="AD117" s="456">
        <v>0.1757</v>
      </c>
      <c r="AE117" s="391" t="s">
        <v>1051</v>
      </c>
      <c r="AF117" s="421">
        <v>125</v>
      </c>
      <c r="AG117" s="421" t="s">
        <v>1052</v>
      </c>
      <c r="AH117" s="457">
        <v>54.1</v>
      </c>
      <c r="AI117" s="421" t="s">
        <v>234</v>
      </c>
      <c r="AJ117" s="421">
        <v>264</v>
      </c>
      <c r="AK117" s="421" t="s">
        <v>461</v>
      </c>
      <c r="AL117" s="430">
        <v>0.67</v>
      </c>
      <c r="AM117" s="421" t="s">
        <v>1053</v>
      </c>
      <c r="AN117" s="459">
        <v>0.77429999999999999</v>
      </c>
      <c r="AO117" s="421" t="s">
        <v>1054</v>
      </c>
      <c r="AP117" s="457">
        <v>0</v>
      </c>
      <c r="AQ117" s="158"/>
      <c r="AR117" s="158"/>
      <c r="AS117" s="158"/>
      <c r="AT117" s="158"/>
      <c r="AV117" s="413"/>
      <c r="AW117" s="413"/>
      <c r="AX117" s="414"/>
      <c r="AY117" s="415"/>
      <c r="AZ117" s="416"/>
    </row>
    <row r="118" spans="1:52">
      <c r="A118" s="5" t="str">
        <f t="shared" si="8"/>
        <v>Res - MF PTA Rebates_Pipe Insulation - Hyd. Boiler Sm &lt;=1.25"</v>
      </c>
      <c r="B118" s="407">
        <v>115</v>
      </c>
      <c r="C118" s="407" t="s">
        <v>722</v>
      </c>
      <c r="D118" s="407" t="s">
        <v>221</v>
      </c>
      <c r="E118" s="408" t="s">
        <v>210</v>
      </c>
      <c r="F118" s="408">
        <v>75</v>
      </c>
      <c r="G118" s="409">
        <v>0.88</v>
      </c>
      <c r="H118" s="470">
        <v>15</v>
      </c>
      <c r="I118" s="463">
        <v>15</v>
      </c>
      <c r="J118" s="408">
        <v>53</v>
      </c>
      <c r="K118" s="408">
        <v>53</v>
      </c>
      <c r="L118" s="408">
        <v>53</v>
      </c>
      <c r="M118" s="408">
        <v>53</v>
      </c>
      <c r="N118" s="208">
        <f>'Pipe Insulation Detail'!$C$44</f>
        <v>2.3011493874643869</v>
      </c>
      <c r="O118" s="461">
        <f t="shared" si="10"/>
        <v>2.3011493874643869</v>
      </c>
      <c r="P118" s="461">
        <f t="shared" si="10"/>
        <v>2.3011493874643869</v>
      </c>
      <c r="Q118" s="461">
        <f t="shared" si="10"/>
        <v>2.3011493874643869</v>
      </c>
      <c r="R118" s="411"/>
      <c r="S118" s="411" t="s">
        <v>1046</v>
      </c>
      <c r="T118" s="411" t="s">
        <v>201</v>
      </c>
      <c r="U118" s="411" t="s">
        <v>200</v>
      </c>
      <c r="V118" s="439" t="s">
        <v>825</v>
      </c>
      <c r="W118" s="158"/>
      <c r="X118" s="158"/>
      <c r="Y118" s="158"/>
      <c r="Z118" s="158"/>
      <c r="AA118" s="150"/>
      <c r="AB118" s="158"/>
      <c r="AC118" s="150"/>
      <c r="AD118" s="158"/>
      <c r="AE118" s="150"/>
      <c r="AF118" s="158"/>
      <c r="AG118" s="158"/>
      <c r="AH118" s="158"/>
      <c r="AI118" s="158"/>
      <c r="AJ118" s="158"/>
      <c r="AK118" s="158"/>
      <c r="AL118" s="158"/>
      <c r="AM118" s="158"/>
      <c r="AN118" s="158"/>
      <c r="AO118" s="158"/>
      <c r="AP118" s="158"/>
      <c r="AQ118" s="158"/>
      <c r="AR118" s="158"/>
      <c r="AS118" s="158"/>
      <c r="AT118" s="158"/>
      <c r="AV118" s="413"/>
      <c r="AW118" s="413"/>
      <c r="AX118" s="414"/>
      <c r="AY118" s="415"/>
      <c r="AZ118" s="416"/>
    </row>
    <row r="119" spans="1:52">
      <c r="A119" s="5" t="str">
        <f t="shared" si="8"/>
        <v>Res - MF PTA Rebates_Pipe Insulation - Hyd. Boiler Med 1.25-2"</v>
      </c>
      <c r="B119" s="407">
        <v>116</v>
      </c>
      <c r="C119" s="407" t="s">
        <v>722</v>
      </c>
      <c r="D119" s="407" t="s">
        <v>220</v>
      </c>
      <c r="E119" s="408" t="s">
        <v>210</v>
      </c>
      <c r="F119" s="408">
        <v>75</v>
      </c>
      <c r="G119" s="409">
        <v>0.88</v>
      </c>
      <c r="H119" s="470">
        <v>15</v>
      </c>
      <c r="I119" s="463">
        <v>15</v>
      </c>
      <c r="J119" s="408">
        <v>60</v>
      </c>
      <c r="K119" s="408">
        <v>60</v>
      </c>
      <c r="L119" s="408">
        <v>60</v>
      </c>
      <c r="M119" s="408">
        <v>60</v>
      </c>
      <c r="N119" s="208">
        <f>'Pipe Insulation Detail'!$C$45</f>
        <v>3.6034773504273505</v>
      </c>
      <c r="O119" s="461">
        <f t="shared" si="10"/>
        <v>3.6034773504273505</v>
      </c>
      <c r="P119" s="461">
        <f t="shared" si="10"/>
        <v>3.6034773504273505</v>
      </c>
      <c r="Q119" s="461">
        <f t="shared" si="10"/>
        <v>3.6034773504273505</v>
      </c>
      <c r="R119" s="411"/>
      <c r="S119" s="411" t="s">
        <v>1046</v>
      </c>
      <c r="T119" s="411" t="s">
        <v>201</v>
      </c>
      <c r="U119" s="411" t="s">
        <v>200</v>
      </c>
      <c r="V119" s="439" t="s">
        <v>825</v>
      </c>
      <c r="W119" s="158"/>
      <c r="X119" s="158"/>
      <c r="Y119" s="158"/>
      <c r="Z119" s="158"/>
      <c r="AA119" s="150"/>
      <c r="AB119" s="158"/>
      <c r="AC119" s="150"/>
      <c r="AD119" s="158"/>
      <c r="AE119" s="150"/>
      <c r="AF119" s="158"/>
      <c r="AG119" s="158"/>
      <c r="AH119" s="158"/>
      <c r="AI119" s="158"/>
      <c r="AJ119" s="158"/>
      <c r="AK119" s="158"/>
      <c r="AL119" s="158"/>
      <c r="AM119" s="158"/>
      <c r="AN119" s="158"/>
      <c r="AO119" s="158"/>
      <c r="AP119" s="158"/>
      <c r="AQ119" s="158"/>
      <c r="AR119" s="158"/>
      <c r="AS119" s="158"/>
      <c r="AT119" s="158"/>
      <c r="AV119" s="413"/>
      <c r="AW119" s="413"/>
      <c r="AX119" s="414"/>
      <c r="AY119" s="415"/>
      <c r="AZ119" s="416"/>
    </row>
    <row r="120" spans="1:52">
      <c r="A120" s="5" t="str">
        <f t="shared" si="8"/>
        <v>Res - MF PTA Rebates_Pipe Insulation - Hyd. Boiler Large ≥2"</v>
      </c>
      <c r="B120" s="407">
        <v>117</v>
      </c>
      <c r="C120" s="407" t="s">
        <v>722</v>
      </c>
      <c r="D120" s="407" t="s">
        <v>720</v>
      </c>
      <c r="E120" s="408" t="s">
        <v>210</v>
      </c>
      <c r="F120" s="408">
        <v>75</v>
      </c>
      <c r="G120" s="409">
        <v>0.88</v>
      </c>
      <c r="H120" s="470">
        <v>15</v>
      </c>
      <c r="I120" s="463">
        <v>15</v>
      </c>
      <c r="J120" s="408">
        <v>32</v>
      </c>
      <c r="K120" s="408">
        <v>32</v>
      </c>
      <c r="L120" s="408">
        <v>32</v>
      </c>
      <c r="M120" s="408">
        <v>32</v>
      </c>
      <c r="N120" s="208">
        <f>'Pipe Insulation Detail'!$C$46</f>
        <v>6.1867824786324785</v>
      </c>
      <c r="O120" s="461">
        <f t="shared" si="10"/>
        <v>6.1867824786324785</v>
      </c>
      <c r="P120" s="461">
        <f t="shared" si="10"/>
        <v>6.1867824786324785</v>
      </c>
      <c r="Q120" s="461">
        <f t="shared" si="10"/>
        <v>6.1867824786324785</v>
      </c>
      <c r="R120" s="411"/>
      <c r="S120" s="411" t="s">
        <v>1046</v>
      </c>
      <c r="T120" s="411" t="s">
        <v>201</v>
      </c>
      <c r="U120" s="411" t="s">
        <v>200</v>
      </c>
      <c r="V120" s="439" t="s">
        <v>825</v>
      </c>
      <c r="W120" s="158"/>
      <c r="X120" s="158"/>
      <c r="Y120" s="158"/>
      <c r="Z120" s="158"/>
      <c r="AA120" s="150"/>
      <c r="AB120" s="158"/>
      <c r="AC120" s="150"/>
      <c r="AD120" s="158"/>
      <c r="AE120" s="150"/>
      <c r="AF120" s="158"/>
      <c r="AG120" s="158"/>
      <c r="AH120" s="158"/>
      <c r="AI120" s="158"/>
      <c r="AJ120" s="158"/>
      <c r="AK120" s="158"/>
      <c r="AL120" s="158"/>
      <c r="AM120" s="158"/>
      <c r="AN120" s="158"/>
      <c r="AO120" s="158"/>
      <c r="AP120" s="158"/>
      <c r="AQ120" s="158"/>
      <c r="AR120" s="158"/>
      <c r="AS120" s="158"/>
      <c r="AT120" s="158"/>
      <c r="AV120" s="413"/>
      <c r="AW120" s="413"/>
      <c r="AX120" s="414"/>
      <c r="AY120" s="415"/>
      <c r="AZ120" s="416"/>
    </row>
    <row r="121" spans="1:52">
      <c r="A121" s="5" t="str">
        <f t="shared" si="8"/>
        <v>Res - MF PTA Rebates_Pipe Insulation - HW Small 1" to 2"</v>
      </c>
      <c r="B121" s="407">
        <v>118</v>
      </c>
      <c r="C121" s="407" t="s">
        <v>722</v>
      </c>
      <c r="D121" s="407" t="s">
        <v>217</v>
      </c>
      <c r="E121" s="408" t="s">
        <v>210</v>
      </c>
      <c r="F121" s="408">
        <v>75</v>
      </c>
      <c r="G121" s="409">
        <v>0.88</v>
      </c>
      <c r="H121" s="470">
        <v>15</v>
      </c>
      <c r="I121" s="463">
        <v>15</v>
      </c>
      <c r="J121" s="408">
        <v>9</v>
      </c>
      <c r="K121" s="408">
        <v>9</v>
      </c>
      <c r="L121" s="408">
        <v>9</v>
      </c>
      <c r="M121" s="408">
        <v>9</v>
      </c>
      <c r="N121" s="208">
        <f>'Pipe Insulation Detail'!$C$47</f>
        <v>3.1358228800964363</v>
      </c>
      <c r="O121" s="461">
        <f t="shared" si="10"/>
        <v>3.1358228800964363</v>
      </c>
      <c r="P121" s="461">
        <f t="shared" si="10"/>
        <v>3.1358228800964363</v>
      </c>
      <c r="Q121" s="461">
        <f t="shared" si="10"/>
        <v>3.1358228800964363</v>
      </c>
      <c r="R121" s="411"/>
      <c r="S121" s="411" t="s">
        <v>1046</v>
      </c>
      <c r="T121" s="411" t="s">
        <v>201</v>
      </c>
      <c r="U121" s="411" t="s">
        <v>200</v>
      </c>
      <c r="V121" s="439" t="s">
        <v>825</v>
      </c>
      <c r="W121" s="158"/>
      <c r="X121" s="158"/>
      <c r="Y121" s="158"/>
      <c r="Z121" s="158"/>
      <c r="AA121" s="150"/>
      <c r="AB121" s="158"/>
      <c r="AC121" s="150"/>
      <c r="AD121" s="158"/>
      <c r="AE121" s="150"/>
      <c r="AF121" s="158"/>
      <c r="AG121" s="158"/>
      <c r="AH121" s="158"/>
      <c r="AI121" s="158"/>
      <c r="AJ121" s="158"/>
      <c r="AK121" s="158"/>
      <c r="AL121" s="158"/>
      <c r="AM121" s="158"/>
      <c r="AN121" s="158"/>
      <c r="AO121" s="158"/>
      <c r="AP121" s="158"/>
      <c r="AQ121" s="158"/>
      <c r="AR121" s="158"/>
      <c r="AS121" s="158"/>
      <c r="AT121" s="158"/>
      <c r="AV121" s="413"/>
      <c r="AW121" s="413"/>
      <c r="AX121" s="414"/>
      <c r="AY121" s="415"/>
      <c r="AZ121" s="416"/>
    </row>
    <row r="122" spans="1:52">
      <c r="A122" s="5" t="str">
        <f t="shared" si="8"/>
        <v>Res - MF PTA Rebates_Pipe Insulation - HW Medium 2.1" to 4"</v>
      </c>
      <c r="B122" s="407">
        <v>119</v>
      </c>
      <c r="C122" s="407" t="s">
        <v>722</v>
      </c>
      <c r="D122" s="407" t="s">
        <v>216</v>
      </c>
      <c r="E122" s="408" t="s">
        <v>210</v>
      </c>
      <c r="F122" s="408">
        <v>75</v>
      </c>
      <c r="G122" s="409">
        <v>0.88</v>
      </c>
      <c r="H122" s="470">
        <v>15</v>
      </c>
      <c r="I122" s="463">
        <v>15</v>
      </c>
      <c r="J122" s="408">
        <v>10</v>
      </c>
      <c r="K122" s="408">
        <v>10</v>
      </c>
      <c r="L122" s="408">
        <v>10</v>
      </c>
      <c r="M122" s="408">
        <v>10</v>
      </c>
      <c r="N122" s="208">
        <f>'Pipe Insulation Detail'!$C$48</f>
        <v>6.1942373572810965</v>
      </c>
      <c r="O122" s="461">
        <f t="shared" si="10"/>
        <v>6.1942373572810965</v>
      </c>
      <c r="P122" s="461">
        <f t="shared" si="10"/>
        <v>6.1942373572810965</v>
      </c>
      <c r="Q122" s="461">
        <f t="shared" si="10"/>
        <v>6.1942373572810965</v>
      </c>
      <c r="R122" s="411"/>
      <c r="S122" s="411" t="s">
        <v>1046</v>
      </c>
      <c r="T122" s="411" t="s">
        <v>201</v>
      </c>
      <c r="U122" s="411" t="s">
        <v>200</v>
      </c>
      <c r="V122" s="439" t="s">
        <v>825</v>
      </c>
      <c r="W122" s="158"/>
      <c r="X122" s="158"/>
      <c r="Y122" s="158"/>
      <c r="Z122" s="158"/>
      <c r="AA122" s="150"/>
      <c r="AB122" s="158"/>
      <c r="AC122" s="150"/>
      <c r="AD122" s="158"/>
      <c r="AE122" s="150"/>
      <c r="AF122" s="158"/>
      <c r="AG122" s="158"/>
      <c r="AH122" s="158"/>
      <c r="AI122" s="158"/>
      <c r="AJ122" s="158"/>
      <c r="AK122" s="158"/>
      <c r="AL122" s="158"/>
      <c r="AM122" s="158"/>
      <c r="AN122" s="158"/>
      <c r="AO122" s="158"/>
      <c r="AP122" s="158"/>
      <c r="AQ122" s="158"/>
      <c r="AR122" s="158"/>
      <c r="AS122" s="158"/>
      <c r="AT122" s="158"/>
      <c r="AV122" s="413"/>
      <c r="AW122" s="413"/>
      <c r="AX122" s="414"/>
      <c r="AY122" s="415"/>
      <c r="AZ122" s="416"/>
    </row>
    <row r="123" spans="1:52">
      <c r="A123" s="5" t="str">
        <f t="shared" si="8"/>
        <v>Res - MF PTA Rebates_Pipe Insulation - HW Large &gt;4"</v>
      </c>
      <c r="B123" s="407">
        <v>120</v>
      </c>
      <c r="C123" s="407" t="s">
        <v>722</v>
      </c>
      <c r="D123" s="407" t="s">
        <v>215</v>
      </c>
      <c r="E123" s="408" t="s">
        <v>210</v>
      </c>
      <c r="F123" s="408">
        <v>75</v>
      </c>
      <c r="G123" s="409">
        <v>0.88</v>
      </c>
      <c r="H123" s="470">
        <v>15</v>
      </c>
      <c r="I123" s="463">
        <v>15</v>
      </c>
      <c r="J123" s="408">
        <v>4</v>
      </c>
      <c r="K123" s="408">
        <v>4</v>
      </c>
      <c r="L123" s="408">
        <v>4</v>
      </c>
      <c r="M123" s="408">
        <v>4</v>
      </c>
      <c r="N123" s="208">
        <f>'Pipe Insulation Detail'!$C$49</f>
        <v>10.672873287490331</v>
      </c>
      <c r="O123" s="461">
        <f t="shared" si="10"/>
        <v>10.672873287490331</v>
      </c>
      <c r="P123" s="461">
        <f t="shared" si="10"/>
        <v>10.672873287490331</v>
      </c>
      <c r="Q123" s="461">
        <f t="shared" si="10"/>
        <v>10.672873287490331</v>
      </c>
      <c r="R123" s="411"/>
      <c r="S123" s="411" t="s">
        <v>1046</v>
      </c>
      <c r="T123" s="411" t="s">
        <v>201</v>
      </c>
      <c r="U123" s="411" t="s">
        <v>200</v>
      </c>
      <c r="V123" s="439" t="s">
        <v>825</v>
      </c>
      <c r="W123" s="158"/>
      <c r="X123" s="158"/>
      <c r="Y123" s="158"/>
      <c r="Z123" s="158"/>
      <c r="AA123" s="150"/>
      <c r="AB123" s="158"/>
      <c r="AC123" s="150"/>
      <c r="AD123" s="158"/>
      <c r="AE123" s="150"/>
      <c r="AF123" s="158"/>
      <c r="AG123" s="158"/>
      <c r="AH123" s="158"/>
      <c r="AI123" s="158"/>
      <c r="AJ123" s="158"/>
      <c r="AK123" s="158"/>
      <c r="AL123" s="158"/>
      <c r="AM123" s="158"/>
      <c r="AN123" s="158"/>
      <c r="AO123" s="158"/>
      <c r="AP123" s="158"/>
      <c r="AQ123" s="158"/>
      <c r="AR123" s="158"/>
      <c r="AS123" s="158"/>
      <c r="AT123" s="158"/>
      <c r="AV123" s="413"/>
      <c r="AW123" s="413"/>
      <c r="AX123" s="414"/>
      <c r="AY123" s="415"/>
      <c r="AZ123" s="416"/>
    </row>
    <row r="124" spans="1:52">
      <c r="A124" s="5" t="str">
        <f t="shared" si="8"/>
        <v>Res - MF PTA Rebates_Pipe Insulation - Steam - Small 1" to 2"</v>
      </c>
      <c r="B124" s="407">
        <v>121</v>
      </c>
      <c r="C124" s="407" t="s">
        <v>722</v>
      </c>
      <c r="D124" s="407" t="s">
        <v>214</v>
      </c>
      <c r="E124" s="408" t="s">
        <v>210</v>
      </c>
      <c r="F124" s="408">
        <v>75</v>
      </c>
      <c r="G124" s="409">
        <v>0.88</v>
      </c>
      <c r="H124" s="470">
        <v>15</v>
      </c>
      <c r="I124" s="463">
        <v>15</v>
      </c>
      <c r="J124" s="408">
        <v>330</v>
      </c>
      <c r="K124" s="408">
        <v>330</v>
      </c>
      <c r="L124" s="408">
        <v>330</v>
      </c>
      <c r="M124" s="408">
        <v>330</v>
      </c>
      <c r="N124" s="208">
        <f>'Pipe Insulation Detail'!$C$50</f>
        <v>3.967097058288509</v>
      </c>
      <c r="O124" s="461">
        <f t="shared" ref="O124:Q143" si="11">N124</f>
        <v>3.967097058288509</v>
      </c>
      <c r="P124" s="461">
        <f t="shared" si="11"/>
        <v>3.967097058288509</v>
      </c>
      <c r="Q124" s="461">
        <f t="shared" si="11"/>
        <v>3.967097058288509</v>
      </c>
      <c r="R124" s="411"/>
      <c r="S124" s="411" t="s">
        <v>1046</v>
      </c>
      <c r="T124" s="411" t="s">
        <v>201</v>
      </c>
      <c r="U124" s="411" t="s">
        <v>200</v>
      </c>
      <c r="V124" s="439" t="s">
        <v>825</v>
      </c>
      <c r="W124" s="158"/>
      <c r="X124" s="158"/>
      <c r="Y124" s="158"/>
      <c r="Z124" s="158"/>
      <c r="AA124" s="150"/>
      <c r="AB124" s="158"/>
      <c r="AC124" s="150"/>
      <c r="AD124" s="158"/>
      <c r="AE124" s="150"/>
      <c r="AF124" s="158"/>
      <c r="AG124" s="158"/>
      <c r="AH124" s="158"/>
      <c r="AI124" s="158"/>
      <c r="AJ124" s="158"/>
      <c r="AK124" s="158"/>
      <c r="AL124" s="158"/>
      <c r="AM124" s="158"/>
      <c r="AN124" s="158"/>
      <c r="AO124" s="158"/>
      <c r="AP124" s="158"/>
      <c r="AQ124" s="158"/>
      <c r="AR124" s="158"/>
      <c r="AS124" s="158"/>
      <c r="AT124" s="158"/>
      <c r="AV124" s="413"/>
      <c r="AW124" s="413"/>
      <c r="AX124" s="414"/>
      <c r="AY124" s="415"/>
      <c r="AZ124" s="416"/>
    </row>
    <row r="125" spans="1:52">
      <c r="A125" s="5" t="str">
        <f t="shared" si="8"/>
        <v>Res - MF PTA Rebates_Pipe Insulation - Steam - Med 2.1" to 5"</v>
      </c>
      <c r="B125" s="407">
        <v>122</v>
      </c>
      <c r="C125" s="407" t="s">
        <v>722</v>
      </c>
      <c r="D125" s="407" t="s">
        <v>213</v>
      </c>
      <c r="E125" s="408" t="s">
        <v>210</v>
      </c>
      <c r="F125" s="408">
        <v>75</v>
      </c>
      <c r="G125" s="409">
        <v>0.88</v>
      </c>
      <c r="H125" s="470">
        <v>15</v>
      </c>
      <c r="I125" s="463">
        <v>15</v>
      </c>
      <c r="J125" s="408">
        <v>472</v>
      </c>
      <c r="K125" s="408">
        <v>472</v>
      </c>
      <c r="L125" s="408">
        <v>472</v>
      </c>
      <c r="M125" s="408">
        <v>472</v>
      </c>
      <c r="N125" s="208">
        <f>'Pipe Insulation Detail'!$C$51</f>
        <v>13.577404706790121</v>
      </c>
      <c r="O125" s="461">
        <f t="shared" si="11"/>
        <v>13.577404706790121</v>
      </c>
      <c r="P125" s="461">
        <f t="shared" si="11"/>
        <v>13.577404706790121</v>
      </c>
      <c r="Q125" s="461">
        <f t="shared" si="11"/>
        <v>13.577404706790121</v>
      </c>
      <c r="R125" s="411"/>
      <c r="S125" s="411" t="s">
        <v>1046</v>
      </c>
      <c r="T125" s="411" t="s">
        <v>201</v>
      </c>
      <c r="U125" s="411" t="s">
        <v>200</v>
      </c>
      <c r="V125" s="439" t="s">
        <v>825</v>
      </c>
      <c r="W125" s="158"/>
      <c r="X125" s="158"/>
      <c r="Y125" s="158"/>
      <c r="Z125" s="158"/>
      <c r="AA125" s="150"/>
      <c r="AB125" s="158"/>
      <c r="AC125" s="150"/>
      <c r="AD125" s="158"/>
      <c r="AE125" s="150"/>
      <c r="AF125" s="158"/>
      <c r="AG125" s="158"/>
      <c r="AH125" s="158"/>
      <c r="AI125" s="158"/>
      <c r="AJ125" s="158"/>
      <c r="AK125" s="158"/>
      <c r="AL125" s="158"/>
      <c r="AM125" s="158"/>
      <c r="AN125" s="158"/>
      <c r="AO125" s="158"/>
      <c r="AP125" s="158"/>
      <c r="AQ125" s="158"/>
      <c r="AR125" s="158"/>
      <c r="AS125" s="158"/>
      <c r="AT125" s="158"/>
      <c r="AV125" s="413"/>
      <c r="AW125" s="413"/>
      <c r="AX125" s="414"/>
      <c r="AY125" s="415"/>
      <c r="AZ125" s="416"/>
    </row>
    <row r="126" spans="1:52">
      <c r="A126" s="5" t="str">
        <f t="shared" si="8"/>
        <v>Res - MF PTA Rebates_Pipe Insulation - Steam - Large 5.1" to 8"</v>
      </c>
      <c r="B126" s="407">
        <v>123</v>
      </c>
      <c r="C126" s="407" t="s">
        <v>722</v>
      </c>
      <c r="D126" s="407" t="s">
        <v>212</v>
      </c>
      <c r="E126" s="408" t="s">
        <v>210</v>
      </c>
      <c r="F126" s="408">
        <v>75</v>
      </c>
      <c r="G126" s="409">
        <v>0.88</v>
      </c>
      <c r="H126" s="470">
        <v>15</v>
      </c>
      <c r="I126" s="463">
        <v>15</v>
      </c>
      <c r="J126" s="408">
        <v>259</v>
      </c>
      <c r="K126" s="408">
        <v>259</v>
      </c>
      <c r="L126" s="408">
        <v>259</v>
      </c>
      <c r="M126" s="408">
        <v>259</v>
      </c>
      <c r="N126" s="208">
        <f>'Pipe Insulation Detail'!$C$52</f>
        <v>30.207245887345675</v>
      </c>
      <c r="O126" s="461">
        <f t="shared" si="11"/>
        <v>30.207245887345675</v>
      </c>
      <c r="P126" s="461">
        <f t="shared" si="11"/>
        <v>30.207245887345675</v>
      </c>
      <c r="Q126" s="461">
        <f t="shared" si="11"/>
        <v>30.207245887345675</v>
      </c>
      <c r="R126" s="411"/>
      <c r="S126" s="411" t="s">
        <v>1046</v>
      </c>
      <c r="T126" s="411" t="s">
        <v>201</v>
      </c>
      <c r="U126" s="411" t="s">
        <v>200</v>
      </c>
      <c r="V126" s="439" t="s">
        <v>825</v>
      </c>
      <c r="W126" s="158"/>
      <c r="X126" s="158"/>
      <c r="Y126" s="158"/>
      <c r="Z126" s="158"/>
      <c r="AA126" s="150"/>
      <c r="AB126" s="158"/>
      <c r="AC126" s="150"/>
      <c r="AD126" s="158"/>
      <c r="AE126" s="150"/>
      <c r="AF126" s="158"/>
      <c r="AG126" s="158"/>
      <c r="AH126" s="158"/>
      <c r="AI126" s="158"/>
      <c r="AJ126" s="158"/>
      <c r="AK126" s="158"/>
      <c r="AL126" s="158"/>
      <c r="AM126" s="158"/>
      <c r="AN126" s="158"/>
      <c r="AO126" s="158"/>
      <c r="AP126" s="158"/>
      <c r="AQ126" s="158"/>
      <c r="AR126" s="158"/>
      <c r="AS126" s="158"/>
      <c r="AT126" s="158"/>
      <c r="AV126" s="413"/>
      <c r="AW126" s="413"/>
      <c r="AX126" s="414"/>
      <c r="AY126" s="415"/>
      <c r="AZ126" s="416"/>
    </row>
    <row r="127" spans="1:52">
      <c r="A127" s="5" t="str">
        <f t="shared" si="8"/>
        <v>Res - MF PTA Rebates_Pipe Insulation - Steam - X-Large &gt;8"</v>
      </c>
      <c r="B127" s="407">
        <v>124</v>
      </c>
      <c r="C127" s="407" t="s">
        <v>722</v>
      </c>
      <c r="D127" s="407" t="s">
        <v>211</v>
      </c>
      <c r="E127" s="408" t="s">
        <v>210</v>
      </c>
      <c r="F127" s="408">
        <v>75</v>
      </c>
      <c r="G127" s="409">
        <v>0.88</v>
      </c>
      <c r="H127" s="470">
        <v>15</v>
      </c>
      <c r="I127" s="463">
        <v>15</v>
      </c>
      <c r="J127" s="408">
        <v>71</v>
      </c>
      <c r="K127" s="408">
        <v>71</v>
      </c>
      <c r="L127" s="408">
        <v>71</v>
      </c>
      <c r="M127" s="408">
        <v>71</v>
      </c>
      <c r="N127" s="208">
        <f>'Pipe Insulation Detail'!$C$53</f>
        <v>44.814401171573145</v>
      </c>
      <c r="O127" s="461">
        <f t="shared" si="11"/>
        <v>44.814401171573145</v>
      </c>
      <c r="P127" s="461">
        <f t="shared" si="11"/>
        <v>44.814401171573145</v>
      </c>
      <c r="Q127" s="461">
        <f t="shared" si="11"/>
        <v>44.814401171573145</v>
      </c>
      <c r="R127" s="411"/>
      <c r="S127" s="411" t="s">
        <v>1046</v>
      </c>
      <c r="T127" s="411" t="s">
        <v>201</v>
      </c>
      <c r="U127" s="411" t="s">
        <v>200</v>
      </c>
      <c r="V127" s="439" t="s">
        <v>825</v>
      </c>
      <c r="W127" s="158"/>
      <c r="X127" s="158"/>
      <c r="Y127" s="158"/>
      <c r="Z127" s="158"/>
      <c r="AA127" s="150"/>
      <c r="AB127" s="158"/>
      <c r="AC127" s="150"/>
      <c r="AD127" s="158"/>
      <c r="AE127" s="150"/>
      <c r="AF127" s="158"/>
      <c r="AG127" s="158"/>
      <c r="AH127" s="158"/>
      <c r="AI127" s="158"/>
      <c r="AJ127" s="158"/>
      <c r="AK127" s="158"/>
      <c r="AL127" s="158"/>
      <c r="AM127" s="158"/>
      <c r="AN127" s="158"/>
      <c r="AO127" s="158"/>
      <c r="AP127" s="158"/>
      <c r="AQ127" s="158"/>
      <c r="AR127" s="158"/>
      <c r="AS127" s="158"/>
      <c r="AT127" s="158"/>
      <c r="AV127" s="413"/>
      <c r="AW127" s="413"/>
      <c r="AX127" s="414"/>
      <c r="AY127" s="415"/>
      <c r="AZ127" s="416"/>
    </row>
    <row r="128" spans="1:52">
      <c r="A128" s="5" t="str">
        <f t="shared" si="8"/>
        <v>Res - MF PTA Rebates_Pipe Insulation - Steam Med Fitting</v>
      </c>
      <c r="B128" s="407">
        <v>125</v>
      </c>
      <c r="C128" s="407" t="s">
        <v>722</v>
      </c>
      <c r="D128" s="407" t="s">
        <v>208</v>
      </c>
      <c r="E128" s="408" t="s">
        <v>150</v>
      </c>
      <c r="F128" s="408">
        <v>1</v>
      </c>
      <c r="G128" s="409">
        <v>0.88</v>
      </c>
      <c r="H128" s="470">
        <v>15</v>
      </c>
      <c r="I128" s="463">
        <v>15</v>
      </c>
      <c r="J128" s="408">
        <v>462</v>
      </c>
      <c r="K128" s="408">
        <v>462</v>
      </c>
      <c r="L128" s="408">
        <v>462</v>
      </c>
      <c r="M128" s="408">
        <v>462</v>
      </c>
      <c r="N128" s="208">
        <f>'Pipe Insulation Detail'!$C$55</f>
        <v>15.586033402860688</v>
      </c>
      <c r="O128" s="461">
        <f t="shared" si="11"/>
        <v>15.586033402860688</v>
      </c>
      <c r="P128" s="461">
        <f t="shared" si="11"/>
        <v>15.586033402860688</v>
      </c>
      <c r="Q128" s="461">
        <f t="shared" si="11"/>
        <v>15.586033402860688</v>
      </c>
      <c r="R128" s="411"/>
      <c r="S128" s="411" t="s">
        <v>1046</v>
      </c>
      <c r="T128" s="411" t="s">
        <v>201</v>
      </c>
      <c r="U128" s="411" t="s">
        <v>200</v>
      </c>
      <c r="V128" s="439" t="s">
        <v>825</v>
      </c>
      <c r="W128" s="158"/>
      <c r="X128" s="158"/>
      <c r="Y128" s="158"/>
      <c r="Z128" s="158"/>
      <c r="AA128" s="150"/>
      <c r="AB128" s="158"/>
      <c r="AC128" s="150"/>
      <c r="AD128" s="158"/>
      <c r="AE128" s="150"/>
      <c r="AF128" s="158"/>
      <c r="AG128" s="158"/>
      <c r="AH128" s="158"/>
      <c r="AI128" s="158"/>
      <c r="AJ128" s="158"/>
      <c r="AK128" s="158"/>
      <c r="AL128" s="158"/>
      <c r="AM128" s="158"/>
      <c r="AN128" s="158"/>
      <c r="AO128" s="158"/>
      <c r="AP128" s="158"/>
      <c r="AQ128" s="158"/>
      <c r="AR128" s="158"/>
      <c r="AS128" s="158"/>
      <c r="AT128" s="158"/>
      <c r="AV128" s="413"/>
      <c r="AW128" s="413"/>
      <c r="AX128" s="414"/>
      <c r="AY128" s="415"/>
      <c r="AZ128" s="416"/>
    </row>
    <row r="129" spans="1:52">
      <c r="A129" s="5" t="str">
        <f t="shared" si="8"/>
        <v>Res - MF PTA Rebates_Pipe Insulation - Steam Large Fitting</v>
      </c>
      <c r="B129" s="407">
        <v>126</v>
      </c>
      <c r="C129" s="407" t="s">
        <v>722</v>
      </c>
      <c r="D129" s="407" t="s">
        <v>207</v>
      </c>
      <c r="E129" s="408" t="s">
        <v>150</v>
      </c>
      <c r="F129" s="408">
        <v>1</v>
      </c>
      <c r="G129" s="409">
        <v>0.88</v>
      </c>
      <c r="H129" s="470">
        <v>15</v>
      </c>
      <c r="I129" s="463">
        <v>15</v>
      </c>
      <c r="J129" s="408">
        <v>249</v>
      </c>
      <c r="K129" s="408">
        <v>249</v>
      </c>
      <c r="L129" s="408">
        <v>249</v>
      </c>
      <c r="M129" s="408">
        <v>249</v>
      </c>
      <c r="N129" s="208">
        <f>'Pipe Insulation Detail'!$C$56</f>
        <v>63.824627950912159</v>
      </c>
      <c r="O129" s="461">
        <f t="shared" si="11"/>
        <v>63.824627950912159</v>
      </c>
      <c r="P129" s="461">
        <f t="shared" si="11"/>
        <v>63.824627950912159</v>
      </c>
      <c r="Q129" s="461">
        <f t="shared" si="11"/>
        <v>63.824627950912159</v>
      </c>
      <c r="R129" s="411"/>
      <c r="S129" s="411" t="s">
        <v>1046</v>
      </c>
      <c r="T129" s="411" t="s">
        <v>201</v>
      </c>
      <c r="U129" s="411" t="s">
        <v>200</v>
      </c>
      <c r="V129" s="439" t="s">
        <v>825</v>
      </c>
      <c r="W129" s="158"/>
      <c r="X129" s="158"/>
      <c r="Y129" s="158"/>
      <c r="Z129" s="158"/>
      <c r="AA129" s="150"/>
      <c r="AB129" s="158"/>
      <c r="AC129" s="150"/>
      <c r="AD129" s="158"/>
      <c r="AE129" s="150"/>
      <c r="AF129" s="158"/>
      <c r="AG129" s="158"/>
      <c r="AH129" s="158"/>
      <c r="AI129" s="158"/>
      <c r="AJ129" s="158"/>
      <c r="AK129" s="158"/>
      <c r="AL129" s="158"/>
      <c r="AM129" s="158"/>
      <c r="AN129" s="158"/>
      <c r="AO129" s="158"/>
      <c r="AP129" s="158"/>
      <c r="AQ129" s="158"/>
      <c r="AR129" s="158"/>
      <c r="AS129" s="158"/>
      <c r="AT129" s="158"/>
      <c r="AV129" s="413"/>
      <c r="AW129" s="413"/>
      <c r="AX129" s="414"/>
      <c r="AY129" s="415"/>
      <c r="AZ129" s="416"/>
    </row>
    <row r="130" spans="1:52">
      <c r="A130" s="5" t="str">
        <f t="shared" si="8"/>
        <v>Res - MF PTA Rebates_Pipe Insulation - Steam X-Large Fitting</v>
      </c>
      <c r="B130" s="407">
        <v>127</v>
      </c>
      <c r="C130" s="407" t="s">
        <v>722</v>
      </c>
      <c r="D130" s="407" t="s">
        <v>206</v>
      </c>
      <c r="E130" s="408" t="s">
        <v>150</v>
      </c>
      <c r="F130" s="408">
        <v>1</v>
      </c>
      <c r="G130" s="409">
        <v>0.88</v>
      </c>
      <c r="H130" s="470">
        <v>15</v>
      </c>
      <c r="I130" s="463">
        <v>15</v>
      </c>
      <c r="J130" s="408">
        <v>18</v>
      </c>
      <c r="K130" s="408">
        <v>18</v>
      </c>
      <c r="L130" s="408">
        <v>18</v>
      </c>
      <c r="M130" s="408">
        <v>18</v>
      </c>
      <c r="N130" s="208">
        <f>'Pipe Insulation Detail'!$C$57</f>
        <v>123.46367522768401</v>
      </c>
      <c r="O130" s="461">
        <f t="shared" si="11"/>
        <v>123.46367522768401</v>
      </c>
      <c r="P130" s="461">
        <f t="shared" si="11"/>
        <v>123.46367522768401</v>
      </c>
      <c r="Q130" s="461">
        <f t="shared" si="11"/>
        <v>123.46367522768401</v>
      </c>
      <c r="R130" s="411"/>
      <c r="S130" s="411" t="s">
        <v>1046</v>
      </c>
      <c r="T130" s="411" t="s">
        <v>201</v>
      </c>
      <c r="U130" s="411" t="s">
        <v>200</v>
      </c>
      <c r="V130" s="439" t="s">
        <v>825</v>
      </c>
      <c r="W130" s="158"/>
      <c r="X130" s="158"/>
      <c r="Y130" s="158"/>
      <c r="Z130" s="158"/>
      <c r="AA130" s="150"/>
      <c r="AB130" s="158"/>
      <c r="AC130" s="150"/>
      <c r="AD130" s="158"/>
      <c r="AE130" s="150"/>
      <c r="AF130" s="158"/>
      <c r="AG130" s="158"/>
      <c r="AH130" s="158"/>
      <c r="AI130" s="158"/>
      <c r="AJ130" s="158"/>
      <c r="AK130" s="158"/>
      <c r="AL130" s="158"/>
      <c r="AM130" s="158"/>
      <c r="AN130" s="158"/>
      <c r="AO130" s="158"/>
      <c r="AP130" s="158"/>
      <c r="AQ130" s="158"/>
      <c r="AR130" s="158"/>
      <c r="AS130" s="158"/>
      <c r="AT130" s="158"/>
      <c r="AV130" s="413"/>
      <c r="AW130" s="413"/>
      <c r="AX130" s="414"/>
      <c r="AY130" s="415"/>
      <c r="AZ130" s="416"/>
    </row>
    <row r="131" spans="1:52">
      <c r="A131" s="5" t="str">
        <f t="shared" si="8"/>
        <v>Res - MF PTA Rebates_Pipe Insulation - Steam Med Valve</v>
      </c>
      <c r="B131" s="407">
        <v>128</v>
      </c>
      <c r="C131" s="407" t="s">
        <v>722</v>
      </c>
      <c r="D131" s="407" t="s">
        <v>204</v>
      </c>
      <c r="E131" s="408" t="s">
        <v>150</v>
      </c>
      <c r="F131" s="408">
        <v>1</v>
      </c>
      <c r="G131" s="409">
        <v>0.88</v>
      </c>
      <c r="H131" s="470">
        <v>15</v>
      </c>
      <c r="I131" s="463">
        <v>15</v>
      </c>
      <c r="J131" s="408">
        <v>18</v>
      </c>
      <c r="K131" s="408">
        <v>18</v>
      </c>
      <c r="L131" s="408">
        <v>18</v>
      </c>
      <c r="M131" s="408">
        <v>18</v>
      </c>
      <c r="N131" s="208">
        <f>'Pipe Insulation Detail'!$C$59</f>
        <v>46.605980670745772</v>
      </c>
      <c r="O131" s="461">
        <f t="shared" si="11"/>
        <v>46.605980670745772</v>
      </c>
      <c r="P131" s="461">
        <f t="shared" si="11"/>
        <v>46.605980670745772</v>
      </c>
      <c r="Q131" s="461">
        <f t="shared" si="11"/>
        <v>46.605980670745772</v>
      </c>
      <c r="R131" s="411"/>
      <c r="S131" s="411" t="s">
        <v>1046</v>
      </c>
      <c r="T131" s="411" t="s">
        <v>201</v>
      </c>
      <c r="U131" s="411" t="s">
        <v>200</v>
      </c>
      <c r="V131" s="439" t="s">
        <v>825</v>
      </c>
      <c r="W131" s="158"/>
      <c r="X131" s="158"/>
      <c r="Y131" s="158"/>
      <c r="Z131" s="158"/>
      <c r="AA131" s="150"/>
      <c r="AB131" s="158"/>
      <c r="AC131" s="150"/>
      <c r="AD131" s="158"/>
      <c r="AE131" s="150"/>
      <c r="AF131" s="158"/>
      <c r="AG131" s="158"/>
      <c r="AH131" s="158"/>
      <c r="AI131" s="158"/>
      <c r="AJ131" s="158"/>
      <c r="AK131" s="158"/>
      <c r="AL131" s="158"/>
      <c r="AM131" s="158"/>
      <c r="AN131" s="158"/>
      <c r="AO131" s="158"/>
      <c r="AP131" s="158"/>
      <c r="AQ131" s="158"/>
      <c r="AR131" s="158"/>
      <c r="AS131" s="158"/>
      <c r="AT131" s="158"/>
      <c r="AV131" s="413"/>
      <c r="AW131" s="413"/>
      <c r="AX131" s="414"/>
      <c r="AY131" s="415"/>
      <c r="AZ131" s="416"/>
    </row>
    <row r="132" spans="1:52">
      <c r="A132" s="5" t="str">
        <f t="shared" si="8"/>
        <v>Res - MF PTA Rebates_Pipe Insulation - Steam Large Valve</v>
      </c>
      <c r="B132" s="407">
        <v>129</v>
      </c>
      <c r="C132" s="407" t="s">
        <v>722</v>
      </c>
      <c r="D132" s="407" t="s">
        <v>203</v>
      </c>
      <c r="E132" s="408" t="s">
        <v>150</v>
      </c>
      <c r="F132" s="408">
        <v>1</v>
      </c>
      <c r="G132" s="409">
        <v>0.88</v>
      </c>
      <c r="H132" s="470">
        <v>15</v>
      </c>
      <c r="I132" s="463">
        <v>15</v>
      </c>
      <c r="J132" s="408">
        <v>7</v>
      </c>
      <c r="K132" s="408">
        <v>7</v>
      </c>
      <c r="L132" s="408">
        <v>7</v>
      </c>
      <c r="M132" s="408">
        <v>7</v>
      </c>
      <c r="N132" s="208">
        <f>'Pipe Insulation Detail'!$C$60</f>
        <v>133.90978522057964</v>
      </c>
      <c r="O132" s="461">
        <f t="shared" si="11"/>
        <v>133.90978522057964</v>
      </c>
      <c r="P132" s="461">
        <f t="shared" si="11"/>
        <v>133.90978522057964</v>
      </c>
      <c r="Q132" s="461">
        <f t="shared" si="11"/>
        <v>133.90978522057964</v>
      </c>
      <c r="R132" s="411"/>
      <c r="S132" s="411" t="s">
        <v>1046</v>
      </c>
      <c r="T132" s="411" t="s">
        <v>201</v>
      </c>
      <c r="U132" s="411" t="s">
        <v>200</v>
      </c>
      <c r="V132" s="439" t="s">
        <v>825</v>
      </c>
      <c r="W132" s="158"/>
      <c r="X132" s="158"/>
      <c r="Y132" s="158"/>
      <c r="Z132" s="158"/>
      <c r="AA132" s="150"/>
      <c r="AB132" s="158"/>
      <c r="AC132" s="150"/>
      <c r="AD132" s="158"/>
      <c r="AE132" s="150"/>
      <c r="AF132" s="158"/>
      <c r="AG132" s="158"/>
      <c r="AH132" s="158"/>
      <c r="AI132" s="158"/>
      <c r="AJ132" s="158"/>
      <c r="AK132" s="158"/>
      <c r="AL132" s="158"/>
      <c r="AM132" s="158"/>
      <c r="AN132" s="158"/>
      <c r="AO132" s="158"/>
      <c r="AP132" s="158"/>
      <c r="AQ132" s="158"/>
      <c r="AR132" s="158"/>
      <c r="AS132" s="158"/>
      <c r="AT132" s="158"/>
      <c r="AV132" s="413"/>
      <c r="AW132" s="413"/>
      <c r="AX132" s="414"/>
      <c r="AY132" s="415"/>
      <c r="AZ132" s="416"/>
    </row>
    <row r="133" spans="1:52">
      <c r="A133" s="5" t="str">
        <f t="shared" si="8"/>
        <v>Res - MF PTA Rebates_Pipe Insulation - Steam X-Large Valve</v>
      </c>
      <c r="B133" s="407">
        <v>130</v>
      </c>
      <c r="C133" s="407" t="s">
        <v>722</v>
      </c>
      <c r="D133" s="407" t="s">
        <v>202</v>
      </c>
      <c r="E133" s="408" t="s">
        <v>150</v>
      </c>
      <c r="F133" s="408">
        <v>1</v>
      </c>
      <c r="G133" s="409">
        <v>0.88</v>
      </c>
      <c r="H133" s="470">
        <v>15</v>
      </c>
      <c r="I133" s="463">
        <v>15</v>
      </c>
      <c r="J133" s="408">
        <v>6</v>
      </c>
      <c r="K133" s="408">
        <v>6</v>
      </c>
      <c r="L133" s="408">
        <v>6</v>
      </c>
      <c r="M133" s="408">
        <v>6</v>
      </c>
      <c r="N133" s="208">
        <f>'Pipe Insulation Detail'!$C$61</f>
        <v>218.0177023221575</v>
      </c>
      <c r="O133" s="461">
        <f t="shared" si="11"/>
        <v>218.0177023221575</v>
      </c>
      <c r="P133" s="461">
        <f t="shared" si="11"/>
        <v>218.0177023221575</v>
      </c>
      <c r="Q133" s="461">
        <f t="shared" si="11"/>
        <v>218.0177023221575</v>
      </c>
      <c r="R133" s="411"/>
      <c r="S133" s="411" t="s">
        <v>1046</v>
      </c>
      <c r="T133" s="411" t="s">
        <v>201</v>
      </c>
      <c r="U133" s="411" t="s">
        <v>200</v>
      </c>
      <c r="V133" s="439" t="s">
        <v>825</v>
      </c>
      <c r="W133" s="158"/>
      <c r="X133" s="158"/>
      <c r="Y133" s="158"/>
      <c r="Z133" s="158"/>
      <c r="AA133" s="150"/>
      <c r="AB133" s="158"/>
      <c r="AC133" s="150"/>
      <c r="AD133" s="158"/>
      <c r="AE133" s="150"/>
      <c r="AF133" s="158"/>
      <c r="AG133" s="158"/>
      <c r="AH133" s="158"/>
      <c r="AI133" s="158"/>
      <c r="AJ133" s="158"/>
      <c r="AK133" s="158"/>
      <c r="AL133" s="158"/>
      <c r="AM133" s="158"/>
      <c r="AN133" s="158"/>
      <c r="AO133" s="158"/>
      <c r="AP133" s="158"/>
      <c r="AQ133" s="158"/>
      <c r="AR133" s="158"/>
      <c r="AS133" s="158"/>
      <c r="AT133" s="158"/>
      <c r="AV133" s="413"/>
      <c r="AW133" s="413"/>
      <c r="AX133" s="414"/>
      <c r="AY133" s="415"/>
      <c r="AZ133" s="416"/>
    </row>
    <row r="134" spans="1:52">
      <c r="A134" s="5" t="str">
        <f t="shared" si="8"/>
        <v>Res - MF PTA Rebates_Steam Boiler ≥82% AFUE, &gt;300MBh TE</v>
      </c>
      <c r="B134" s="407">
        <v>131</v>
      </c>
      <c r="C134" s="407" t="s">
        <v>722</v>
      </c>
      <c r="D134" s="407" t="s">
        <v>723</v>
      </c>
      <c r="E134" s="408" t="s">
        <v>240</v>
      </c>
      <c r="F134" s="408">
        <v>450</v>
      </c>
      <c r="G134" s="409">
        <v>0.88</v>
      </c>
      <c r="H134" s="470">
        <v>20</v>
      </c>
      <c r="I134" s="463">
        <v>20</v>
      </c>
      <c r="J134" s="408">
        <v>33</v>
      </c>
      <c r="K134" s="408">
        <v>33</v>
      </c>
      <c r="L134" s="408">
        <v>33</v>
      </c>
      <c r="M134" s="408">
        <v>33</v>
      </c>
      <c r="N134" s="208">
        <f>X134*Z134*((AB134-AD134)/AD134)/100000/F134</f>
        <v>0.67670886075949166</v>
      </c>
      <c r="O134" s="461">
        <f t="shared" si="11"/>
        <v>0.67670886075949166</v>
      </c>
      <c r="P134" s="461">
        <f t="shared" si="11"/>
        <v>0.67670886075949166</v>
      </c>
      <c r="Q134" s="461">
        <f t="shared" si="11"/>
        <v>0.67670886075949166</v>
      </c>
      <c r="R134" s="411"/>
      <c r="S134" s="411" t="s">
        <v>1046</v>
      </c>
      <c r="T134" s="411" t="s">
        <v>343</v>
      </c>
      <c r="U134" s="411" t="s">
        <v>342</v>
      </c>
      <c r="V134" s="158" t="s">
        <v>340</v>
      </c>
      <c r="W134" s="494" t="s">
        <v>302</v>
      </c>
      <c r="X134" s="495">
        <v>1782</v>
      </c>
      <c r="Y134" s="150" t="s">
        <v>273</v>
      </c>
      <c r="Z134" s="424">
        <v>450000</v>
      </c>
      <c r="AA134" s="150" t="s">
        <v>341</v>
      </c>
      <c r="AB134" s="434">
        <v>0.82</v>
      </c>
      <c r="AC134" s="158" t="s">
        <v>248</v>
      </c>
      <c r="AD134" s="423">
        <v>0.79</v>
      </c>
      <c r="AE134" s="158"/>
      <c r="AF134" s="158"/>
      <c r="AG134" s="158"/>
      <c r="AH134" s="158"/>
      <c r="AI134" s="440"/>
      <c r="AJ134" s="441"/>
      <c r="AK134" s="440"/>
      <c r="AL134" s="423"/>
      <c r="AM134" s="158"/>
      <c r="AN134" s="158"/>
      <c r="AO134" s="158"/>
      <c r="AP134" s="158"/>
      <c r="AQ134" s="158"/>
      <c r="AR134" s="158"/>
      <c r="AS134" s="158"/>
      <c r="AT134" s="158"/>
      <c r="AV134" s="413"/>
      <c r="AW134" s="413"/>
      <c r="AX134" s="414"/>
      <c r="AY134" s="415"/>
      <c r="AZ134" s="416"/>
    </row>
    <row r="135" spans="1:52">
      <c r="A135" s="5" t="str">
        <f t="shared" ref="A135:A198" si="12">C135&amp;"_"&amp;D135</f>
        <v>Res - MF PTA Rebates_Steam Boiler Averaging Controls</v>
      </c>
      <c r="B135" s="407">
        <v>132</v>
      </c>
      <c r="C135" s="407" t="s">
        <v>722</v>
      </c>
      <c r="D135" s="407" t="s">
        <v>277</v>
      </c>
      <c r="E135" s="408" t="s">
        <v>150</v>
      </c>
      <c r="F135" s="408">
        <v>1</v>
      </c>
      <c r="G135" s="409">
        <v>0.88</v>
      </c>
      <c r="H135" s="470">
        <v>20</v>
      </c>
      <c r="I135" s="463">
        <v>20</v>
      </c>
      <c r="J135" s="408">
        <v>110</v>
      </c>
      <c r="K135" s="408">
        <v>110</v>
      </c>
      <c r="L135" s="408">
        <v>110</v>
      </c>
      <c r="M135" s="408">
        <v>110</v>
      </c>
      <c r="N135" s="208">
        <f>X135*Z135*AB135/100000</f>
        <v>156.97800000000001</v>
      </c>
      <c r="O135" s="461">
        <f t="shared" si="11"/>
        <v>156.97800000000001</v>
      </c>
      <c r="P135" s="461">
        <f t="shared" si="11"/>
        <v>156.97800000000001</v>
      </c>
      <c r="Q135" s="461">
        <f t="shared" si="11"/>
        <v>156.97800000000001</v>
      </c>
      <c r="R135" s="411"/>
      <c r="S135" s="411" t="s">
        <v>276</v>
      </c>
      <c r="T135" s="411" t="s">
        <v>275</v>
      </c>
      <c r="U135" s="411" t="s">
        <v>274</v>
      </c>
      <c r="V135" s="158" t="s">
        <v>270</v>
      </c>
      <c r="W135" s="158" t="s">
        <v>273</v>
      </c>
      <c r="X135" s="424">
        <v>100000</v>
      </c>
      <c r="Y135" s="421" t="s">
        <v>272</v>
      </c>
      <c r="Z135" s="442">
        <v>0.10199999999999999</v>
      </c>
      <c r="AA135" s="158" t="s">
        <v>271</v>
      </c>
      <c r="AB135" s="424">
        <v>1539</v>
      </c>
      <c r="AC135" s="150"/>
      <c r="AD135" s="435"/>
      <c r="AE135" s="150"/>
      <c r="AF135" s="429"/>
      <c r="AG135" s="158"/>
      <c r="AH135" s="158"/>
      <c r="AI135" s="158"/>
      <c r="AJ135" s="158"/>
      <c r="AK135" s="158"/>
      <c r="AL135" s="158"/>
      <c r="AM135" s="158"/>
      <c r="AN135" s="158"/>
      <c r="AO135" s="158"/>
      <c r="AP135" s="158"/>
      <c r="AQ135" s="158"/>
      <c r="AR135" s="158"/>
      <c r="AS135" s="158"/>
      <c r="AT135" s="158"/>
      <c r="AV135" s="413"/>
      <c r="AW135" s="413"/>
      <c r="AX135" s="414"/>
      <c r="AY135" s="415"/>
      <c r="AZ135" s="416"/>
    </row>
    <row r="136" spans="1:52">
      <c r="A136" s="5" t="str">
        <f t="shared" si="12"/>
        <v>Res - MF PTA Rebates_Steam Traps - Dry Cleaner/Industrial</v>
      </c>
      <c r="B136" s="407">
        <v>133</v>
      </c>
      <c r="C136" s="407" t="s">
        <v>722</v>
      </c>
      <c r="D136" s="407" t="s">
        <v>269</v>
      </c>
      <c r="E136" s="408" t="s">
        <v>150</v>
      </c>
      <c r="F136" s="408">
        <v>1</v>
      </c>
      <c r="G136" s="409">
        <v>0.88</v>
      </c>
      <c r="H136" s="470">
        <v>6</v>
      </c>
      <c r="I136" s="463">
        <v>6</v>
      </c>
      <c r="J136" s="408">
        <v>89</v>
      </c>
      <c r="K136" s="408">
        <v>89</v>
      </c>
      <c r="L136" s="408">
        <v>89</v>
      </c>
      <c r="M136" s="408">
        <v>89</v>
      </c>
      <c r="N136" s="208">
        <f>X136*(Z136/AB136)*AD136*AF136/100000</f>
        <v>137.91939591078068</v>
      </c>
      <c r="O136" s="461">
        <f t="shared" si="11"/>
        <v>137.91939591078068</v>
      </c>
      <c r="P136" s="461">
        <f t="shared" si="11"/>
        <v>137.91939591078068</v>
      </c>
      <c r="Q136" s="461">
        <f t="shared" si="11"/>
        <v>137.91939591078068</v>
      </c>
      <c r="R136" s="411"/>
      <c r="S136" s="411" t="s">
        <v>1046</v>
      </c>
      <c r="T136" s="411" t="s">
        <v>266</v>
      </c>
      <c r="U136" s="411" t="s">
        <v>265</v>
      </c>
      <c r="V136" s="158" t="s">
        <v>259</v>
      </c>
      <c r="W136" s="158" t="s">
        <v>264</v>
      </c>
      <c r="X136" s="158">
        <v>19.100000000000001</v>
      </c>
      <c r="Y136" s="158" t="s">
        <v>263</v>
      </c>
      <c r="Z136" s="158">
        <v>890</v>
      </c>
      <c r="AA136" s="150" t="s">
        <v>262</v>
      </c>
      <c r="AB136" s="425">
        <v>0.80700000000000005</v>
      </c>
      <c r="AC136" s="150" t="s">
        <v>153</v>
      </c>
      <c r="AD136" s="158">
        <v>2425</v>
      </c>
      <c r="AE136" s="158" t="s">
        <v>260</v>
      </c>
      <c r="AF136" s="423">
        <v>0.27</v>
      </c>
      <c r="AG136" s="158"/>
      <c r="AH136" s="158"/>
      <c r="AI136" s="158"/>
      <c r="AJ136" s="158"/>
      <c r="AK136" s="158"/>
      <c r="AL136" s="158"/>
      <c r="AM136" s="158"/>
      <c r="AN136" s="158"/>
      <c r="AO136" s="158"/>
      <c r="AP136" s="158"/>
      <c r="AQ136" s="158"/>
      <c r="AR136" s="158"/>
      <c r="AS136" s="158"/>
      <c r="AT136" s="158"/>
      <c r="AV136" s="413"/>
      <c r="AW136" s="413"/>
      <c r="AX136" s="414"/>
      <c r="AY136" s="415"/>
      <c r="AZ136" s="416"/>
    </row>
    <row r="137" spans="1:52">
      <c r="A137" s="5" t="str">
        <f t="shared" si="12"/>
        <v>Res - MF PTA Rebates_Steam Traps - HVAC Repair/Rep - Audit</v>
      </c>
      <c r="B137" s="407">
        <v>134</v>
      </c>
      <c r="C137" s="407" t="s">
        <v>722</v>
      </c>
      <c r="D137" s="407" t="s">
        <v>268</v>
      </c>
      <c r="E137" s="408" t="s">
        <v>150</v>
      </c>
      <c r="F137" s="408">
        <v>1</v>
      </c>
      <c r="G137" s="409">
        <v>0.88</v>
      </c>
      <c r="H137" s="470">
        <v>6</v>
      </c>
      <c r="I137" s="463">
        <v>6</v>
      </c>
      <c r="J137" s="408">
        <v>71</v>
      </c>
      <c r="K137" s="408">
        <v>71</v>
      </c>
      <c r="L137" s="408">
        <v>71</v>
      </c>
      <c r="M137" s="408">
        <v>71</v>
      </c>
      <c r="N137" s="208">
        <f>X137*(Z137/AB137)*AD137*AF137/100000</f>
        <v>110.15789625000002</v>
      </c>
      <c r="O137" s="461">
        <f t="shared" si="11"/>
        <v>110.15789625000002</v>
      </c>
      <c r="P137" s="461">
        <f t="shared" si="11"/>
        <v>110.15789625000002</v>
      </c>
      <c r="Q137" s="461">
        <f t="shared" si="11"/>
        <v>110.15789625000002</v>
      </c>
      <c r="R137" s="411"/>
      <c r="S137" s="411" t="s">
        <v>1046</v>
      </c>
      <c r="T137" s="411" t="s">
        <v>266</v>
      </c>
      <c r="U137" s="411" t="s">
        <v>265</v>
      </c>
      <c r="V137" s="158" t="s">
        <v>259</v>
      </c>
      <c r="W137" s="158" t="s">
        <v>264</v>
      </c>
      <c r="X137" s="158">
        <v>6.9</v>
      </c>
      <c r="Y137" s="158" t="s">
        <v>263</v>
      </c>
      <c r="Z137" s="158">
        <v>951</v>
      </c>
      <c r="AA137" s="150" t="s">
        <v>262</v>
      </c>
      <c r="AB137" s="425">
        <v>0.64800000000000002</v>
      </c>
      <c r="AC137" s="150" t="s">
        <v>261</v>
      </c>
      <c r="AD137" s="158">
        <v>4029</v>
      </c>
      <c r="AE137" s="158" t="s">
        <v>260</v>
      </c>
      <c r="AF137" s="423">
        <v>0.27</v>
      </c>
      <c r="AG137" s="158"/>
      <c r="AH137" s="158"/>
      <c r="AI137" s="158"/>
      <c r="AJ137" s="158"/>
      <c r="AK137" s="158"/>
      <c r="AL137" s="158"/>
      <c r="AM137" s="158"/>
      <c r="AN137" s="158"/>
      <c r="AO137" s="158"/>
      <c r="AP137" s="158"/>
      <c r="AQ137" s="158"/>
      <c r="AR137" s="158"/>
      <c r="AS137" s="158"/>
      <c r="AT137" s="158"/>
      <c r="AV137" s="413"/>
      <c r="AW137" s="413"/>
      <c r="AX137" s="414"/>
      <c r="AY137" s="415"/>
      <c r="AZ137" s="416"/>
    </row>
    <row r="138" spans="1:52">
      <c r="A138" s="5" t="str">
        <f t="shared" si="12"/>
        <v>Res - MF PTA Rebates_Steam Traps - HVAC Repair/Rep - No Audit</v>
      </c>
      <c r="B138" s="407">
        <v>135</v>
      </c>
      <c r="C138" s="407" t="s">
        <v>722</v>
      </c>
      <c r="D138" s="407" t="s">
        <v>267</v>
      </c>
      <c r="E138" s="408" t="s">
        <v>150</v>
      </c>
      <c r="F138" s="408">
        <v>1</v>
      </c>
      <c r="G138" s="409">
        <v>0.88</v>
      </c>
      <c r="H138" s="470">
        <v>6</v>
      </c>
      <c r="I138" s="463">
        <v>6</v>
      </c>
      <c r="J138" s="408">
        <v>82</v>
      </c>
      <c r="K138" s="408">
        <v>82</v>
      </c>
      <c r="L138" s="408">
        <v>82</v>
      </c>
      <c r="M138" s="408">
        <v>82</v>
      </c>
      <c r="N138" s="208">
        <f>X138*(Z138/AB138)*AD138*AF138/100000</f>
        <v>110.15789625000002</v>
      </c>
      <c r="O138" s="461">
        <f t="shared" si="11"/>
        <v>110.15789625000002</v>
      </c>
      <c r="P138" s="461">
        <f t="shared" si="11"/>
        <v>110.15789625000002</v>
      </c>
      <c r="Q138" s="461">
        <f t="shared" si="11"/>
        <v>110.15789625000002</v>
      </c>
      <c r="R138" s="411"/>
      <c r="S138" s="411" t="s">
        <v>1046</v>
      </c>
      <c r="T138" s="411" t="s">
        <v>266</v>
      </c>
      <c r="U138" s="411" t="s">
        <v>265</v>
      </c>
      <c r="V138" s="158" t="s">
        <v>259</v>
      </c>
      <c r="W138" s="158" t="s">
        <v>264</v>
      </c>
      <c r="X138" s="158">
        <v>6.9</v>
      </c>
      <c r="Y138" s="158" t="s">
        <v>263</v>
      </c>
      <c r="Z138" s="158">
        <v>951</v>
      </c>
      <c r="AA138" s="150" t="s">
        <v>262</v>
      </c>
      <c r="AB138" s="425">
        <v>0.64800000000000002</v>
      </c>
      <c r="AC138" s="150" t="s">
        <v>261</v>
      </c>
      <c r="AD138" s="158">
        <v>4029</v>
      </c>
      <c r="AE138" s="158" t="s">
        <v>260</v>
      </c>
      <c r="AF138" s="423">
        <v>0.27</v>
      </c>
      <c r="AG138" s="158"/>
      <c r="AH138" s="158"/>
      <c r="AI138" s="158"/>
      <c r="AJ138" s="158"/>
      <c r="AK138" s="158"/>
      <c r="AL138" s="158"/>
      <c r="AM138" s="158"/>
      <c r="AN138" s="158"/>
      <c r="AO138" s="158"/>
      <c r="AP138" s="158"/>
      <c r="AQ138" s="158"/>
      <c r="AR138" s="158"/>
      <c r="AS138" s="158"/>
      <c r="AT138" s="158"/>
      <c r="AV138" s="413"/>
      <c r="AW138" s="413"/>
      <c r="AX138" s="414"/>
      <c r="AY138" s="415"/>
      <c r="AZ138" s="416"/>
    </row>
    <row r="139" spans="1:52">
      <c r="A139" s="5" t="str">
        <f t="shared" si="12"/>
        <v>Res - MF PTA Rebates_Steam Traps - Test</v>
      </c>
      <c r="B139" s="407">
        <v>136</v>
      </c>
      <c r="C139" s="407" t="s">
        <v>722</v>
      </c>
      <c r="D139" s="407" t="s">
        <v>258</v>
      </c>
      <c r="E139" s="408" t="s">
        <v>150</v>
      </c>
      <c r="F139" s="408">
        <v>1</v>
      </c>
      <c r="G139" s="409">
        <v>0.88</v>
      </c>
      <c r="H139" s="470">
        <v>3</v>
      </c>
      <c r="I139" s="463">
        <v>3</v>
      </c>
      <c r="J139" s="408">
        <v>53</v>
      </c>
      <c r="K139" s="408">
        <v>53</v>
      </c>
      <c r="L139" s="408">
        <v>53</v>
      </c>
      <c r="M139" s="408">
        <v>53</v>
      </c>
      <c r="N139" s="208">
        <v>0</v>
      </c>
      <c r="O139" s="461">
        <f t="shared" si="11"/>
        <v>0</v>
      </c>
      <c r="P139" s="461">
        <f t="shared" si="11"/>
        <v>0</v>
      </c>
      <c r="Q139" s="461">
        <f t="shared" si="11"/>
        <v>0</v>
      </c>
      <c r="R139" s="411"/>
      <c r="S139" s="411" t="s">
        <v>140</v>
      </c>
      <c r="T139" s="411" t="s">
        <v>140</v>
      </c>
      <c r="U139" s="411" t="s">
        <v>140</v>
      </c>
      <c r="V139" s="412" t="s">
        <v>140</v>
      </c>
      <c r="W139" s="158"/>
      <c r="X139" s="158"/>
      <c r="Y139" s="158"/>
      <c r="Z139" s="158"/>
      <c r="AA139" s="150"/>
      <c r="AB139" s="423"/>
      <c r="AC139" s="150"/>
      <c r="AD139" s="158"/>
      <c r="AE139" s="150"/>
      <c r="AF139" s="423"/>
      <c r="AG139" s="158"/>
      <c r="AH139" s="423"/>
      <c r="AI139" s="158"/>
      <c r="AJ139" s="423"/>
      <c r="AK139" s="158"/>
      <c r="AL139" s="158"/>
      <c r="AM139" s="158"/>
      <c r="AN139" s="158"/>
      <c r="AO139" s="158"/>
      <c r="AP139" s="158"/>
      <c r="AQ139" s="158"/>
      <c r="AR139" s="158"/>
      <c r="AS139" s="158"/>
      <c r="AT139" s="158"/>
      <c r="AV139" s="413"/>
      <c r="AW139" s="413"/>
      <c r="AX139" s="414"/>
      <c r="AY139" s="415"/>
      <c r="AZ139" s="416"/>
    </row>
    <row r="140" spans="1:52">
      <c r="A140" s="5" t="str">
        <f t="shared" si="12"/>
        <v>Res - MF PTA Rebates_Thermostat - Programmable</v>
      </c>
      <c r="B140" s="407">
        <v>137</v>
      </c>
      <c r="C140" s="407" t="s">
        <v>722</v>
      </c>
      <c r="D140" s="407" t="s">
        <v>226</v>
      </c>
      <c r="E140" s="408" t="s">
        <v>150</v>
      </c>
      <c r="F140" s="408">
        <v>1</v>
      </c>
      <c r="G140" s="409">
        <v>0.88</v>
      </c>
      <c r="H140" s="470">
        <v>4</v>
      </c>
      <c r="I140" s="463">
        <v>4</v>
      </c>
      <c r="J140" s="408"/>
      <c r="K140" s="408">
        <v>0</v>
      </c>
      <c r="L140" s="408">
        <v>0</v>
      </c>
      <c r="M140" s="408">
        <v>0</v>
      </c>
      <c r="N140" s="354">
        <f>'Thermostat Detail'!$L$13</f>
        <v>124.68584320000001</v>
      </c>
      <c r="O140" s="461">
        <f t="shared" si="11"/>
        <v>124.68584320000001</v>
      </c>
      <c r="P140" s="461">
        <f t="shared" si="11"/>
        <v>124.68584320000001</v>
      </c>
      <c r="Q140" s="461">
        <f t="shared" si="11"/>
        <v>124.68584320000001</v>
      </c>
      <c r="R140" s="411"/>
      <c r="S140" s="411" t="s">
        <v>1046</v>
      </c>
      <c r="T140" s="411" t="s">
        <v>225</v>
      </c>
      <c r="U140" s="411" t="s">
        <v>224</v>
      </c>
      <c r="V140" s="439" t="s">
        <v>824</v>
      </c>
      <c r="W140" s="158"/>
      <c r="X140" s="158"/>
      <c r="Y140" s="158"/>
      <c r="Z140" s="158"/>
      <c r="AA140" s="150"/>
      <c r="AB140" s="423"/>
      <c r="AC140" s="150"/>
      <c r="AD140" s="158"/>
      <c r="AE140" s="150"/>
      <c r="AF140" s="423"/>
      <c r="AG140" s="158"/>
      <c r="AH140" s="423"/>
      <c r="AI140" s="158"/>
      <c r="AJ140" s="423"/>
      <c r="AK140" s="158"/>
      <c r="AL140" s="158"/>
      <c r="AM140" s="158"/>
      <c r="AN140" s="158"/>
      <c r="AO140" s="158"/>
      <c r="AP140" s="158"/>
      <c r="AQ140" s="158"/>
      <c r="AR140" s="158"/>
      <c r="AS140" s="158"/>
      <c r="AT140" s="158"/>
      <c r="AV140" s="413"/>
      <c r="AW140" s="413"/>
      <c r="AX140" s="414"/>
      <c r="AY140" s="415"/>
      <c r="AZ140" s="416"/>
    </row>
    <row r="141" spans="1:52">
      <c r="A141" s="5" t="str">
        <f t="shared" si="12"/>
        <v>Res - MF Rebates_Multifamily Custom</v>
      </c>
      <c r="B141" s="407">
        <v>138</v>
      </c>
      <c r="C141" s="407" t="s">
        <v>705</v>
      </c>
      <c r="D141" s="407" t="s">
        <v>669</v>
      </c>
      <c r="E141" s="408" t="s">
        <v>150</v>
      </c>
      <c r="F141" s="408">
        <v>1</v>
      </c>
      <c r="G141" s="409">
        <v>0.72</v>
      </c>
      <c r="H141" s="470">
        <v>15</v>
      </c>
      <c r="I141" s="463">
        <v>15</v>
      </c>
      <c r="J141" s="408">
        <v>15</v>
      </c>
      <c r="K141" s="408">
        <v>15</v>
      </c>
      <c r="L141" s="408">
        <v>15</v>
      </c>
      <c r="M141" s="408">
        <v>15</v>
      </c>
      <c r="N141" s="461">
        <v>6100</v>
      </c>
      <c r="O141" s="461">
        <f t="shared" si="11"/>
        <v>6100</v>
      </c>
      <c r="P141" s="461">
        <f t="shared" si="11"/>
        <v>6100</v>
      </c>
      <c r="Q141" s="461">
        <f t="shared" si="11"/>
        <v>6100</v>
      </c>
      <c r="R141" s="411"/>
      <c r="S141" s="411" t="s">
        <v>140</v>
      </c>
      <c r="T141" s="411" t="s">
        <v>140</v>
      </c>
      <c r="U141" s="411" t="s">
        <v>140</v>
      </c>
      <c r="V141" s="412" t="s">
        <v>140</v>
      </c>
      <c r="W141" s="412"/>
      <c r="X141" s="412"/>
      <c r="Y141" s="412"/>
      <c r="Z141" s="412"/>
      <c r="AA141" s="412"/>
      <c r="AB141" s="412"/>
      <c r="AC141" s="412"/>
      <c r="AD141" s="412"/>
      <c r="AE141" s="412"/>
      <c r="AF141" s="412"/>
      <c r="AG141" s="412"/>
      <c r="AH141" s="412"/>
      <c r="AI141" s="412"/>
      <c r="AJ141" s="412"/>
      <c r="AK141" s="412"/>
      <c r="AL141" s="412"/>
      <c r="AM141" s="412"/>
      <c r="AN141" s="412"/>
      <c r="AO141" s="412"/>
      <c r="AP141" s="412"/>
      <c r="AQ141" s="412"/>
      <c r="AR141" s="412"/>
      <c r="AS141" s="412"/>
      <c r="AT141" s="412"/>
      <c r="AV141" s="413"/>
      <c r="AW141" s="413"/>
      <c r="AX141" s="414"/>
      <c r="AY141" s="415"/>
      <c r="AZ141" s="416"/>
    </row>
    <row r="142" spans="1:52">
      <c r="A142" s="5" t="str">
        <f t="shared" si="12"/>
        <v>Bus - CI Assessments_Aerator - Bathroom</v>
      </c>
      <c r="B142" s="407">
        <v>139</v>
      </c>
      <c r="C142" s="407" t="s">
        <v>708</v>
      </c>
      <c r="D142" s="407" t="s">
        <v>726</v>
      </c>
      <c r="E142" s="408" t="s">
        <v>150</v>
      </c>
      <c r="F142" s="408">
        <v>1</v>
      </c>
      <c r="G142" s="409">
        <v>0.79</v>
      </c>
      <c r="H142" s="470">
        <v>9</v>
      </c>
      <c r="I142" s="467">
        <v>10</v>
      </c>
      <c r="J142" s="408">
        <v>70</v>
      </c>
      <c r="K142" s="408">
        <v>70</v>
      </c>
      <c r="L142" s="408">
        <v>53</v>
      </c>
      <c r="M142" s="408">
        <v>70</v>
      </c>
      <c r="N142" s="461">
        <f>((X142-Z142)/X142)*AB142*AD142*AF142*AH142*AL142*AJ142</f>
        <v>6.1049460431654667</v>
      </c>
      <c r="O142" s="461">
        <f t="shared" si="11"/>
        <v>6.1049460431654667</v>
      </c>
      <c r="P142" s="461">
        <f t="shared" si="11"/>
        <v>6.1049460431654667</v>
      </c>
      <c r="Q142" s="461">
        <f t="shared" si="11"/>
        <v>6.1049460431654667</v>
      </c>
      <c r="R142" s="411"/>
      <c r="S142" s="411" t="s">
        <v>1046</v>
      </c>
      <c r="T142" s="411" t="s">
        <v>367</v>
      </c>
      <c r="U142" s="411" t="s">
        <v>366</v>
      </c>
      <c r="V142" s="412" t="s">
        <v>362</v>
      </c>
      <c r="W142" s="412" t="s">
        <v>359</v>
      </c>
      <c r="X142" s="412">
        <v>1.39</v>
      </c>
      <c r="Y142" s="412" t="s">
        <v>358</v>
      </c>
      <c r="Z142" s="412">
        <v>0.94</v>
      </c>
      <c r="AA142" s="412" t="s">
        <v>357</v>
      </c>
      <c r="AB142" s="412">
        <v>1</v>
      </c>
      <c r="AC142" s="412" t="s">
        <v>368</v>
      </c>
      <c r="AD142" s="418">
        <v>1</v>
      </c>
      <c r="AE142" s="412" t="s">
        <v>364</v>
      </c>
      <c r="AF142" s="412">
        <v>20</v>
      </c>
      <c r="AG142" s="412" t="s">
        <v>363</v>
      </c>
      <c r="AH142" s="412">
        <v>250</v>
      </c>
      <c r="AI142" s="412" t="s">
        <v>355</v>
      </c>
      <c r="AJ142" s="419">
        <v>3.9699999999999996E-3</v>
      </c>
      <c r="AK142" s="412" t="s">
        <v>354</v>
      </c>
      <c r="AL142" s="418">
        <v>0.95</v>
      </c>
      <c r="AM142" s="412"/>
      <c r="AN142" s="412"/>
      <c r="AO142" s="158"/>
      <c r="AP142" s="158"/>
      <c r="AQ142" s="158"/>
      <c r="AR142" s="158"/>
      <c r="AS142" s="158"/>
      <c r="AT142" s="158"/>
      <c r="AV142" s="413"/>
      <c r="AW142" s="413"/>
      <c r="AX142" s="414"/>
      <c r="AY142" s="420"/>
      <c r="AZ142" s="416"/>
    </row>
    <row r="143" spans="1:52">
      <c r="A143" s="5" t="str">
        <f t="shared" si="12"/>
        <v>Bus - CI Assessments_Aerator - Kitchen</v>
      </c>
      <c r="B143" s="407">
        <v>140</v>
      </c>
      <c r="C143" s="407" t="s">
        <v>708</v>
      </c>
      <c r="D143" s="407" t="s">
        <v>727</v>
      </c>
      <c r="E143" s="408" t="s">
        <v>150</v>
      </c>
      <c r="F143" s="408">
        <v>1</v>
      </c>
      <c r="G143" s="409">
        <v>0.79</v>
      </c>
      <c r="H143" s="470">
        <v>9</v>
      </c>
      <c r="I143" s="467">
        <v>10</v>
      </c>
      <c r="J143" s="408">
        <v>16</v>
      </c>
      <c r="K143" s="408">
        <v>16</v>
      </c>
      <c r="L143" s="408">
        <v>12</v>
      </c>
      <c r="M143" s="408">
        <v>16</v>
      </c>
      <c r="N143" s="461">
        <f>((X143-Z143)/X143)*AB143*AD143*AF143*AH143*AL143*AJ143</f>
        <v>7.4428057553956819</v>
      </c>
      <c r="O143" s="461">
        <f t="shared" si="11"/>
        <v>7.4428057553956819</v>
      </c>
      <c r="P143" s="461">
        <f t="shared" si="11"/>
        <v>7.4428057553956819</v>
      </c>
      <c r="Q143" s="461">
        <f t="shared" si="11"/>
        <v>7.4428057553956819</v>
      </c>
      <c r="R143" s="411"/>
      <c r="S143" s="411" t="s">
        <v>1046</v>
      </c>
      <c r="T143" s="411" t="s">
        <v>367</v>
      </c>
      <c r="U143" s="411" t="s">
        <v>366</v>
      </c>
      <c r="V143" s="412" t="s">
        <v>362</v>
      </c>
      <c r="W143" s="412" t="s">
        <v>359</v>
      </c>
      <c r="X143" s="412">
        <v>1.39</v>
      </c>
      <c r="Y143" s="412" t="s">
        <v>358</v>
      </c>
      <c r="Z143" s="412">
        <v>0.94</v>
      </c>
      <c r="AA143" s="412" t="s">
        <v>357</v>
      </c>
      <c r="AB143" s="412">
        <v>1</v>
      </c>
      <c r="AC143" s="412" t="s">
        <v>365</v>
      </c>
      <c r="AD143" s="418">
        <v>1</v>
      </c>
      <c r="AE143" s="412" t="s">
        <v>364</v>
      </c>
      <c r="AF143" s="412">
        <v>20</v>
      </c>
      <c r="AG143" s="412" t="s">
        <v>363</v>
      </c>
      <c r="AH143" s="412">
        <v>250</v>
      </c>
      <c r="AI143" s="412" t="s">
        <v>355</v>
      </c>
      <c r="AJ143" s="419">
        <v>4.8399999999999997E-3</v>
      </c>
      <c r="AK143" s="412" t="s">
        <v>354</v>
      </c>
      <c r="AL143" s="418">
        <v>0.95</v>
      </c>
      <c r="AM143" s="412"/>
      <c r="AN143" s="412"/>
      <c r="AO143" s="158"/>
      <c r="AP143" s="158"/>
      <c r="AQ143" s="158"/>
      <c r="AR143" s="158"/>
      <c r="AS143" s="158"/>
      <c r="AT143" s="158"/>
      <c r="AV143" s="413"/>
      <c r="AW143" s="413"/>
      <c r="AX143" s="414"/>
      <c r="AY143" s="415"/>
      <c r="AZ143" s="416"/>
    </row>
    <row r="144" spans="1:52">
      <c r="A144" s="5" t="str">
        <f t="shared" si="12"/>
        <v>Bus - CI Assessments_Showerhead</v>
      </c>
      <c r="B144" s="407">
        <v>141</v>
      </c>
      <c r="C144" s="407" t="s">
        <v>708</v>
      </c>
      <c r="D144" s="407" t="s">
        <v>731</v>
      </c>
      <c r="E144" s="408" t="s">
        <v>150</v>
      </c>
      <c r="F144" s="408">
        <v>1</v>
      </c>
      <c r="G144" s="409">
        <v>0.79</v>
      </c>
      <c r="H144" s="470">
        <v>10</v>
      </c>
      <c r="I144" s="463">
        <v>10</v>
      </c>
      <c r="J144" s="408">
        <v>2</v>
      </c>
      <c r="K144" s="408">
        <v>2</v>
      </c>
      <c r="L144" s="408">
        <v>2</v>
      </c>
      <c r="M144" s="408">
        <v>2</v>
      </c>
      <c r="N144" s="461">
        <f>100%*((X144*AB144-Z144*AB144)*AD144*365.25)*AF144*AH144</f>
        <v>19.917921113999995</v>
      </c>
      <c r="O144" s="461">
        <f t="shared" ref="O144:Q163" si="13">N144</f>
        <v>19.917921113999995</v>
      </c>
      <c r="P144" s="461">
        <f t="shared" si="13"/>
        <v>19.917921113999995</v>
      </c>
      <c r="Q144" s="461">
        <f t="shared" si="13"/>
        <v>19.917921113999995</v>
      </c>
      <c r="R144" s="411"/>
      <c r="S144" s="411" t="s">
        <v>1046</v>
      </c>
      <c r="T144" s="411" t="s">
        <v>361</v>
      </c>
      <c r="U144" s="411" t="s">
        <v>360</v>
      </c>
      <c r="V144" s="412" t="s">
        <v>353</v>
      </c>
      <c r="W144" s="412" t="s">
        <v>359</v>
      </c>
      <c r="X144" s="412">
        <v>2.67</v>
      </c>
      <c r="Y144" s="412" t="s">
        <v>358</v>
      </c>
      <c r="Z144" s="412">
        <v>1.5</v>
      </c>
      <c r="AA144" s="412" t="s">
        <v>357</v>
      </c>
      <c r="AB144" s="412">
        <v>8.1999999999999993</v>
      </c>
      <c r="AC144" s="412" t="s">
        <v>356</v>
      </c>
      <c r="AD144" s="412">
        <v>1</v>
      </c>
      <c r="AE144" s="412" t="s">
        <v>355</v>
      </c>
      <c r="AF144" s="493">
        <v>5.7999999999999996E-3</v>
      </c>
      <c r="AG144" s="412" t="s">
        <v>354</v>
      </c>
      <c r="AH144" s="418">
        <v>0.98</v>
      </c>
      <c r="AI144" s="412"/>
      <c r="AJ144" s="412"/>
      <c r="AK144" s="412"/>
      <c r="AL144" s="412"/>
      <c r="AM144" s="412"/>
      <c r="AN144" s="412"/>
      <c r="AO144" s="158"/>
      <c r="AP144" s="158"/>
      <c r="AQ144" s="158"/>
      <c r="AR144" s="158"/>
      <c r="AS144" s="158"/>
      <c r="AT144" s="158"/>
      <c r="AV144" s="413"/>
      <c r="AW144" s="413"/>
      <c r="AX144" s="414"/>
      <c r="AY144" s="415"/>
      <c r="AZ144" s="416"/>
    </row>
    <row r="145" spans="1:52">
      <c r="A145" s="5" t="str">
        <f t="shared" si="12"/>
        <v>Bus - CI Assessments_Pre Rinse Sprayer</v>
      </c>
      <c r="B145" s="407">
        <v>142</v>
      </c>
      <c r="C145" s="407" t="s">
        <v>708</v>
      </c>
      <c r="D145" s="407" t="s">
        <v>710</v>
      </c>
      <c r="E145" s="408" t="s">
        <v>150</v>
      </c>
      <c r="F145" s="408">
        <v>1</v>
      </c>
      <c r="G145" s="409">
        <v>0.79</v>
      </c>
      <c r="H145" s="470">
        <v>5</v>
      </c>
      <c r="I145" s="463">
        <v>5</v>
      </c>
      <c r="J145" s="408">
        <v>0</v>
      </c>
      <c r="K145" s="408">
        <v>0</v>
      </c>
      <c r="L145" s="408">
        <v>0</v>
      </c>
      <c r="M145" s="408">
        <v>0</v>
      </c>
      <c r="N145" s="461">
        <f>(X145-Z145)*60*AB145*AD145*8.33*1*(AF145-AH145)*(1/AJ145)/100000</f>
        <v>474.829992</v>
      </c>
      <c r="O145" s="461">
        <f t="shared" si="13"/>
        <v>474.829992</v>
      </c>
      <c r="P145" s="461">
        <f t="shared" si="13"/>
        <v>474.829992</v>
      </c>
      <c r="Q145" s="461">
        <f t="shared" si="13"/>
        <v>474.829992</v>
      </c>
      <c r="R145" s="411"/>
      <c r="S145" s="411" t="s">
        <v>1046</v>
      </c>
      <c r="T145" s="411" t="s">
        <v>351</v>
      </c>
      <c r="U145" s="411" t="s">
        <v>350</v>
      </c>
      <c r="V145" s="149" t="s">
        <v>344</v>
      </c>
      <c r="W145" s="412" t="s">
        <v>349</v>
      </c>
      <c r="X145" s="491">
        <v>2.14</v>
      </c>
      <c r="Y145" s="412" t="s">
        <v>348</v>
      </c>
      <c r="Z145" s="492">
        <v>0.98</v>
      </c>
      <c r="AA145" s="412" t="s">
        <v>347</v>
      </c>
      <c r="AB145" s="444">
        <v>3</v>
      </c>
      <c r="AC145" s="412" t="s">
        <v>346</v>
      </c>
      <c r="AD145" s="412">
        <v>312</v>
      </c>
      <c r="AE145" s="412" t="s">
        <v>251</v>
      </c>
      <c r="AF145" s="445">
        <f>70+AH145</f>
        <v>124.1</v>
      </c>
      <c r="AG145" s="412" t="s">
        <v>250</v>
      </c>
      <c r="AH145" s="490">
        <v>54.1</v>
      </c>
      <c r="AI145" s="412" t="s">
        <v>345</v>
      </c>
      <c r="AJ145" s="418">
        <v>0.8</v>
      </c>
      <c r="AK145" s="158"/>
      <c r="AL145" s="158"/>
      <c r="AM145" s="158"/>
      <c r="AN145" s="158"/>
      <c r="AO145" s="158"/>
      <c r="AP145" s="158"/>
      <c r="AQ145" s="158"/>
      <c r="AR145" s="158"/>
      <c r="AS145" s="158"/>
      <c r="AT145" s="158"/>
      <c r="AV145" s="413"/>
      <c r="AW145" s="413"/>
      <c r="AX145" s="414"/>
      <c r="AY145" s="415"/>
      <c r="AZ145" s="416"/>
    </row>
    <row r="146" spans="1:52">
      <c r="A146" s="5" t="str">
        <f t="shared" si="12"/>
        <v>Bus - CI Assessments_Laminar</v>
      </c>
      <c r="B146" s="407">
        <v>143</v>
      </c>
      <c r="C146" s="407" t="s">
        <v>708</v>
      </c>
      <c r="D146" s="407" t="s">
        <v>352</v>
      </c>
      <c r="E146" s="408" t="s">
        <v>150</v>
      </c>
      <c r="F146" s="408">
        <v>1</v>
      </c>
      <c r="G146" s="409">
        <v>0.79</v>
      </c>
      <c r="H146" s="470">
        <v>9</v>
      </c>
      <c r="I146" s="463">
        <v>9</v>
      </c>
      <c r="J146" s="408">
        <v>800</v>
      </c>
      <c r="K146" s="408">
        <v>800</v>
      </c>
      <c r="L146" s="408">
        <v>800</v>
      </c>
      <c r="M146" s="408">
        <v>800</v>
      </c>
      <c r="N146" s="208">
        <f>5010/280</f>
        <v>17.892857142857142</v>
      </c>
      <c r="O146" s="461">
        <f t="shared" si="13"/>
        <v>17.892857142857142</v>
      </c>
      <c r="P146" s="461">
        <f t="shared" si="13"/>
        <v>17.892857142857142</v>
      </c>
      <c r="Q146" s="461">
        <f t="shared" si="13"/>
        <v>17.892857142857142</v>
      </c>
      <c r="R146" s="411"/>
      <c r="S146" s="411" t="s">
        <v>140</v>
      </c>
      <c r="T146" s="411" t="s">
        <v>140</v>
      </c>
      <c r="U146" s="411" t="s">
        <v>140</v>
      </c>
      <c r="V146" s="436"/>
      <c r="W146" s="158"/>
      <c r="X146" s="158"/>
      <c r="Y146" s="158"/>
      <c r="Z146" s="158"/>
      <c r="AA146" s="150"/>
      <c r="AB146" s="158"/>
      <c r="AC146" s="150"/>
      <c r="AD146" s="158"/>
      <c r="AE146" s="150"/>
      <c r="AF146" s="158"/>
      <c r="AG146" s="158"/>
      <c r="AH146" s="158"/>
      <c r="AI146" s="158"/>
      <c r="AJ146" s="158"/>
      <c r="AK146" s="158"/>
      <c r="AL146" s="158"/>
      <c r="AM146" s="158"/>
      <c r="AN146" s="158"/>
      <c r="AO146" s="158"/>
      <c r="AP146" s="158"/>
      <c r="AQ146" s="158"/>
      <c r="AR146" s="158"/>
      <c r="AS146" s="158"/>
      <c r="AT146" s="158"/>
      <c r="AV146" s="413"/>
      <c r="AW146" s="413"/>
      <c r="AX146" s="414"/>
      <c r="AY146" s="415"/>
      <c r="AZ146" s="416"/>
    </row>
    <row r="147" spans="1:52">
      <c r="A147" s="5" t="str">
        <f t="shared" si="12"/>
        <v>Bus - SB Assessments_Aerator - Bathroom</v>
      </c>
      <c r="B147" s="407">
        <v>144</v>
      </c>
      <c r="C147" s="407" t="s">
        <v>709</v>
      </c>
      <c r="D147" s="407" t="s">
        <v>726</v>
      </c>
      <c r="E147" s="408" t="s">
        <v>150</v>
      </c>
      <c r="F147" s="408">
        <v>1</v>
      </c>
      <c r="G147" s="409">
        <v>0.92</v>
      </c>
      <c r="H147" s="470">
        <v>9</v>
      </c>
      <c r="I147" s="467">
        <v>10</v>
      </c>
      <c r="J147" s="408">
        <v>1460</v>
      </c>
      <c r="K147" s="408">
        <v>1460</v>
      </c>
      <c r="L147" s="408">
        <v>1460</v>
      </c>
      <c r="M147" s="408">
        <v>1460</v>
      </c>
      <c r="N147" s="461">
        <f>((X147-Z147)/X147)*AB147*AD147*AF147*AH147*AL147*AJ147</f>
        <v>6.1049460431654667</v>
      </c>
      <c r="O147" s="461">
        <f t="shared" si="13"/>
        <v>6.1049460431654667</v>
      </c>
      <c r="P147" s="461">
        <f t="shared" si="13"/>
        <v>6.1049460431654667</v>
      </c>
      <c r="Q147" s="461">
        <f t="shared" si="13"/>
        <v>6.1049460431654667</v>
      </c>
      <c r="R147" s="411"/>
      <c r="S147" s="411" t="s">
        <v>1046</v>
      </c>
      <c r="T147" s="411" t="s">
        <v>367</v>
      </c>
      <c r="U147" s="411" t="s">
        <v>366</v>
      </c>
      <c r="V147" s="412" t="s">
        <v>362</v>
      </c>
      <c r="W147" s="412" t="s">
        <v>359</v>
      </c>
      <c r="X147" s="412">
        <v>1.39</v>
      </c>
      <c r="Y147" s="412" t="s">
        <v>358</v>
      </c>
      <c r="Z147" s="412">
        <v>0.94</v>
      </c>
      <c r="AA147" s="412" t="s">
        <v>357</v>
      </c>
      <c r="AB147" s="412">
        <v>1</v>
      </c>
      <c r="AC147" s="412" t="s">
        <v>368</v>
      </c>
      <c r="AD147" s="418">
        <v>1</v>
      </c>
      <c r="AE147" s="412" t="s">
        <v>364</v>
      </c>
      <c r="AF147" s="412">
        <v>20</v>
      </c>
      <c r="AG147" s="412" t="s">
        <v>363</v>
      </c>
      <c r="AH147" s="412">
        <v>250</v>
      </c>
      <c r="AI147" s="412" t="s">
        <v>355</v>
      </c>
      <c r="AJ147" s="419">
        <v>3.9699999999999996E-3</v>
      </c>
      <c r="AK147" s="412" t="s">
        <v>354</v>
      </c>
      <c r="AL147" s="418">
        <v>0.95</v>
      </c>
      <c r="AM147" s="412"/>
      <c r="AN147" s="412"/>
      <c r="AO147" s="158"/>
      <c r="AP147" s="158"/>
      <c r="AQ147" s="158"/>
      <c r="AR147" s="158"/>
      <c r="AS147" s="158"/>
      <c r="AT147" s="158"/>
      <c r="AV147" s="413"/>
      <c r="AW147" s="413"/>
      <c r="AX147" s="414"/>
      <c r="AY147" s="415"/>
      <c r="AZ147" s="416"/>
    </row>
    <row r="148" spans="1:52">
      <c r="A148" s="5" t="str">
        <f t="shared" si="12"/>
        <v>Bus - SB Assessments_Aerator - Kitchen</v>
      </c>
      <c r="B148" s="407">
        <v>145</v>
      </c>
      <c r="C148" s="407" t="s">
        <v>709</v>
      </c>
      <c r="D148" s="407" t="s">
        <v>727</v>
      </c>
      <c r="E148" s="408" t="s">
        <v>150</v>
      </c>
      <c r="F148" s="408">
        <v>1</v>
      </c>
      <c r="G148" s="409">
        <v>0.92</v>
      </c>
      <c r="H148" s="470">
        <v>9</v>
      </c>
      <c r="I148" s="467">
        <v>10</v>
      </c>
      <c r="J148" s="408">
        <v>1120</v>
      </c>
      <c r="K148" s="408">
        <v>1120</v>
      </c>
      <c r="L148" s="408">
        <v>1120</v>
      </c>
      <c r="M148" s="408">
        <v>1120</v>
      </c>
      <c r="N148" s="461">
        <f>((X148-Z148)/X148)*AB148*AD148*AF148*AH148*AL148*AJ148</f>
        <v>7.4428057553956819</v>
      </c>
      <c r="O148" s="461">
        <f t="shared" si="13"/>
        <v>7.4428057553956819</v>
      </c>
      <c r="P148" s="461">
        <f t="shared" si="13"/>
        <v>7.4428057553956819</v>
      </c>
      <c r="Q148" s="461">
        <f t="shared" si="13"/>
        <v>7.4428057553956819</v>
      </c>
      <c r="R148" s="411"/>
      <c r="S148" s="411" t="s">
        <v>1046</v>
      </c>
      <c r="T148" s="411" t="s">
        <v>367</v>
      </c>
      <c r="U148" s="411" t="s">
        <v>366</v>
      </c>
      <c r="V148" s="412" t="s">
        <v>362</v>
      </c>
      <c r="W148" s="412" t="s">
        <v>359</v>
      </c>
      <c r="X148" s="412">
        <v>1.39</v>
      </c>
      <c r="Y148" s="412" t="s">
        <v>358</v>
      </c>
      <c r="Z148" s="412">
        <v>0.94</v>
      </c>
      <c r="AA148" s="412" t="s">
        <v>357</v>
      </c>
      <c r="AB148" s="412">
        <v>1</v>
      </c>
      <c r="AC148" s="412" t="s">
        <v>365</v>
      </c>
      <c r="AD148" s="418">
        <v>1</v>
      </c>
      <c r="AE148" s="412" t="s">
        <v>364</v>
      </c>
      <c r="AF148" s="412">
        <v>20</v>
      </c>
      <c r="AG148" s="412" t="s">
        <v>363</v>
      </c>
      <c r="AH148" s="412">
        <v>250</v>
      </c>
      <c r="AI148" s="412" t="s">
        <v>355</v>
      </c>
      <c r="AJ148" s="419">
        <v>4.8399999999999997E-3</v>
      </c>
      <c r="AK148" s="412" t="s">
        <v>354</v>
      </c>
      <c r="AL148" s="418">
        <v>0.95</v>
      </c>
      <c r="AM148" s="412"/>
      <c r="AN148" s="412"/>
      <c r="AO148" s="158"/>
      <c r="AP148" s="158"/>
      <c r="AQ148" s="158"/>
      <c r="AR148" s="158"/>
      <c r="AS148" s="158"/>
      <c r="AT148" s="158"/>
      <c r="AV148" s="413"/>
      <c r="AW148" s="413"/>
      <c r="AX148" s="414"/>
      <c r="AY148" s="415"/>
      <c r="AZ148" s="416"/>
    </row>
    <row r="149" spans="1:52">
      <c r="A149" s="5" t="str">
        <f t="shared" si="12"/>
        <v>Bus - SB Assessments_Showerhead</v>
      </c>
      <c r="B149" s="407">
        <v>146</v>
      </c>
      <c r="C149" s="407" t="s">
        <v>709</v>
      </c>
      <c r="D149" s="407" t="s">
        <v>731</v>
      </c>
      <c r="E149" s="408" t="s">
        <v>150</v>
      </c>
      <c r="F149" s="408">
        <v>1</v>
      </c>
      <c r="G149" s="409">
        <v>0.92</v>
      </c>
      <c r="H149" s="470">
        <v>10</v>
      </c>
      <c r="I149" s="463">
        <v>10</v>
      </c>
      <c r="J149" s="408">
        <v>1300</v>
      </c>
      <c r="K149" s="408">
        <v>1300</v>
      </c>
      <c r="L149" s="408">
        <v>1300</v>
      </c>
      <c r="M149" s="408">
        <v>1300</v>
      </c>
      <c r="N149" s="461">
        <f>100%*((X149*AB149-Z149*AB149)*AD149*365.25)*AF149*AH149</f>
        <v>19.917921113999995</v>
      </c>
      <c r="O149" s="461">
        <f t="shared" si="13"/>
        <v>19.917921113999995</v>
      </c>
      <c r="P149" s="461">
        <f t="shared" si="13"/>
        <v>19.917921113999995</v>
      </c>
      <c r="Q149" s="461">
        <f t="shared" si="13"/>
        <v>19.917921113999995</v>
      </c>
      <c r="R149" s="411"/>
      <c r="S149" s="411" t="s">
        <v>1046</v>
      </c>
      <c r="T149" s="411" t="s">
        <v>361</v>
      </c>
      <c r="U149" s="411" t="s">
        <v>360</v>
      </c>
      <c r="V149" s="412" t="s">
        <v>353</v>
      </c>
      <c r="W149" s="412" t="s">
        <v>359</v>
      </c>
      <c r="X149" s="412">
        <v>2.67</v>
      </c>
      <c r="Y149" s="412" t="s">
        <v>358</v>
      </c>
      <c r="Z149" s="412">
        <v>1.5</v>
      </c>
      <c r="AA149" s="412" t="s">
        <v>357</v>
      </c>
      <c r="AB149" s="412">
        <v>8.1999999999999993</v>
      </c>
      <c r="AC149" s="412" t="s">
        <v>356</v>
      </c>
      <c r="AD149" s="412">
        <v>1</v>
      </c>
      <c r="AE149" s="412" t="s">
        <v>355</v>
      </c>
      <c r="AF149" s="493">
        <v>5.7999999999999996E-3</v>
      </c>
      <c r="AG149" s="412" t="s">
        <v>354</v>
      </c>
      <c r="AH149" s="418">
        <v>0.98</v>
      </c>
      <c r="AI149" s="412"/>
      <c r="AJ149" s="412"/>
      <c r="AK149" s="412"/>
      <c r="AL149" s="412"/>
      <c r="AM149" s="412"/>
      <c r="AN149" s="412"/>
      <c r="AO149" s="158"/>
      <c r="AP149" s="158"/>
      <c r="AQ149" s="158"/>
      <c r="AR149" s="158"/>
      <c r="AS149" s="158"/>
      <c r="AT149" s="158"/>
      <c r="AV149" s="413"/>
      <c r="AW149" s="413"/>
      <c r="AX149" s="414"/>
      <c r="AY149" s="415"/>
      <c r="AZ149" s="416"/>
    </row>
    <row r="150" spans="1:52">
      <c r="A150" s="5" t="str">
        <f t="shared" si="12"/>
        <v>Bus - SB Assessments_Pipe Insulation - DHW</v>
      </c>
      <c r="B150" s="407">
        <v>147</v>
      </c>
      <c r="C150" s="407" t="s">
        <v>709</v>
      </c>
      <c r="D150" s="407" t="s">
        <v>681</v>
      </c>
      <c r="E150" s="408" t="s">
        <v>150</v>
      </c>
      <c r="F150" s="408">
        <v>1</v>
      </c>
      <c r="G150" s="409">
        <v>0.92</v>
      </c>
      <c r="H150" s="470">
        <v>15</v>
      </c>
      <c r="I150" s="463">
        <v>15</v>
      </c>
      <c r="J150" s="408">
        <v>6960</v>
      </c>
      <c r="K150" s="408">
        <v>6960</v>
      </c>
      <c r="L150" s="408">
        <v>6960</v>
      </c>
      <c r="M150" s="408">
        <v>6960</v>
      </c>
      <c r="N150" s="208">
        <f>'Pipe Insulation Detail'!$B$48</f>
        <v>5.2492031493764015</v>
      </c>
      <c r="O150" s="461">
        <f t="shared" si="13"/>
        <v>5.2492031493764015</v>
      </c>
      <c r="P150" s="461">
        <f t="shared" si="13"/>
        <v>5.2492031493764015</v>
      </c>
      <c r="Q150" s="461">
        <f t="shared" si="13"/>
        <v>5.2492031493764015</v>
      </c>
      <c r="R150" s="411"/>
      <c r="S150" s="411" t="s">
        <v>1046</v>
      </c>
      <c r="T150" s="411" t="s">
        <v>201</v>
      </c>
      <c r="U150" s="411" t="s">
        <v>200</v>
      </c>
      <c r="V150" s="439" t="s">
        <v>825</v>
      </c>
      <c r="W150" s="158"/>
      <c r="X150" s="158"/>
      <c r="Y150" s="158"/>
      <c r="Z150" s="158"/>
      <c r="AA150" s="150"/>
      <c r="AB150" s="158"/>
      <c r="AC150" s="150"/>
      <c r="AD150" s="158"/>
      <c r="AE150" s="150"/>
      <c r="AF150" s="158"/>
      <c r="AG150" s="158"/>
      <c r="AH150" s="158"/>
      <c r="AI150" s="158"/>
      <c r="AJ150" s="158"/>
      <c r="AK150" s="158"/>
      <c r="AL150" s="158"/>
      <c r="AM150" s="158"/>
      <c r="AN150" s="158"/>
      <c r="AO150" s="158"/>
      <c r="AP150" s="158"/>
      <c r="AQ150" s="158"/>
      <c r="AR150" s="158"/>
      <c r="AS150" s="158"/>
      <c r="AT150" s="158"/>
      <c r="AV150" s="413"/>
      <c r="AW150" s="413"/>
      <c r="AX150" s="414"/>
      <c r="AY150" s="415"/>
      <c r="AZ150" s="416"/>
    </row>
    <row r="151" spans="1:52">
      <c r="A151" s="5" t="str">
        <f t="shared" si="12"/>
        <v>Bus - SB Assessments_Pre Rinse Sprayer</v>
      </c>
      <c r="B151" s="407">
        <v>148</v>
      </c>
      <c r="C151" s="407" t="s">
        <v>709</v>
      </c>
      <c r="D151" s="407" t="s">
        <v>710</v>
      </c>
      <c r="E151" s="408" t="s">
        <v>150</v>
      </c>
      <c r="F151" s="408">
        <v>1</v>
      </c>
      <c r="G151" s="409">
        <v>0.92</v>
      </c>
      <c r="H151" s="470">
        <v>5</v>
      </c>
      <c r="I151" s="463">
        <v>5</v>
      </c>
      <c r="J151" s="408">
        <v>240</v>
      </c>
      <c r="K151" s="408">
        <v>240</v>
      </c>
      <c r="L151" s="408">
        <v>240</v>
      </c>
      <c r="M151" s="408">
        <v>240</v>
      </c>
      <c r="N151" s="461">
        <f>(X151-Z151)*60*AB151*AD151*8.33*1*(AF151-AH151)*(1/AJ151)/100000</f>
        <v>237.414996</v>
      </c>
      <c r="O151" s="461">
        <f t="shared" si="13"/>
        <v>237.414996</v>
      </c>
      <c r="P151" s="461">
        <f t="shared" si="13"/>
        <v>237.414996</v>
      </c>
      <c r="Q151" s="461">
        <f t="shared" si="13"/>
        <v>237.414996</v>
      </c>
      <c r="R151" s="411"/>
      <c r="S151" s="411" t="s">
        <v>1046</v>
      </c>
      <c r="T151" s="411" t="s">
        <v>351</v>
      </c>
      <c r="U151" s="411" t="s">
        <v>350</v>
      </c>
      <c r="V151" s="149" t="s">
        <v>344</v>
      </c>
      <c r="W151" s="412" t="s">
        <v>349</v>
      </c>
      <c r="X151" s="491">
        <v>2.14</v>
      </c>
      <c r="Y151" s="412" t="s">
        <v>348</v>
      </c>
      <c r="Z151" s="492">
        <v>0.98</v>
      </c>
      <c r="AA151" s="412" t="s">
        <v>347</v>
      </c>
      <c r="AB151" s="444">
        <v>1.5</v>
      </c>
      <c r="AC151" s="412" t="s">
        <v>346</v>
      </c>
      <c r="AD151" s="412">
        <v>312</v>
      </c>
      <c r="AE151" s="412" t="s">
        <v>251</v>
      </c>
      <c r="AF151" s="445">
        <f>70+AH151</f>
        <v>124.1</v>
      </c>
      <c r="AG151" s="412" t="s">
        <v>250</v>
      </c>
      <c r="AH151" s="490">
        <v>54.1</v>
      </c>
      <c r="AI151" s="412" t="s">
        <v>345</v>
      </c>
      <c r="AJ151" s="418">
        <v>0.8</v>
      </c>
      <c r="AK151" s="158"/>
      <c r="AL151" s="158"/>
      <c r="AM151" s="158"/>
      <c r="AN151" s="158"/>
      <c r="AO151" s="158"/>
      <c r="AP151" s="158"/>
      <c r="AQ151" s="158"/>
      <c r="AR151" s="158"/>
      <c r="AS151" s="158"/>
      <c r="AT151" s="158"/>
      <c r="AV151" s="413"/>
      <c r="AW151" s="413"/>
      <c r="AX151" s="414"/>
      <c r="AY151" s="415"/>
      <c r="AZ151" s="416"/>
    </row>
    <row r="152" spans="1:52">
      <c r="A152" s="5" t="str">
        <f t="shared" si="12"/>
        <v>Bus - SB Assessments_Thermostat - Programmable</v>
      </c>
      <c r="B152" s="407">
        <v>149</v>
      </c>
      <c r="C152" s="446" t="s">
        <v>709</v>
      </c>
      <c r="D152" s="446" t="s">
        <v>226</v>
      </c>
      <c r="E152" s="408" t="s">
        <v>150</v>
      </c>
      <c r="F152" s="408">
        <v>1</v>
      </c>
      <c r="G152" s="409">
        <v>0.92</v>
      </c>
      <c r="H152" s="470">
        <v>4</v>
      </c>
      <c r="I152" s="463">
        <v>4</v>
      </c>
      <c r="J152" s="408">
        <v>10</v>
      </c>
      <c r="K152" s="408">
        <v>10</v>
      </c>
      <c r="L152" s="408">
        <v>10</v>
      </c>
      <c r="M152" s="408">
        <v>10</v>
      </c>
      <c r="N152" s="462">
        <f>'Thermostat Detail'!L13</f>
        <v>124.68584320000001</v>
      </c>
      <c r="O152" s="461">
        <f t="shared" si="13"/>
        <v>124.68584320000001</v>
      </c>
      <c r="P152" s="461">
        <f t="shared" si="13"/>
        <v>124.68584320000001</v>
      </c>
      <c r="Q152" s="461">
        <f t="shared" si="13"/>
        <v>124.68584320000001</v>
      </c>
      <c r="R152" s="411"/>
      <c r="S152" s="411" t="s">
        <v>1046</v>
      </c>
      <c r="T152" s="411" t="str">
        <f>T140</f>
        <v>4.4.18</v>
      </c>
      <c r="U152" s="411" t="str">
        <f>U140</f>
        <v>CI-HVC-PROG-V02-150601</v>
      </c>
      <c r="V152" s="149" t="s">
        <v>824</v>
      </c>
      <c r="W152" s="412"/>
      <c r="X152" s="412"/>
      <c r="Y152" s="412"/>
      <c r="Z152" s="443"/>
      <c r="AA152" s="412"/>
      <c r="AB152" s="444"/>
      <c r="AC152" s="412"/>
      <c r="AD152" s="412"/>
      <c r="AE152" s="412"/>
      <c r="AF152" s="445"/>
      <c r="AG152" s="412"/>
      <c r="AH152" s="445"/>
      <c r="AI152" s="412"/>
      <c r="AJ152" s="418"/>
      <c r="AK152" s="158"/>
      <c r="AL152" s="158"/>
      <c r="AM152" s="158"/>
      <c r="AN152" s="158"/>
      <c r="AO152" s="158"/>
      <c r="AP152" s="158"/>
      <c r="AQ152" s="158"/>
      <c r="AR152" s="158"/>
      <c r="AS152" s="158"/>
      <c r="AT152" s="158"/>
      <c r="AV152" s="413"/>
      <c r="AW152" s="413"/>
      <c r="AX152" s="414"/>
      <c r="AY152" s="415"/>
      <c r="AZ152" s="416"/>
    </row>
    <row r="153" spans="1:52">
      <c r="A153" s="5" t="str">
        <f t="shared" si="12"/>
        <v>Bus - CI Assessments_Gas Optimization</v>
      </c>
      <c r="B153" s="407">
        <v>150</v>
      </c>
      <c r="C153" s="407" t="s">
        <v>708</v>
      </c>
      <c r="D153" s="407" t="s">
        <v>670</v>
      </c>
      <c r="E153" s="408" t="s">
        <v>150</v>
      </c>
      <c r="F153" s="408">
        <v>1</v>
      </c>
      <c r="G153" s="409">
        <v>1.02</v>
      </c>
      <c r="H153" s="470">
        <v>15</v>
      </c>
      <c r="I153" s="463">
        <v>15</v>
      </c>
      <c r="J153" s="408">
        <v>7</v>
      </c>
      <c r="K153" s="408">
        <f t="shared" ref="K153:M154" si="14">J153</f>
        <v>7</v>
      </c>
      <c r="L153" s="408">
        <f t="shared" si="14"/>
        <v>7</v>
      </c>
      <c r="M153" s="408">
        <f t="shared" si="14"/>
        <v>7</v>
      </c>
      <c r="N153" s="461">
        <v>83100</v>
      </c>
      <c r="O153" s="461">
        <f t="shared" si="13"/>
        <v>83100</v>
      </c>
      <c r="P153" s="461">
        <f t="shared" si="13"/>
        <v>83100</v>
      </c>
      <c r="Q153" s="461">
        <f t="shared" si="13"/>
        <v>83100</v>
      </c>
      <c r="R153" s="411"/>
      <c r="S153" s="411" t="s">
        <v>140</v>
      </c>
      <c r="T153" s="411" t="s">
        <v>140</v>
      </c>
      <c r="U153" s="411" t="s">
        <v>140</v>
      </c>
      <c r="V153" s="412" t="s">
        <v>140</v>
      </c>
      <c r="W153" s="412"/>
      <c r="X153" s="412"/>
      <c r="Y153" s="412"/>
      <c r="Z153" s="412"/>
      <c r="AA153" s="412"/>
      <c r="AB153" s="412"/>
      <c r="AC153" s="412"/>
      <c r="AD153" s="412"/>
      <c r="AE153" s="412"/>
      <c r="AF153" s="412"/>
      <c r="AG153" s="412"/>
      <c r="AH153" s="412"/>
      <c r="AI153" s="412"/>
      <c r="AJ153" s="412"/>
      <c r="AK153" s="412"/>
      <c r="AL153" s="412"/>
      <c r="AM153" s="412"/>
      <c r="AN153" s="412"/>
      <c r="AO153" s="412"/>
      <c r="AP153" s="412"/>
      <c r="AQ153" s="412"/>
      <c r="AR153" s="412"/>
      <c r="AS153" s="412"/>
      <c r="AT153" s="412"/>
      <c r="AV153" s="413"/>
      <c r="AW153" s="413"/>
      <c r="AX153" s="414"/>
      <c r="AY153" s="415"/>
      <c r="AZ153" s="416"/>
    </row>
    <row r="154" spans="1:52">
      <c r="A154" s="5" t="str">
        <f t="shared" si="12"/>
        <v>Bus - CI Assessments_Retrocommissioning</v>
      </c>
      <c r="B154" s="407">
        <v>151</v>
      </c>
      <c r="C154" s="407" t="s">
        <v>708</v>
      </c>
      <c r="D154" s="407" t="s">
        <v>671</v>
      </c>
      <c r="E154" s="408" t="s">
        <v>150</v>
      </c>
      <c r="F154" s="408">
        <v>1</v>
      </c>
      <c r="G154" s="409">
        <v>1.02</v>
      </c>
      <c r="H154" s="470">
        <v>15</v>
      </c>
      <c r="I154" s="463">
        <v>15</v>
      </c>
      <c r="J154" s="408">
        <v>6</v>
      </c>
      <c r="K154" s="408">
        <f t="shared" si="14"/>
        <v>6</v>
      </c>
      <c r="L154" s="408">
        <f t="shared" si="14"/>
        <v>6</v>
      </c>
      <c r="M154" s="408">
        <f t="shared" si="14"/>
        <v>6</v>
      </c>
      <c r="N154" s="461">
        <v>59000</v>
      </c>
      <c r="O154" s="461">
        <f t="shared" si="13"/>
        <v>59000</v>
      </c>
      <c r="P154" s="461">
        <f t="shared" si="13"/>
        <v>59000</v>
      </c>
      <c r="Q154" s="461">
        <f t="shared" si="13"/>
        <v>59000</v>
      </c>
      <c r="R154" s="411"/>
      <c r="S154" s="411" t="s">
        <v>140</v>
      </c>
      <c r="T154" s="411" t="s">
        <v>140</v>
      </c>
      <c r="U154" s="411" t="s">
        <v>140</v>
      </c>
      <c r="V154" s="412" t="s">
        <v>140</v>
      </c>
      <c r="W154" s="412"/>
      <c r="X154" s="412"/>
      <c r="Y154" s="412"/>
      <c r="Z154" s="412"/>
      <c r="AA154" s="412"/>
      <c r="AB154" s="412"/>
      <c r="AC154" s="412"/>
      <c r="AD154" s="412"/>
      <c r="AE154" s="412"/>
      <c r="AF154" s="412"/>
      <c r="AG154" s="412"/>
      <c r="AH154" s="412"/>
      <c r="AI154" s="412"/>
      <c r="AJ154" s="412"/>
      <c r="AK154" s="412"/>
      <c r="AL154" s="412"/>
      <c r="AM154" s="412"/>
      <c r="AN154" s="412"/>
      <c r="AO154" s="412"/>
      <c r="AP154" s="412"/>
      <c r="AQ154" s="412"/>
      <c r="AR154" s="412"/>
      <c r="AS154" s="412"/>
      <c r="AT154" s="412"/>
      <c r="AV154" s="413"/>
      <c r="AW154" s="413"/>
      <c r="AX154" s="414"/>
      <c r="AY154" s="415"/>
      <c r="AZ154" s="416"/>
    </row>
    <row r="155" spans="1:52">
      <c r="A155" s="5" t="str">
        <f t="shared" si="12"/>
        <v>Bus - CI Assessments_Engineering Study</v>
      </c>
      <c r="B155" s="407">
        <v>152</v>
      </c>
      <c r="C155" s="407" t="s">
        <v>708</v>
      </c>
      <c r="D155" s="407" t="s">
        <v>672</v>
      </c>
      <c r="E155" s="408" t="s">
        <v>150</v>
      </c>
      <c r="F155" s="408">
        <v>1</v>
      </c>
      <c r="G155" s="409">
        <v>1.02</v>
      </c>
      <c r="H155" s="470">
        <v>0</v>
      </c>
      <c r="I155" s="463">
        <v>0</v>
      </c>
      <c r="J155" s="408"/>
      <c r="K155" s="408">
        <v>0</v>
      </c>
      <c r="L155" s="408">
        <v>0</v>
      </c>
      <c r="M155" s="408">
        <v>0</v>
      </c>
      <c r="N155" s="461">
        <v>1</v>
      </c>
      <c r="O155" s="461">
        <f t="shared" si="13"/>
        <v>1</v>
      </c>
      <c r="P155" s="461">
        <f t="shared" si="13"/>
        <v>1</v>
      </c>
      <c r="Q155" s="461">
        <f t="shared" si="13"/>
        <v>1</v>
      </c>
      <c r="R155" s="411"/>
      <c r="S155" s="411" t="s">
        <v>140</v>
      </c>
      <c r="T155" s="411" t="s">
        <v>140</v>
      </c>
      <c r="U155" s="411" t="s">
        <v>140</v>
      </c>
      <c r="V155" s="412" t="s">
        <v>140</v>
      </c>
      <c r="W155" s="412"/>
      <c r="X155" s="412"/>
      <c r="Y155" s="412"/>
      <c r="Z155" s="412"/>
      <c r="AA155" s="412"/>
      <c r="AB155" s="412"/>
      <c r="AC155" s="412"/>
      <c r="AD155" s="412"/>
      <c r="AE155" s="412"/>
      <c r="AF155" s="412"/>
      <c r="AG155" s="412"/>
      <c r="AH155" s="412"/>
      <c r="AI155" s="412"/>
      <c r="AJ155" s="412"/>
      <c r="AK155" s="412"/>
      <c r="AL155" s="412"/>
      <c r="AM155" s="412"/>
      <c r="AN155" s="412"/>
      <c r="AO155" s="412"/>
      <c r="AP155" s="412"/>
      <c r="AQ155" s="412"/>
      <c r="AR155" s="412"/>
      <c r="AS155" s="412"/>
      <c r="AT155" s="412"/>
      <c r="AV155" s="413"/>
      <c r="AW155" s="413"/>
      <c r="AX155" s="414"/>
      <c r="AY155" s="415"/>
      <c r="AZ155" s="416"/>
    </row>
    <row r="156" spans="1:52">
      <c r="A156" s="5" t="str">
        <f t="shared" si="12"/>
        <v>Bus - CI Rebates_Staffing</v>
      </c>
      <c r="B156" s="407">
        <v>153</v>
      </c>
      <c r="C156" s="407" t="s">
        <v>711</v>
      </c>
      <c r="D156" s="407" t="s">
        <v>673</v>
      </c>
      <c r="E156" s="408" t="s">
        <v>150</v>
      </c>
      <c r="F156" s="408">
        <v>1</v>
      </c>
      <c r="G156" s="409">
        <v>1.02</v>
      </c>
      <c r="H156" s="470">
        <v>0</v>
      </c>
      <c r="I156" s="463">
        <v>0</v>
      </c>
      <c r="J156" s="408"/>
      <c r="K156" s="408">
        <v>0</v>
      </c>
      <c r="L156" s="408">
        <v>0</v>
      </c>
      <c r="M156" s="408">
        <v>0</v>
      </c>
      <c r="N156" s="208">
        <v>1</v>
      </c>
      <c r="O156" s="461">
        <f t="shared" si="13"/>
        <v>1</v>
      </c>
      <c r="P156" s="461">
        <f t="shared" si="13"/>
        <v>1</v>
      </c>
      <c r="Q156" s="461">
        <f t="shared" si="13"/>
        <v>1</v>
      </c>
      <c r="R156" s="411"/>
      <c r="S156" s="411" t="s">
        <v>140</v>
      </c>
      <c r="T156" s="411" t="s">
        <v>140</v>
      </c>
      <c r="U156" s="411" t="s">
        <v>140</v>
      </c>
      <c r="V156" s="412" t="s">
        <v>140</v>
      </c>
      <c r="W156" s="161"/>
      <c r="X156" s="161"/>
      <c r="Y156" s="412"/>
      <c r="Z156" s="412"/>
      <c r="AA156" s="162"/>
      <c r="AB156" s="412"/>
      <c r="AC156" s="149"/>
      <c r="AD156" s="412"/>
      <c r="AE156" s="149"/>
      <c r="AF156" s="412"/>
      <c r="AG156" s="412"/>
      <c r="AH156" s="412"/>
      <c r="AI156" s="412"/>
      <c r="AJ156" s="412"/>
      <c r="AK156" s="412"/>
      <c r="AL156" s="412"/>
      <c r="AM156" s="412"/>
      <c r="AN156" s="412"/>
      <c r="AO156" s="412"/>
      <c r="AP156" s="412"/>
      <c r="AQ156" s="412"/>
      <c r="AR156" s="412"/>
      <c r="AS156" s="412"/>
      <c r="AT156" s="412"/>
      <c r="AV156" s="413"/>
      <c r="AW156" s="413"/>
      <c r="AX156" s="414"/>
      <c r="AY156" s="415"/>
      <c r="AZ156" s="416"/>
    </row>
    <row r="157" spans="1:52">
      <c r="A157" s="5" t="str">
        <f t="shared" si="12"/>
        <v>Bus - SB Rebates_Boiler ≥88% AFUE, &lt;300MBh</v>
      </c>
      <c r="B157" s="407">
        <v>154</v>
      </c>
      <c r="C157" s="408" t="s">
        <v>712</v>
      </c>
      <c r="D157" s="407" t="s">
        <v>718</v>
      </c>
      <c r="E157" s="408" t="s">
        <v>240</v>
      </c>
      <c r="F157" s="408">
        <v>150</v>
      </c>
      <c r="G157" s="409">
        <v>0.92</v>
      </c>
      <c r="H157" s="470">
        <v>20</v>
      </c>
      <c r="I157" s="463">
        <v>20</v>
      </c>
      <c r="J157" s="408"/>
      <c r="K157" s="408">
        <v>0</v>
      </c>
      <c r="L157" s="408">
        <v>0</v>
      </c>
      <c r="M157" s="408">
        <v>0</v>
      </c>
      <c r="N157" s="208">
        <f>X157*Z157*((AB157-AD157)/AD157)/100000/F157</f>
        <v>1.1919512195121962</v>
      </c>
      <c r="O157" s="461">
        <f t="shared" si="13"/>
        <v>1.1919512195121962</v>
      </c>
      <c r="P157" s="461">
        <f t="shared" si="13"/>
        <v>1.1919512195121962</v>
      </c>
      <c r="Q157" s="461">
        <f t="shared" si="13"/>
        <v>1.1919512195121962</v>
      </c>
      <c r="R157" s="411"/>
      <c r="S157" s="411" t="s">
        <v>1046</v>
      </c>
      <c r="T157" s="411" t="s">
        <v>343</v>
      </c>
      <c r="U157" s="411" t="s">
        <v>342</v>
      </c>
      <c r="V157" s="158" t="s">
        <v>340</v>
      </c>
      <c r="W157" s="496" t="s">
        <v>1434</v>
      </c>
      <c r="X157" s="495">
        <v>1629</v>
      </c>
      <c r="Y157" s="150" t="s">
        <v>273</v>
      </c>
      <c r="Z157" s="424">
        <v>150000</v>
      </c>
      <c r="AA157" s="150" t="s">
        <v>341</v>
      </c>
      <c r="AB157" s="423">
        <v>0.88</v>
      </c>
      <c r="AC157" s="158" t="s">
        <v>248</v>
      </c>
      <c r="AD157" s="423">
        <v>0.82</v>
      </c>
      <c r="AE157" s="158"/>
      <c r="AF157" s="158"/>
      <c r="AG157" s="158"/>
      <c r="AH157" s="158"/>
      <c r="AI157" s="158"/>
      <c r="AJ157" s="158"/>
      <c r="AK157" s="158"/>
      <c r="AL157" s="158"/>
      <c r="AM157" s="158"/>
      <c r="AN157" s="158"/>
      <c r="AO157" s="158"/>
      <c r="AP157" s="158"/>
      <c r="AQ157" s="158"/>
      <c r="AR157" s="158"/>
      <c r="AS157" s="158"/>
      <c r="AT157" s="158"/>
      <c r="AV157" s="413"/>
      <c r="AW157" s="413"/>
      <c r="AX157" s="414"/>
      <c r="AY157" s="420"/>
      <c r="AZ157" s="416"/>
    </row>
    <row r="158" spans="1:52">
      <c r="A158" s="5" t="str">
        <f t="shared" si="12"/>
        <v>Bus - SB Rebates_Boiler ≥88% AFUE, ≥300MBh TE</v>
      </c>
      <c r="B158" s="407">
        <v>155</v>
      </c>
      <c r="C158" s="408" t="s">
        <v>712</v>
      </c>
      <c r="D158" s="407" t="s">
        <v>719</v>
      </c>
      <c r="E158" s="408" t="s">
        <v>240</v>
      </c>
      <c r="F158" s="408">
        <v>350</v>
      </c>
      <c r="G158" s="409">
        <v>0.92</v>
      </c>
      <c r="H158" s="470">
        <v>20</v>
      </c>
      <c r="I158" s="463">
        <v>20</v>
      </c>
      <c r="J158" s="408">
        <v>2</v>
      </c>
      <c r="K158" s="408">
        <v>2</v>
      </c>
      <c r="L158" s="408">
        <v>2</v>
      </c>
      <c r="M158" s="408">
        <v>2</v>
      </c>
      <c r="N158" s="208">
        <f>X158*Z158*((AB158-AD158)/AD158)/100000/F158</f>
        <v>1.6289999999999993</v>
      </c>
      <c r="O158" s="461">
        <f t="shared" si="13"/>
        <v>1.6289999999999993</v>
      </c>
      <c r="P158" s="461">
        <f t="shared" si="13"/>
        <v>1.6289999999999993</v>
      </c>
      <c r="Q158" s="461">
        <f t="shared" si="13"/>
        <v>1.6289999999999993</v>
      </c>
      <c r="R158" s="411"/>
      <c r="S158" s="411" t="s">
        <v>1046</v>
      </c>
      <c r="T158" s="411" t="s">
        <v>343</v>
      </c>
      <c r="U158" s="411" t="s">
        <v>342</v>
      </c>
      <c r="V158" s="158" t="s">
        <v>340</v>
      </c>
      <c r="W158" s="496" t="s">
        <v>1434</v>
      </c>
      <c r="X158" s="495">
        <v>1629</v>
      </c>
      <c r="Y158" s="150" t="s">
        <v>273</v>
      </c>
      <c r="Z158" s="424">
        <v>350000</v>
      </c>
      <c r="AA158" s="150" t="s">
        <v>341</v>
      </c>
      <c r="AB158" s="423">
        <v>0.88</v>
      </c>
      <c r="AC158" s="158" t="s">
        <v>248</v>
      </c>
      <c r="AD158" s="423">
        <v>0.8</v>
      </c>
      <c r="AE158" s="158"/>
      <c r="AF158" s="158"/>
      <c r="AG158" s="158"/>
      <c r="AH158" s="158"/>
      <c r="AI158" s="158"/>
      <c r="AJ158" s="158"/>
      <c r="AK158" s="158"/>
      <c r="AL158" s="158"/>
      <c r="AM158" s="158"/>
      <c r="AN158" s="158"/>
      <c r="AO158" s="158"/>
      <c r="AP158" s="158"/>
      <c r="AQ158" s="158"/>
      <c r="AR158" s="158"/>
      <c r="AS158" s="158"/>
      <c r="AT158" s="158"/>
      <c r="AV158" s="413"/>
      <c r="AW158" s="413"/>
      <c r="AX158" s="414"/>
      <c r="AY158" s="420"/>
      <c r="AZ158" s="416"/>
    </row>
    <row r="159" spans="1:52">
      <c r="A159" s="5" t="str">
        <f t="shared" si="12"/>
        <v>Bus - SB Rebates_Boiler Reset Controls</v>
      </c>
      <c r="B159" s="407">
        <v>156</v>
      </c>
      <c r="C159" s="408" t="s">
        <v>712</v>
      </c>
      <c r="D159" s="407" t="s">
        <v>1065</v>
      </c>
      <c r="E159" s="408" t="s">
        <v>150</v>
      </c>
      <c r="F159" s="408">
        <v>200</v>
      </c>
      <c r="G159" s="409">
        <v>0.92</v>
      </c>
      <c r="H159" s="470">
        <v>20</v>
      </c>
      <c r="I159" s="463">
        <v>20</v>
      </c>
      <c r="J159" s="408">
        <v>5</v>
      </c>
      <c r="K159" s="408">
        <v>5</v>
      </c>
      <c r="L159" s="408">
        <v>5</v>
      </c>
      <c r="M159" s="408">
        <v>5</v>
      </c>
      <c r="N159" s="208">
        <f>X159*Z159/100</f>
        <v>1.3031999999999999</v>
      </c>
      <c r="O159" s="461">
        <f t="shared" si="13"/>
        <v>1.3031999999999999</v>
      </c>
      <c r="P159" s="461">
        <f t="shared" si="13"/>
        <v>1.3031999999999999</v>
      </c>
      <c r="Q159" s="461">
        <f t="shared" si="13"/>
        <v>1.3031999999999999</v>
      </c>
      <c r="R159" s="411"/>
      <c r="S159" s="411" t="s">
        <v>1046</v>
      </c>
      <c r="T159" s="411" t="s">
        <v>339</v>
      </c>
      <c r="U159" s="411" t="s">
        <v>338</v>
      </c>
      <c r="V159" s="158" t="s">
        <v>336</v>
      </c>
      <c r="W159" s="496" t="s">
        <v>1434</v>
      </c>
      <c r="X159" s="495">
        <v>1629</v>
      </c>
      <c r="Y159" s="150" t="s">
        <v>337</v>
      </c>
      <c r="Z159" s="425">
        <v>0.08</v>
      </c>
      <c r="AA159" s="150"/>
      <c r="AB159" s="150"/>
      <c r="AC159" s="150"/>
      <c r="AD159" s="150"/>
      <c r="AE159" s="150"/>
      <c r="AF159" s="158"/>
      <c r="AG159" s="158"/>
      <c r="AH159" s="158"/>
      <c r="AI159" s="158"/>
      <c r="AJ159" s="158"/>
      <c r="AK159" s="158"/>
      <c r="AL159" s="158"/>
      <c r="AM159" s="158"/>
      <c r="AN159" s="158"/>
      <c r="AO159" s="158"/>
      <c r="AP159" s="158"/>
      <c r="AQ159" s="158"/>
      <c r="AR159" s="158"/>
      <c r="AS159" s="158"/>
      <c r="AT159" s="158"/>
      <c r="AV159" s="413"/>
      <c r="AW159" s="413"/>
      <c r="AX159" s="414"/>
      <c r="AY159" s="415"/>
      <c r="AZ159" s="416"/>
    </row>
    <row r="160" spans="1:52">
      <c r="A160" s="5" t="str">
        <f t="shared" si="12"/>
        <v>Bus - SB Rebates_Boiler Tune Up - Process</v>
      </c>
      <c r="B160" s="407">
        <v>157</v>
      </c>
      <c r="C160" s="408" t="s">
        <v>712</v>
      </c>
      <c r="D160" s="407" t="s">
        <v>335</v>
      </c>
      <c r="E160" s="408" t="s">
        <v>240</v>
      </c>
      <c r="F160" s="408">
        <v>200</v>
      </c>
      <c r="G160" s="409">
        <v>0.92</v>
      </c>
      <c r="H160" s="470">
        <v>3</v>
      </c>
      <c r="I160" s="463">
        <v>3</v>
      </c>
      <c r="J160" s="408">
        <v>0</v>
      </c>
      <c r="K160" s="408">
        <v>0</v>
      </c>
      <c r="L160" s="408">
        <v>0</v>
      </c>
      <c r="M160" s="408">
        <v>0</v>
      </c>
      <c r="N160" s="208">
        <f>(X160*8766*Z160)/100*(1-AB160/AD160)</f>
        <v>0.83823507428978783</v>
      </c>
      <c r="O160" s="461">
        <f t="shared" si="13"/>
        <v>0.83823507428978783</v>
      </c>
      <c r="P160" s="461">
        <f t="shared" si="13"/>
        <v>0.83823507428978783</v>
      </c>
      <c r="Q160" s="461">
        <f t="shared" si="13"/>
        <v>0.83823507428978783</v>
      </c>
      <c r="R160" s="411"/>
      <c r="S160" s="411" t="s">
        <v>1046</v>
      </c>
      <c r="T160" s="411" t="s">
        <v>334</v>
      </c>
      <c r="U160" s="411" t="s">
        <v>333</v>
      </c>
      <c r="V160" s="158" t="s">
        <v>328</v>
      </c>
      <c r="W160" s="158" t="s">
        <v>332</v>
      </c>
      <c r="X160" s="424">
        <v>1</v>
      </c>
      <c r="Y160" s="158" t="s">
        <v>331</v>
      </c>
      <c r="Z160" s="431">
        <v>0.41899999999999998</v>
      </c>
      <c r="AA160" s="150" t="s">
        <v>330</v>
      </c>
      <c r="AB160" s="432">
        <v>0.82210000000000005</v>
      </c>
      <c r="AC160" s="150" t="s">
        <v>329</v>
      </c>
      <c r="AD160" s="432">
        <v>0.84130000000000005</v>
      </c>
      <c r="AE160" s="150"/>
      <c r="AF160" s="158"/>
      <c r="AG160" s="158"/>
      <c r="AH160" s="158"/>
      <c r="AI160" s="158"/>
      <c r="AJ160" s="158"/>
      <c r="AK160" s="158"/>
      <c r="AL160" s="158"/>
      <c r="AM160" s="158"/>
      <c r="AN160" s="158"/>
      <c r="AO160" s="158"/>
      <c r="AP160" s="158"/>
      <c r="AQ160" s="158"/>
      <c r="AR160" s="158"/>
      <c r="AS160" s="158"/>
      <c r="AT160" s="158"/>
      <c r="AV160" s="413"/>
      <c r="AW160" s="413"/>
      <c r="AX160" s="414"/>
      <c r="AY160" s="415"/>
      <c r="AZ160" s="416"/>
    </row>
    <row r="161" spans="1:52">
      <c r="A161" s="5" t="str">
        <f t="shared" si="12"/>
        <v>Bus - SB Rebates_Boiler Tune Up - Space Heating</v>
      </c>
      <c r="B161" s="407">
        <v>158</v>
      </c>
      <c r="C161" s="408" t="s">
        <v>712</v>
      </c>
      <c r="D161" s="407" t="s">
        <v>724</v>
      </c>
      <c r="E161" s="408" t="s">
        <v>240</v>
      </c>
      <c r="F161" s="408">
        <v>200</v>
      </c>
      <c r="G161" s="409">
        <v>0.92</v>
      </c>
      <c r="H161" s="470">
        <v>3</v>
      </c>
      <c r="I161" s="463">
        <v>3</v>
      </c>
      <c r="J161" s="408">
        <v>0</v>
      </c>
      <c r="K161" s="408">
        <v>0</v>
      </c>
      <c r="L161" s="408">
        <v>0</v>
      </c>
      <c r="M161" s="408">
        <v>0</v>
      </c>
      <c r="N161" s="208">
        <f>AD161*(X161*((AB161/Z161)-1))/100000</f>
        <v>0.38045006690183525</v>
      </c>
      <c r="O161" s="461">
        <f t="shared" si="13"/>
        <v>0.38045006690183525</v>
      </c>
      <c r="P161" s="461">
        <f t="shared" si="13"/>
        <v>0.38045006690183525</v>
      </c>
      <c r="Q161" s="461">
        <f t="shared" si="13"/>
        <v>0.38045006690183525</v>
      </c>
      <c r="R161" s="411"/>
      <c r="S161" s="411" t="s">
        <v>1046</v>
      </c>
      <c r="T161" s="411" t="s">
        <v>327</v>
      </c>
      <c r="U161" s="411" t="s">
        <v>326</v>
      </c>
      <c r="V161" s="158" t="s">
        <v>322</v>
      </c>
      <c r="W161" s="496" t="s">
        <v>1434</v>
      </c>
      <c r="X161" s="495">
        <v>1629</v>
      </c>
      <c r="Y161" s="150" t="s">
        <v>325</v>
      </c>
      <c r="Z161" s="432">
        <v>0.82210000000000005</v>
      </c>
      <c r="AA161" s="150" t="s">
        <v>324</v>
      </c>
      <c r="AB161" s="432">
        <v>0.84130000000000005</v>
      </c>
      <c r="AC161" s="158" t="s">
        <v>323</v>
      </c>
      <c r="AD161" s="433">
        <v>1000</v>
      </c>
      <c r="AE161" s="158"/>
      <c r="AF161" s="158"/>
      <c r="AG161" s="158"/>
      <c r="AH161" s="158"/>
      <c r="AI161" s="158"/>
      <c r="AJ161" s="158"/>
      <c r="AK161" s="158"/>
      <c r="AL161" s="158"/>
      <c r="AM161" s="158"/>
      <c r="AN161" s="158"/>
      <c r="AO161" s="158"/>
      <c r="AP161" s="158"/>
      <c r="AQ161" s="158"/>
      <c r="AR161" s="158"/>
      <c r="AS161" s="158"/>
      <c r="AT161" s="158"/>
      <c r="AV161" s="413"/>
      <c r="AW161" s="413"/>
      <c r="AX161" s="414"/>
      <c r="AY161" s="415"/>
      <c r="AZ161" s="416"/>
    </row>
    <row r="162" spans="1:52">
      <c r="A162" s="5" t="str">
        <f t="shared" si="12"/>
        <v>Bus - SB Rebates_Condensing Unit Heater</v>
      </c>
      <c r="B162" s="407">
        <v>159</v>
      </c>
      <c r="C162" s="408" t="s">
        <v>712</v>
      </c>
      <c r="D162" s="407" t="s">
        <v>321</v>
      </c>
      <c r="E162" s="408" t="s">
        <v>240</v>
      </c>
      <c r="F162" s="408">
        <v>150</v>
      </c>
      <c r="G162" s="409">
        <v>0.92</v>
      </c>
      <c r="H162" s="470">
        <v>12</v>
      </c>
      <c r="I162" s="463">
        <v>12</v>
      </c>
      <c r="J162" s="408"/>
      <c r="K162" s="408">
        <v>0</v>
      </c>
      <c r="L162" s="408">
        <v>0</v>
      </c>
      <c r="M162" s="408">
        <v>0</v>
      </c>
      <c r="N162" s="208">
        <f>266/F162</f>
        <v>1.7733333333333334</v>
      </c>
      <c r="O162" s="461">
        <f t="shared" si="13"/>
        <v>1.7733333333333334</v>
      </c>
      <c r="P162" s="461">
        <f t="shared" si="13"/>
        <v>1.7733333333333334</v>
      </c>
      <c r="Q162" s="461">
        <f t="shared" si="13"/>
        <v>1.7733333333333334</v>
      </c>
      <c r="R162" s="411"/>
      <c r="S162" s="411" t="s">
        <v>1046</v>
      </c>
      <c r="T162" s="411" t="s">
        <v>320</v>
      </c>
      <c r="U162" s="411" t="s">
        <v>319</v>
      </c>
      <c r="V162" s="158" t="s">
        <v>318</v>
      </c>
      <c r="W162" s="158"/>
      <c r="X162" s="158"/>
      <c r="Y162" s="158"/>
      <c r="Z162" s="158"/>
      <c r="AA162" s="150"/>
      <c r="AB162" s="158"/>
      <c r="AC162" s="150"/>
      <c r="AD162" s="158"/>
      <c r="AE162" s="150"/>
      <c r="AF162" s="158"/>
      <c r="AG162" s="158"/>
      <c r="AH162" s="158"/>
      <c r="AI162" s="158"/>
      <c r="AJ162" s="158"/>
      <c r="AK162" s="158"/>
      <c r="AL162" s="158"/>
      <c r="AM162" s="158"/>
      <c r="AN162" s="158"/>
      <c r="AO162" s="158"/>
      <c r="AP162" s="158"/>
      <c r="AQ162" s="158"/>
      <c r="AR162" s="158"/>
      <c r="AS162" s="158"/>
      <c r="AT162" s="158"/>
      <c r="AV162" s="413"/>
      <c r="AW162" s="413"/>
      <c r="AX162" s="414"/>
      <c r="AY162" s="415"/>
      <c r="AZ162" s="416"/>
    </row>
    <row r="163" spans="1:52">
      <c r="A163" s="5" t="str">
        <f t="shared" si="12"/>
        <v>Bus - SB Rebates_DCV - Kitchen</v>
      </c>
      <c r="B163" s="407">
        <v>160</v>
      </c>
      <c r="C163" s="408" t="s">
        <v>712</v>
      </c>
      <c r="D163" s="407" t="s">
        <v>312</v>
      </c>
      <c r="E163" s="408" t="s">
        <v>150</v>
      </c>
      <c r="F163" s="408">
        <v>1</v>
      </c>
      <c r="G163" s="409">
        <v>0.92</v>
      </c>
      <c r="H163" s="470">
        <v>15</v>
      </c>
      <c r="I163" s="463">
        <v>15</v>
      </c>
      <c r="J163" s="408"/>
      <c r="K163" s="408">
        <v>0</v>
      </c>
      <c r="L163" s="408">
        <v>0</v>
      </c>
      <c r="M163" s="408">
        <v>0</v>
      </c>
      <c r="N163" s="208">
        <f>X163*Z163*AB163/(AD163*100000)</f>
        <v>5998.5</v>
      </c>
      <c r="O163" s="461">
        <f t="shared" si="13"/>
        <v>5998.5</v>
      </c>
      <c r="P163" s="461">
        <f t="shared" si="13"/>
        <v>5998.5</v>
      </c>
      <c r="Q163" s="461">
        <f t="shared" si="13"/>
        <v>5998.5</v>
      </c>
      <c r="R163" s="411"/>
      <c r="S163" s="411" t="s">
        <v>1046</v>
      </c>
      <c r="T163" s="411" t="s">
        <v>311</v>
      </c>
      <c r="U163" s="411" t="s">
        <v>310</v>
      </c>
      <c r="V163" s="158" t="s">
        <v>306</v>
      </c>
      <c r="W163" s="158" t="s">
        <v>305</v>
      </c>
      <c r="X163" s="158">
        <v>430</v>
      </c>
      <c r="Y163" s="158" t="s">
        <v>309</v>
      </c>
      <c r="Z163" s="158">
        <v>7.75</v>
      </c>
      <c r="AA163" s="150" t="s">
        <v>308</v>
      </c>
      <c r="AB163" s="437">
        <v>144000</v>
      </c>
      <c r="AC163" s="150" t="s">
        <v>307</v>
      </c>
      <c r="AD163" s="423">
        <v>0.8</v>
      </c>
      <c r="AE163" s="150"/>
      <c r="AF163" s="158"/>
      <c r="AG163" s="158"/>
      <c r="AH163" s="158"/>
      <c r="AI163" s="158"/>
      <c r="AJ163" s="158"/>
      <c r="AK163" s="158"/>
      <c r="AL163" s="158"/>
      <c r="AM163" s="158"/>
      <c r="AN163" s="158"/>
      <c r="AO163" s="158"/>
      <c r="AP163" s="158"/>
      <c r="AQ163" s="158"/>
      <c r="AR163" s="158"/>
      <c r="AS163" s="158"/>
      <c r="AT163" s="158"/>
      <c r="AV163" s="413"/>
      <c r="AW163" s="413"/>
      <c r="AX163" s="414"/>
      <c r="AY163" s="415"/>
      <c r="AZ163" s="416"/>
    </row>
    <row r="164" spans="1:52">
      <c r="A164" s="5" t="str">
        <f t="shared" si="12"/>
        <v>Bus - SB Rebates_Direct Fired Heaters</v>
      </c>
      <c r="B164" s="407">
        <v>161</v>
      </c>
      <c r="C164" s="408" t="s">
        <v>712</v>
      </c>
      <c r="D164" s="407" t="s">
        <v>317</v>
      </c>
      <c r="E164" s="408" t="s">
        <v>240</v>
      </c>
      <c r="F164" s="408">
        <v>150</v>
      </c>
      <c r="G164" s="409">
        <v>0.92</v>
      </c>
      <c r="H164" s="470">
        <v>20</v>
      </c>
      <c r="I164" s="463">
        <v>20</v>
      </c>
      <c r="J164" s="408"/>
      <c r="K164" s="408">
        <v>0</v>
      </c>
      <c r="L164" s="408">
        <v>0</v>
      </c>
      <c r="M164" s="408">
        <v>0</v>
      </c>
      <c r="N164" s="208">
        <f>AF164*X164*(Z164/AB164-1)/100000</f>
        <v>2.5169999999999986</v>
      </c>
      <c r="O164" s="461">
        <f t="shared" ref="O164:Q183" si="15">N164</f>
        <v>2.5169999999999986</v>
      </c>
      <c r="P164" s="461">
        <f t="shared" si="15"/>
        <v>2.5169999999999986</v>
      </c>
      <c r="Q164" s="461">
        <f t="shared" si="15"/>
        <v>2.5169999999999986</v>
      </c>
      <c r="R164" s="411"/>
      <c r="S164" s="411" t="s">
        <v>140</v>
      </c>
      <c r="T164" s="411" t="s">
        <v>140</v>
      </c>
      <c r="U164" s="411" t="s">
        <v>140</v>
      </c>
      <c r="V164" s="158" t="s">
        <v>313</v>
      </c>
      <c r="W164" s="158" t="s">
        <v>273</v>
      </c>
      <c r="X164" s="158">
        <v>1000</v>
      </c>
      <c r="Y164" s="158" t="s">
        <v>316</v>
      </c>
      <c r="Z164" s="423">
        <v>0.92</v>
      </c>
      <c r="AA164" s="150" t="s">
        <v>315</v>
      </c>
      <c r="AB164" s="423">
        <v>0.8</v>
      </c>
      <c r="AC164" s="494" t="s">
        <v>302</v>
      </c>
      <c r="AD164" s="496">
        <f>(1540+1782)/2</f>
        <v>1661</v>
      </c>
      <c r="AE164" s="494" t="s">
        <v>314</v>
      </c>
      <c r="AF164" s="496">
        <v>1678</v>
      </c>
      <c r="AG164" s="158"/>
      <c r="AH164" s="158"/>
      <c r="AI164" s="158"/>
      <c r="AJ164" s="158"/>
      <c r="AK164" s="158"/>
      <c r="AL164" s="158"/>
      <c r="AM164" s="158"/>
      <c r="AN164" s="158"/>
      <c r="AO164" s="158"/>
      <c r="AP164" s="158"/>
      <c r="AQ164" s="158"/>
      <c r="AR164" s="158"/>
      <c r="AS164" s="158"/>
      <c r="AT164" s="158"/>
      <c r="AV164" s="413"/>
      <c r="AW164" s="413"/>
      <c r="AX164" s="414"/>
      <c r="AY164" s="415"/>
      <c r="AZ164" s="416"/>
    </row>
    <row r="165" spans="1:52">
      <c r="A165" s="5" t="str">
        <f t="shared" si="12"/>
        <v>Bus - SB Rebates_Double Rack Oven</v>
      </c>
      <c r="B165" s="407">
        <v>162</v>
      </c>
      <c r="C165" s="408" t="s">
        <v>712</v>
      </c>
      <c r="D165" s="407" t="s">
        <v>186</v>
      </c>
      <c r="E165" s="408" t="s">
        <v>150</v>
      </c>
      <c r="F165" s="408">
        <v>1</v>
      </c>
      <c r="G165" s="409">
        <v>0.92</v>
      </c>
      <c r="H165" s="470">
        <v>12</v>
      </c>
      <c r="I165" s="463">
        <v>12</v>
      </c>
      <c r="J165" s="408">
        <v>5</v>
      </c>
      <c r="K165" s="408">
        <v>5</v>
      </c>
      <c r="L165" s="408">
        <v>5</v>
      </c>
      <c r="M165" s="408">
        <v>5</v>
      </c>
      <c r="N165" s="208">
        <v>1930</v>
      </c>
      <c r="O165" s="461">
        <f t="shared" si="15"/>
        <v>1930</v>
      </c>
      <c r="P165" s="461">
        <f t="shared" si="15"/>
        <v>1930</v>
      </c>
      <c r="Q165" s="461">
        <f t="shared" si="15"/>
        <v>1930</v>
      </c>
      <c r="R165" s="411"/>
      <c r="S165" s="411" t="s">
        <v>1046</v>
      </c>
      <c r="T165" s="411" t="s">
        <v>185</v>
      </c>
      <c r="U165" s="411" t="s">
        <v>184</v>
      </c>
      <c r="V165" s="158"/>
      <c r="W165" s="158"/>
      <c r="X165" s="158"/>
      <c r="Y165" s="158"/>
      <c r="Z165" s="158"/>
      <c r="AA165" s="150"/>
      <c r="AB165" s="158"/>
      <c r="AC165" s="150"/>
      <c r="AD165" s="158"/>
      <c r="AE165" s="150"/>
      <c r="AF165" s="158"/>
      <c r="AG165" s="158"/>
      <c r="AH165" s="158"/>
      <c r="AI165" s="158"/>
      <c r="AJ165" s="158"/>
      <c r="AK165" s="158"/>
      <c r="AL165" s="158"/>
      <c r="AM165" s="158"/>
      <c r="AN165" s="158"/>
      <c r="AO165" s="158"/>
      <c r="AP165" s="158"/>
      <c r="AQ165" s="158"/>
      <c r="AR165" s="158"/>
      <c r="AS165" s="158"/>
      <c r="AT165" s="158"/>
      <c r="AV165" s="413"/>
      <c r="AW165" s="413"/>
      <c r="AX165" s="414"/>
    </row>
    <row r="166" spans="1:52">
      <c r="A166" s="5" t="str">
        <f t="shared" si="12"/>
        <v>Bus - SB Rebates_Energy Star Convection Oven</v>
      </c>
      <c r="B166" s="407">
        <v>163</v>
      </c>
      <c r="C166" s="408" t="s">
        <v>712</v>
      </c>
      <c r="D166" s="407" t="s">
        <v>196</v>
      </c>
      <c r="E166" s="408" t="s">
        <v>150</v>
      </c>
      <c r="F166" s="408">
        <v>1</v>
      </c>
      <c r="G166" s="409">
        <v>0.92</v>
      </c>
      <c r="H166" s="470">
        <v>12</v>
      </c>
      <c r="I166" s="463">
        <v>12</v>
      </c>
      <c r="J166" s="408">
        <v>60</v>
      </c>
      <c r="K166" s="408">
        <v>60</v>
      </c>
      <c r="L166" s="408">
        <v>60</v>
      </c>
      <c r="M166" s="408">
        <v>60</v>
      </c>
      <c r="N166" s="208">
        <f>(X166+Z166+AB166)*365.35/100000</f>
        <v>352.14445072463781</v>
      </c>
      <c r="O166" s="461">
        <f t="shared" si="15"/>
        <v>352.14445072463781</v>
      </c>
      <c r="P166" s="461">
        <f t="shared" si="15"/>
        <v>352.14445072463781</v>
      </c>
      <c r="Q166" s="461">
        <f t="shared" si="15"/>
        <v>352.14445072463781</v>
      </c>
      <c r="R166" s="411"/>
      <c r="S166" s="411" t="s">
        <v>1046</v>
      </c>
      <c r="T166" s="411" t="s">
        <v>195</v>
      </c>
      <c r="U166" s="411" t="s">
        <v>194</v>
      </c>
      <c r="V166" s="158" t="s">
        <v>187</v>
      </c>
      <c r="W166" s="158" t="s">
        <v>190</v>
      </c>
      <c r="X166" s="424">
        <f>18000*10.3-12000*10.5</f>
        <v>59400</v>
      </c>
      <c r="Y166" s="158" t="s">
        <v>189</v>
      </c>
      <c r="Z166" s="424">
        <f>1*15/60*76000-1*15/60*44000</f>
        <v>8000</v>
      </c>
      <c r="AA166" s="150" t="s">
        <v>188</v>
      </c>
      <c r="AB166" s="424">
        <f>100*250/30%-100*250/46%</f>
        <v>28985.507246376823</v>
      </c>
      <c r="AC166" s="150"/>
      <c r="AD166" s="158"/>
      <c r="AE166" s="150"/>
      <c r="AF166" s="158"/>
      <c r="AG166" s="158"/>
      <c r="AH166" s="158"/>
      <c r="AI166" s="158"/>
      <c r="AJ166" s="158"/>
      <c r="AK166" s="158"/>
      <c r="AL166" s="158"/>
      <c r="AM166" s="158"/>
      <c r="AN166" s="158"/>
      <c r="AO166" s="158"/>
      <c r="AP166" s="158"/>
      <c r="AQ166" s="158"/>
      <c r="AR166" s="158"/>
      <c r="AS166" s="158"/>
      <c r="AT166" s="158"/>
      <c r="AV166" s="413"/>
      <c r="AW166" s="413"/>
      <c r="AX166" s="414"/>
    </row>
    <row r="167" spans="1:52">
      <c r="A167" s="5" t="str">
        <f t="shared" si="12"/>
        <v>Bus - SB Rebates_Energy Star Conveyer Oven</v>
      </c>
      <c r="B167" s="407">
        <v>164</v>
      </c>
      <c r="C167" s="408" t="s">
        <v>712</v>
      </c>
      <c r="D167" s="407" t="s">
        <v>199</v>
      </c>
      <c r="E167" s="408" t="s">
        <v>150</v>
      </c>
      <c r="F167" s="408">
        <v>1</v>
      </c>
      <c r="G167" s="409">
        <v>0.92</v>
      </c>
      <c r="H167" s="470">
        <v>17</v>
      </c>
      <c r="I167" s="463">
        <v>17</v>
      </c>
      <c r="J167" s="408">
        <v>50</v>
      </c>
      <c r="K167" s="408">
        <v>50</v>
      </c>
      <c r="L167" s="408">
        <v>50</v>
      </c>
      <c r="M167" s="408">
        <v>50</v>
      </c>
      <c r="N167" s="208">
        <v>884</v>
      </c>
      <c r="O167" s="461">
        <f t="shared" si="15"/>
        <v>884</v>
      </c>
      <c r="P167" s="461">
        <f t="shared" si="15"/>
        <v>884</v>
      </c>
      <c r="Q167" s="461">
        <f t="shared" si="15"/>
        <v>884</v>
      </c>
      <c r="R167" s="411"/>
      <c r="S167" s="411" t="s">
        <v>1046</v>
      </c>
      <c r="T167" s="411" t="s">
        <v>198</v>
      </c>
      <c r="U167" s="411" t="s">
        <v>197</v>
      </c>
      <c r="V167" s="158" t="s">
        <v>187</v>
      </c>
      <c r="W167" s="158"/>
      <c r="X167" s="424"/>
      <c r="Y167" s="158"/>
      <c r="Z167" s="424"/>
      <c r="AA167" s="150"/>
      <c r="AB167" s="424"/>
      <c r="AC167" s="150"/>
      <c r="AD167" s="158"/>
      <c r="AE167" s="150"/>
      <c r="AF167" s="158"/>
      <c r="AG167" s="158"/>
      <c r="AH167" s="158"/>
      <c r="AI167" s="158"/>
      <c r="AJ167" s="158"/>
      <c r="AK167" s="158"/>
      <c r="AL167" s="158"/>
      <c r="AM167" s="158"/>
      <c r="AN167" s="158"/>
      <c r="AO167" s="158"/>
      <c r="AP167" s="158"/>
      <c r="AQ167" s="158"/>
      <c r="AR167" s="158"/>
      <c r="AS167" s="158"/>
      <c r="AT167" s="158"/>
      <c r="AV167" s="413"/>
      <c r="AW167" s="413"/>
      <c r="AX167" s="414"/>
    </row>
    <row r="168" spans="1:52">
      <c r="A168" s="5" t="str">
        <f t="shared" si="12"/>
        <v>Bus - SB Rebates_Energy Star Fryer</v>
      </c>
      <c r="B168" s="407">
        <v>165</v>
      </c>
      <c r="C168" s="408" t="s">
        <v>712</v>
      </c>
      <c r="D168" s="407" t="s">
        <v>193</v>
      </c>
      <c r="E168" s="408" t="s">
        <v>150</v>
      </c>
      <c r="F168" s="408">
        <v>1</v>
      </c>
      <c r="G168" s="409">
        <v>0.92</v>
      </c>
      <c r="H168" s="470">
        <v>15</v>
      </c>
      <c r="I168" s="467">
        <v>12</v>
      </c>
      <c r="J168" s="408">
        <v>60</v>
      </c>
      <c r="K168" s="408">
        <v>60</v>
      </c>
      <c r="L168" s="408">
        <v>60</v>
      </c>
      <c r="M168" s="408">
        <v>60</v>
      </c>
      <c r="N168" s="208">
        <f>(X168+Z168+AB168)*365.35/100000</f>
        <v>505.37299714285717</v>
      </c>
      <c r="O168" s="461">
        <f t="shared" si="15"/>
        <v>505.37299714285717</v>
      </c>
      <c r="P168" s="461">
        <f t="shared" si="15"/>
        <v>505.37299714285717</v>
      </c>
      <c r="Q168" s="461">
        <f t="shared" si="15"/>
        <v>505.37299714285717</v>
      </c>
      <c r="R168" s="411"/>
      <c r="S168" s="411" t="s">
        <v>1046</v>
      </c>
      <c r="T168" s="411" t="s">
        <v>192</v>
      </c>
      <c r="U168" s="411" t="s">
        <v>191</v>
      </c>
      <c r="V168" s="158" t="s">
        <v>187</v>
      </c>
      <c r="W168" s="158" t="s">
        <v>190</v>
      </c>
      <c r="X168" s="424">
        <f>14000*13.25-9000*13.44</f>
        <v>64540</v>
      </c>
      <c r="Y168" s="158" t="s">
        <v>189</v>
      </c>
      <c r="Z168" s="158">
        <f>1*15/60*64000-1*15/60*62000</f>
        <v>500</v>
      </c>
      <c r="AA168" s="150" t="s">
        <v>188</v>
      </c>
      <c r="AB168" s="424">
        <f>150*570/35%-150*570/50%</f>
        <v>73285.71428571429</v>
      </c>
      <c r="AC168" s="150"/>
      <c r="AD168" s="158"/>
      <c r="AE168" s="150"/>
      <c r="AF168" s="158"/>
      <c r="AG168" s="158"/>
      <c r="AH168" s="158"/>
      <c r="AI168" s="158"/>
      <c r="AJ168" s="158"/>
      <c r="AK168" s="158"/>
      <c r="AL168" s="158"/>
      <c r="AM168" s="158"/>
      <c r="AN168" s="158"/>
      <c r="AO168" s="158"/>
      <c r="AP168" s="158"/>
      <c r="AQ168" s="158"/>
      <c r="AR168" s="158"/>
      <c r="AS168" s="158"/>
      <c r="AT168" s="158"/>
      <c r="AV168" s="413"/>
      <c r="AW168" s="413"/>
      <c r="AX168" s="414"/>
    </row>
    <row r="169" spans="1:52">
      <c r="A169" s="5" t="str">
        <f t="shared" si="12"/>
        <v>Bus - SB Rebates_Energy Star Steamer - 3 Pans</v>
      </c>
      <c r="B169" s="407">
        <v>166</v>
      </c>
      <c r="C169" s="408" t="s">
        <v>712</v>
      </c>
      <c r="D169" s="407" t="s">
        <v>183</v>
      </c>
      <c r="E169" s="408" t="s">
        <v>150</v>
      </c>
      <c r="F169" s="408">
        <v>1</v>
      </c>
      <c r="G169" s="409">
        <v>0.92</v>
      </c>
      <c r="H169" s="470">
        <v>12</v>
      </c>
      <c r="I169" s="463">
        <v>12</v>
      </c>
      <c r="J169" s="408">
        <v>12</v>
      </c>
      <c r="K169" s="408">
        <v>12</v>
      </c>
      <c r="L169" s="408">
        <v>12</v>
      </c>
      <c r="M169" s="408">
        <v>12</v>
      </c>
      <c r="N169" s="208">
        <f>'Food Equipment Detail'!$C$70</f>
        <v>921.04270586676478</v>
      </c>
      <c r="O169" s="461">
        <f t="shared" si="15"/>
        <v>921.04270586676478</v>
      </c>
      <c r="P169" s="461">
        <f t="shared" si="15"/>
        <v>921.04270586676478</v>
      </c>
      <c r="Q169" s="461">
        <f t="shared" si="15"/>
        <v>921.04270586676478</v>
      </c>
      <c r="R169" s="411"/>
      <c r="S169" s="411" t="s">
        <v>1046</v>
      </c>
      <c r="T169" s="411" t="s">
        <v>179</v>
      </c>
      <c r="U169" s="411" t="s">
        <v>178</v>
      </c>
      <c r="V169" s="447"/>
      <c r="W169" s="158" t="s">
        <v>177</v>
      </c>
      <c r="X169" s="158">
        <v>40</v>
      </c>
      <c r="Y169" s="158" t="s">
        <v>176</v>
      </c>
      <c r="Z169" s="158">
        <v>15</v>
      </c>
      <c r="AA169" s="150" t="s">
        <v>153</v>
      </c>
      <c r="AB169" s="158">
        <v>6</v>
      </c>
      <c r="AC169" s="150" t="s">
        <v>175</v>
      </c>
      <c r="AD169" s="158">
        <v>365.25</v>
      </c>
      <c r="AE169" s="150"/>
      <c r="AF169" s="158"/>
      <c r="AG169" s="158"/>
      <c r="AH169" s="158"/>
      <c r="AI169" s="158"/>
      <c r="AJ169" s="158"/>
      <c r="AK169" s="158"/>
      <c r="AL169" s="158"/>
      <c r="AM169" s="158"/>
      <c r="AN169" s="158"/>
      <c r="AO169" s="158"/>
      <c r="AP169" s="158"/>
      <c r="AQ169" s="158"/>
      <c r="AR169" s="158"/>
      <c r="AS169" s="158"/>
      <c r="AT169" s="158"/>
      <c r="AV169" s="413"/>
      <c r="AW169" s="413"/>
      <c r="AX169" s="414"/>
    </row>
    <row r="170" spans="1:52">
      <c r="A170" s="5" t="str">
        <f t="shared" si="12"/>
        <v>Bus - SB Rebates_Energy Star Steamer - 4 Pans</v>
      </c>
      <c r="B170" s="407">
        <v>167</v>
      </c>
      <c r="C170" s="408" t="s">
        <v>712</v>
      </c>
      <c r="D170" s="407" t="s">
        <v>182</v>
      </c>
      <c r="E170" s="408" t="s">
        <v>150</v>
      </c>
      <c r="F170" s="408">
        <v>1</v>
      </c>
      <c r="G170" s="409">
        <v>0.92</v>
      </c>
      <c r="H170" s="470">
        <v>12</v>
      </c>
      <c r="I170" s="463">
        <v>12</v>
      </c>
      <c r="J170" s="408">
        <v>30</v>
      </c>
      <c r="K170" s="408">
        <v>30</v>
      </c>
      <c r="L170" s="408">
        <v>30</v>
      </c>
      <c r="M170" s="408">
        <v>30</v>
      </c>
      <c r="N170" s="208">
        <f>'Food Equipment Detail'!$D$70</f>
        <v>1176.2945737965733</v>
      </c>
      <c r="O170" s="461">
        <f t="shared" si="15"/>
        <v>1176.2945737965733</v>
      </c>
      <c r="P170" s="461">
        <f t="shared" si="15"/>
        <v>1176.2945737965733</v>
      </c>
      <c r="Q170" s="461">
        <f t="shared" si="15"/>
        <v>1176.2945737965733</v>
      </c>
      <c r="R170" s="411"/>
      <c r="S170" s="411" t="s">
        <v>1046</v>
      </c>
      <c r="T170" s="411" t="s">
        <v>179</v>
      </c>
      <c r="U170" s="411" t="s">
        <v>178</v>
      </c>
      <c r="V170" s="447"/>
      <c r="W170" s="158" t="s">
        <v>177</v>
      </c>
      <c r="X170" s="158">
        <v>40</v>
      </c>
      <c r="Y170" s="158" t="s">
        <v>176</v>
      </c>
      <c r="Z170" s="158">
        <v>15</v>
      </c>
      <c r="AA170" s="150" t="s">
        <v>153</v>
      </c>
      <c r="AB170" s="158">
        <v>6</v>
      </c>
      <c r="AC170" s="150" t="s">
        <v>175</v>
      </c>
      <c r="AD170" s="158">
        <v>365.25</v>
      </c>
      <c r="AE170" s="150"/>
      <c r="AF170" s="158"/>
      <c r="AG170" s="158"/>
      <c r="AH170" s="158"/>
      <c r="AI170" s="158"/>
      <c r="AJ170" s="158"/>
      <c r="AK170" s="158"/>
      <c r="AL170" s="158"/>
      <c r="AM170" s="158"/>
      <c r="AN170" s="158"/>
      <c r="AO170" s="158"/>
      <c r="AP170" s="158"/>
      <c r="AQ170" s="158"/>
      <c r="AR170" s="158"/>
      <c r="AS170" s="158"/>
      <c r="AT170" s="158"/>
      <c r="AV170" s="413"/>
      <c r="AW170" s="413"/>
      <c r="AX170" s="414"/>
    </row>
    <row r="171" spans="1:52">
      <c r="A171" s="5" t="str">
        <f t="shared" si="12"/>
        <v>Bus - SB Rebates_Energy Star Steamer - 5 Pans</v>
      </c>
      <c r="B171" s="407">
        <v>168</v>
      </c>
      <c r="C171" s="408" t="s">
        <v>712</v>
      </c>
      <c r="D171" s="407" t="s">
        <v>181</v>
      </c>
      <c r="E171" s="408" t="s">
        <v>150</v>
      </c>
      <c r="F171" s="408">
        <v>1</v>
      </c>
      <c r="G171" s="409">
        <v>0.92</v>
      </c>
      <c r="H171" s="470">
        <v>12</v>
      </c>
      <c r="I171" s="463">
        <v>12</v>
      </c>
      <c r="J171" s="408">
        <v>0</v>
      </c>
      <c r="K171" s="408">
        <v>0</v>
      </c>
      <c r="L171" s="408">
        <v>0</v>
      </c>
      <c r="M171" s="408">
        <v>0</v>
      </c>
      <c r="N171" s="208">
        <f>'Food Equipment Detail'!$E$70</f>
        <v>1417.7013369898457</v>
      </c>
      <c r="O171" s="461">
        <f t="shared" si="15"/>
        <v>1417.7013369898457</v>
      </c>
      <c r="P171" s="461">
        <f t="shared" si="15"/>
        <v>1417.7013369898457</v>
      </c>
      <c r="Q171" s="461">
        <f t="shared" si="15"/>
        <v>1417.7013369898457</v>
      </c>
      <c r="R171" s="411"/>
      <c r="S171" s="411" t="s">
        <v>1046</v>
      </c>
      <c r="T171" s="411" t="s">
        <v>179</v>
      </c>
      <c r="U171" s="411" t="s">
        <v>178</v>
      </c>
      <c r="V171" s="447"/>
      <c r="W171" s="158" t="s">
        <v>177</v>
      </c>
      <c r="X171" s="158">
        <v>40</v>
      </c>
      <c r="Y171" s="158" t="s">
        <v>176</v>
      </c>
      <c r="Z171" s="158">
        <v>15</v>
      </c>
      <c r="AA171" s="150" t="s">
        <v>153</v>
      </c>
      <c r="AB171" s="158">
        <v>6</v>
      </c>
      <c r="AC171" s="150" t="s">
        <v>175</v>
      </c>
      <c r="AD171" s="158">
        <v>365.25</v>
      </c>
      <c r="AE171" s="150"/>
      <c r="AF171" s="158"/>
      <c r="AG171" s="158"/>
      <c r="AH171" s="158"/>
      <c r="AI171" s="158"/>
      <c r="AJ171" s="158"/>
      <c r="AK171" s="158"/>
      <c r="AL171" s="158"/>
      <c r="AM171" s="158"/>
      <c r="AN171" s="158"/>
      <c r="AO171" s="158"/>
      <c r="AP171" s="158"/>
      <c r="AQ171" s="158"/>
      <c r="AR171" s="158"/>
      <c r="AS171" s="158"/>
      <c r="AT171" s="158"/>
      <c r="AV171" s="413"/>
      <c r="AW171" s="413"/>
      <c r="AX171" s="414"/>
    </row>
    <row r="172" spans="1:52">
      <c r="A172" s="5" t="str">
        <f t="shared" si="12"/>
        <v>Bus - SB Rebates_Energy Star Steamer - 6 Pans</v>
      </c>
      <c r="B172" s="407">
        <v>169</v>
      </c>
      <c r="C172" s="408" t="s">
        <v>712</v>
      </c>
      <c r="D172" s="407" t="s">
        <v>180</v>
      </c>
      <c r="E172" s="408" t="s">
        <v>150</v>
      </c>
      <c r="F172" s="408">
        <v>1</v>
      </c>
      <c r="G172" s="409">
        <v>0.92</v>
      </c>
      <c r="H172" s="470">
        <v>12</v>
      </c>
      <c r="I172" s="463">
        <v>12</v>
      </c>
      <c r="J172" s="408">
        <v>0</v>
      </c>
      <c r="K172" s="408">
        <v>0</v>
      </c>
      <c r="L172" s="408">
        <v>0</v>
      </c>
      <c r="M172" s="408">
        <v>0</v>
      </c>
      <c r="N172" s="208">
        <f>'Food Equipment Detail'!$F$70</f>
        <v>1672.9098308667649</v>
      </c>
      <c r="O172" s="461">
        <f t="shared" si="15"/>
        <v>1672.9098308667649</v>
      </c>
      <c r="P172" s="461">
        <f t="shared" si="15"/>
        <v>1672.9098308667649</v>
      </c>
      <c r="Q172" s="461">
        <f t="shared" si="15"/>
        <v>1672.9098308667649</v>
      </c>
      <c r="R172" s="411"/>
      <c r="S172" s="411" t="s">
        <v>1046</v>
      </c>
      <c r="T172" s="411" t="s">
        <v>179</v>
      </c>
      <c r="U172" s="411" t="s">
        <v>178</v>
      </c>
      <c r="V172" s="447"/>
      <c r="W172" s="158" t="s">
        <v>177</v>
      </c>
      <c r="X172" s="158">
        <v>40</v>
      </c>
      <c r="Y172" s="158" t="s">
        <v>176</v>
      </c>
      <c r="Z172" s="158">
        <v>15</v>
      </c>
      <c r="AA172" s="150" t="s">
        <v>153</v>
      </c>
      <c r="AB172" s="158">
        <v>6</v>
      </c>
      <c r="AC172" s="150" t="s">
        <v>175</v>
      </c>
      <c r="AD172" s="158">
        <v>365.25</v>
      </c>
      <c r="AE172" s="150"/>
      <c r="AF172" s="158"/>
      <c r="AG172" s="158"/>
      <c r="AH172" s="158"/>
      <c r="AI172" s="158"/>
      <c r="AJ172" s="158"/>
      <c r="AK172" s="158"/>
      <c r="AL172" s="158"/>
      <c r="AM172" s="158"/>
      <c r="AN172" s="158"/>
      <c r="AO172" s="158"/>
      <c r="AP172" s="158"/>
      <c r="AQ172" s="158"/>
      <c r="AR172" s="158"/>
      <c r="AS172" s="158"/>
      <c r="AT172" s="158"/>
      <c r="AV172" s="413"/>
      <c r="AW172" s="413"/>
      <c r="AX172" s="414"/>
    </row>
    <row r="173" spans="1:52">
      <c r="A173" s="5" t="str">
        <f t="shared" si="12"/>
        <v>Bus - SB Rebates_Heat Recovery Grease Trap Filter</v>
      </c>
      <c r="B173" s="407">
        <v>170</v>
      </c>
      <c r="C173" s="408" t="s">
        <v>712</v>
      </c>
      <c r="D173" s="407" t="s">
        <v>151</v>
      </c>
      <c r="E173" s="408" t="s">
        <v>150</v>
      </c>
      <c r="F173" s="408">
        <v>1</v>
      </c>
      <c r="G173" s="409">
        <v>0.92</v>
      </c>
      <c r="H173" s="470">
        <v>15</v>
      </c>
      <c r="I173" s="463">
        <v>15</v>
      </c>
      <c r="J173" s="408">
        <v>50</v>
      </c>
      <c r="K173" s="408">
        <v>50</v>
      </c>
      <c r="L173" s="408">
        <v>50</v>
      </c>
      <c r="M173" s="408">
        <v>50</v>
      </c>
      <c r="N173" s="208">
        <f>((X173*Z173*AB173)*8.3*1*(AD173*AF173))/(AH173*100000)</f>
        <v>1757.3025600000001</v>
      </c>
      <c r="O173" s="461">
        <f t="shared" si="15"/>
        <v>1757.3025600000001</v>
      </c>
      <c r="P173" s="461">
        <f t="shared" si="15"/>
        <v>1757.3025600000001</v>
      </c>
      <c r="Q173" s="461">
        <f t="shared" si="15"/>
        <v>1757.3025600000001</v>
      </c>
      <c r="R173" s="411"/>
      <c r="S173" s="411" t="s">
        <v>1046</v>
      </c>
      <c r="T173" s="411" t="s">
        <v>149</v>
      </c>
      <c r="U173" s="411" t="s">
        <v>148</v>
      </c>
      <c r="V173" s="158" t="s">
        <v>141</v>
      </c>
      <c r="W173" s="158" t="s">
        <v>147</v>
      </c>
      <c r="X173" s="158">
        <v>780</v>
      </c>
      <c r="Y173" s="158" t="s">
        <v>146</v>
      </c>
      <c r="Z173" s="158">
        <v>3</v>
      </c>
      <c r="AA173" s="150" t="s">
        <v>145</v>
      </c>
      <c r="AB173" s="158">
        <v>312</v>
      </c>
      <c r="AC173" s="150" t="s">
        <v>144</v>
      </c>
      <c r="AD173" s="158">
        <v>5.8</v>
      </c>
      <c r="AE173" s="150" t="s">
        <v>143</v>
      </c>
      <c r="AF173" s="158">
        <v>4</v>
      </c>
      <c r="AG173" s="158" t="s">
        <v>142</v>
      </c>
      <c r="AH173" s="423">
        <v>0.8</v>
      </c>
      <c r="AI173" s="158"/>
      <c r="AJ173" s="158"/>
      <c r="AK173" s="158"/>
      <c r="AL173" s="158"/>
      <c r="AM173" s="158"/>
      <c r="AN173" s="158"/>
      <c r="AO173" s="158"/>
      <c r="AP173" s="158"/>
      <c r="AQ173" s="158"/>
      <c r="AR173" s="158"/>
      <c r="AS173" s="158"/>
      <c r="AT173" s="158"/>
      <c r="AV173" s="413"/>
      <c r="AW173" s="413"/>
      <c r="AX173" s="414"/>
    </row>
    <row r="174" spans="1:52">
      <c r="A174" s="5" t="str">
        <f t="shared" si="12"/>
        <v>Bus - SB Rebates_Infrared Charbroiler</v>
      </c>
      <c r="B174" s="407">
        <v>171</v>
      </c>
      <c r="C174" s="408" t="s">
        <v>712</v>
      </c>
      <c r="D174" s="407" t="s">
        <v>174</v>
      </c>
      <c r="E174" s="408" t="s">
        <v>150</v>
      </c>
      <c r="F174" s="408">
        <v>1</v>
      </c>
      <c r="G174" s="409">
        <v>0.92</v>
      </c>
      <c r="H174" s="470">
        <v>12</v>
      </c>
      <c r="I174" s="463">
        <v>12</v>
      </c>
      <c r="J174" s="408">
        <v>60</v>
      </c>
      <c r="K174" s="408">
        <v>60</v>
      </c>
      <c r="L174" s="408">
        <v>60</v>
      </c>
      <c r="M174" s="408">
        <v>60</v>
      </c>
      <c r="N174" s="208">
        <f>((X174-Z174)*AB174*AD174/60+((AF174-AH174)*AJ174*AL174))*312/100000</f>
        <v>706.68</v>
      </c>
      <c r="O174" s="461">
        <f t="shared" si="15"/>
        <v>706.68</v>
      </c>
      <c r="P174" s="461">
        <f t="shared" si="15"/>
        <v>706.68</v>
      </c>
      <c r="Q174" s="461">
        <f t="shared" si="15"/>
        <v>706.68</v>
      </c>
      <c r="R174" s="411"/>
      <c r="S174" s="411" t="s">
        <v>1046</v>
      </c>
      <c r="T174" s="411" t="s">
        <v>173</v>
      </c>
      <c r="U174" s="411" t="s">
        <v>172</v>
      </c>
      <c r="V174" s="158" t="s">
        <v>166</v>
      </c>
      <c r="W174" s="158" t="s">
        <v>171</v>
      </c>
      <c r="X174" s="158">
        <v>64000</v>
      </c>
      <c r="Y174" s="158" t="s">
        <v>170</v>
      </c>
      <c r="Z174" s="158">
        <v>54000</v>
      </c>
      <c r="AA174" s="150" t="s">
        <v>169</v>
      </c>
      <c r="AB174" s="158">
        <v>1</v>
      </c>
      <c r="AC174" s="150" t="s">
        <v>168</v>
      </c>
      <c r="AD174" s="158">
        <v>15</v>
      </c>
      <c r="AE174" s="150" t="s">
        <v>167</v>
      </c>
      <c r="AF174" s="158">
        <v>140000</v>
      </c>
      <c r="AG174" s="158" t="s">
        <v>155</v>
      </c>
      <c r="AH174" s="158">
        <v>105000</v>
      </c>
      <c r="AI174" s="158" t="s">
        <v>154</v>
      </c>
      <c r="AJ174" s="429">
        <v>0.8</v>
      </c>
      <c r="AK174" s="158" t="s">
        <v>153</v>
      </c>
      <c r="AL174" s="158">
        <v>8</v>
      </c>
      <c r="AM174" s="158"/>
      <c r="AN174" s="158"/>
      <c r="AO174" s="158"/>
      <c r="AP174" s="158"/>
      <c r="AQ174" s="158"/>
      <c r="AR174" s="158"/>
      <c r="AS174" s="158"/>
      <c r="AT174" s="158"/>
      <c r="AV174" s="413"/>
      <c r="AW174" s="413"/>
      <c r="AX174" s="414"/>
    </row>
    <row r="175" spans="1:52">
      <c r="A175" s="5" t="str">
        <f t="shared" si="12"/>
        <v>Bus - SB Rebates_Infrared Rotisserie Oven</v>
      </c>
      <c r="B175" s="407">
        <v>172</v>
      </c>
      <c r="C175" s="408" t="s">
        <v>712</v>
      </c>
      <c r="D175" s="407" t="s">
        <v>165</v>
      </c>
      <c r="E175" s="408" t="s">
        <v>150</v>
      </c>
      <c r="F175" s="408">
        <v>1</v>
      </c>
      <c r="G175" s="409">
        <v>0.92</v>
      </c>
      <c r="H175" s="470">
        <v>12</v>
      </c>
      <c r="I175" s="463">
        <v>12</v>
      </c>
      <c r="J175" s="408">
        <v>65</v>
      </c>
      <c r="K175" s="408">
        <v>65</v>
      </c>
      <c r="L175" s="408">
        <v>65</v>
      </c>
      <c r="M175" s="408">
        <v>65</v>
      </c>
      <c r="N175" s="208">
        <f>(X175-Z175)*AB175*AD175/100000</f>
        <v>599.04</v>
      </c>
      <c r="O175" s="461">
        <f t="shared" si="15"/>
        <v>599.04</v>
      </c>
      <c r="P175" s="461">
        <f t="shared" si="15"/>
        <v>599.04</v>
      </c>
      <c r="Q175" s="461">
        <f t="shared" si="15"/>
        <v>599.04</v>
      </c>
      <c r="R175" s="411"/>
      <c r="S175" s="411" t="s">
        <v>1046</v>
      </c>
      <c r="T175" s="411" t="s">
        <v>164</v>
      </c>
      <c r="U175" s="411" t="s">
        <v>163</v>
      </c>
      <c r="V175" s="158" t="s">
        <v>152</v>
      </c>
      <c r="W175" s="158" t="s">
        <v>156</v>
      </c>
      <c r="X175" s="158">
        <v>90000</v>
      </c>
      <c r="Y175" s="158" t="s">
        <v>155</v>
      </c>
      <c r="Z175" s="158">
        <v>50000</v>
      </c>
      <c r="AA175" s="150" t="s">
        <v>154</v>
      </c>
      <c r="AB175" s="429">
        <v>0.6</v>
      </c>
      <c r="AC175" s="150" t="s">
        <v>153</v>
      </c>
      <c r="AD175" s="158">
        <v>2496</v>
      </c>
      <c r="AE175" s="150"/>
      <c r="AF175" s="158"/>
      <c r="AG175" s="158"/>
      <c r="AH175" s="158"/>
      <c r="AI175" s="158"/>
      <c r="AJ175" s="158"/>
      <c r="AK175" s="158"/>
      <c r="AL175" s="158"/>
      <c r="AM175" s="158"/>
      <c r="AN175" s="158"/>
      <c r="AO175" s="158"/>
      <c r="AP175" s="158"/>
      <c r="AQ175" s="158"/>
      <c r="AR175" s="158"/>
      <c r="AS175" s="158"/>
      <c r="AT175" s="158"/>
      <c r="AV175" s="413"/>
      <c r="AW175" s="413"/>
      <c r="AX175" s="414"/>
    </row>
    <row r="176" spans="1:52">
      <c r="A176" s="5" t="str">
        <f t="shared" si="12"/>
        <v>Bus - SB Rebates_Infrared Salamander Broiler</v>
      </c>
      <c r="B176" s="407">
        <v>173</v>
      </c>
      <c r="C176" s="408" t="s">
        <v>712</v>
      </c>
      <c r="D176" s="407" t="s">
        <v>162</v>
      </c>
      <c r="E176" s="408" t="s">
        <v>150</v>
      </c>
      <c r="F176" s="408">
        <v>1</v>
      </c>
      <c r="G176" s="409">
        <v>0.92</v>
      </c>
      <c r="H176" s="470">
        <v>12</v>
      </c>
      <c r="I176" s="463">
        <v>12</v>
      </c>
      <c r="J176" s="408">
        <v>100</v>
      </c>
      <c r="K176" s="408">
        <v>100</v>
      </c>
      <c r="L176" s="408">
        <v>100</v>
      </c>
      <c r="M176" s="408">
        <v>100</v>
      </c>
      <c r="N176" s="208">
        <f>(X176-Z176)*AB176*AD176/100000</f>
        <v>240.24</v>
      </c>
      <c r="O176" s="461">
        <f t="shared" si="15"/>
        <v>240.24</v>
      </c>
      <c r="P176" s="461">
        <f t="shared" si="15"/>
        <v>240.24</v>
      </c>
      <c r="Q176" s="461">
        <f t="shared" si="15"/>
        <v>240.24</v>
      </c>
      <c r="R176" s="411"/>
      <c r="S176" s="411" t="s">
        <v>1046</v>
      </c>
      <c r="T176" s="411" t="s">
        <v>161</v>
      </c>
      <c r="U176" s="411" t="s">
        <v>160</v>
      </c>
      <c r="V176" s="158" t="s">
        <v>152</v>
      </c>
      <c r="W176" s="158" t="s">
        <v>156</v>
      </c>
      <c r="X176" s="158">
        <v>38500</v>
      </c>
      <c r="Y176" s="158" t="s">
        <v>155</v>
      </c>
      <c r="Z176" s="158">
        <v>24750</v>
      </c>
      <c r="AA176" s="150" t="s">
        <v>154</v>
      </c>
      <c r="AB176" s="429">
        <v>0.7</v>
      </c>
      <c r="AC176" s="150" t="s">
        <v>153</v>
      </c>
      <c r="AD176" s="158">
        <v>2496</v>
      </c>
      <c r="AE176" s="150"/>
      <c r="AF176" s="158"/>
      <c r="AG176" s="158"/>
      <c r="AH176" s="158"/>
      <c r="AI176" s="158"/>
      <c r="AJ176" s="158"/>
      <c r="AK176" s="158"/>
      <c r="AL176" s="158"/>
      <c r="AM176" s="158"/>
      <c r="AN176" s="158"/>
      <c r="AO176" s="158"/>
      <c r="AP176" s="158"/>
      <c r="AQ176" s="158"/>
      <c r="AR176" s="158"/>
      <c r="AS176" s="158"/>
      <c r="AT176" s="158"/>
      <c r="AV176" s="413"/>
      <c r="AW176" s="413"/>
      <c r="AX176" s="414"/>
    </row>
    <row r="177" spans="1:52">
      <c r="A177" s="5" t="str">
        <f t="shared" si="12"/>
        <v>Bus - SB Rebates_Infrared Upright Broiler</v>
      </c>
      <c r="B177" s="407">
        <v>174</v>
      </c>
      <c r="C177" s="408" t="s">
        <v>712</v>
      </c>
      <c r="D177" s="407" t="s">
        <v>159</v>
      </c>
      <c r="E177" s="408" t="s">
        <v>150</v>
      </c>
      <c r="F177" s="408">
        <v>1</v>
      </c>
      <c r="G177" s="409">
        <v>0.92</v>
      </c>
      <c r="H177" s="470">
        <v>12</v>
      </c>
      <c r="I177" s="463">
        <v>12</v>
      </c>
      <c r="J177" s="408"/>
      <c r="K177" s="408">
        <v>0</v>
      </c>
      <c r="L177" s="408">
        <v>0</v>
      </c>
      <c r="M177" s="408">
        <v>0</v>
      </c>
      <c r="N177" s="208">
        <f>(X177-Z177)*AB177*AD177/100000</f>
        <v>943.48800000000006</v>
      </c>
      <c r="O177" s="461">
        <f t="shared" si="15"/>
        <v>943.48800000000006</v>
      </c>
      <c r="P177" s="461">
        <f t="shared" si="15"/>
        <v>943.48800000000006</v>
      </c>
      <c r="Q177" s="461">
        <f t="shared" si="15"/>
        <v>943.48800000000006</v>
      </c>
      <c r="R177" s="411"/>
      <c r="S177" s="411" t="s">
        <v>1046</v>
      </c>
      <c r="T177" s="411" t="s">
        <v>158</v>
      </c>
      <c r="U177" s="411" t="s">
        <v>157</v>
      </c>
      <c r="V177" s="158" t="s">
        <v>152</v>
      </c>
      <c r="W177" s="158" t="s">
        <v>156</v>
      </c>
      <c r="X177" s="158">
        <v>144000</v>
      </c>
      <c r="Y177" s="158" t="s">
        <v>155</v>
      </c>
      <c r="Z177" s="158">
        <v>90000</v>
      </c>
      <c r="AA177" s="150" t="s">
        <v>154</v>
      </c>
      <c r="AB177" s="429">
        <v>0.7</v>
      </c>
      <c r="AC177" s="150" t="s">
        <v>153</v>
      </c>
      <c r="AD177" s="158">
        <v>2496</v>
      </c>
      <c r="AE177" s="150"/>
      <c r="AF177" s="158"/>
      <c r="AG177" s="158"/>
      <c r="AH177" s="158"/>
      <c r="AI177" s="158"/>
      <c r="AJ177" s="158"/>
      <c r="AK177" s="158"/>
      <c r="AL177" s="158"/>
      <c r="AM177" s="158"/>
      <c r="AN177" s="158"/>
      <c r="AO177" s="158"/>
      <c r="AP177" s="158"/>
      <c r="AQ177" s="158"/>
      <c r="AR177" s="158"/>
      <c r="AS177" s="158"/>
      <c r="AT177" s="158"/>
      <c r="AV177" s="413"/>
      <c r="AW177" s="413"/>
      <c r="AX177" s="414"/>
    </row>
    <row r="178" spans="1:52">
      <c r="A178" s="5" t="str">
        <f t="shared" si="12"/>
        <v>Bus - SB Rebates_High Speed Washer - Hotel/Motel/Hospital</v>
      </c>
      <c r="B178" s="407">
        <v>175</v>
      </c>
      <c r="C178" s="408" t="s">
        <v>712</v>
      </c>
      <c r="D178" s="407" t="s">
        <v>238</v>
      </c>
      <c r="E178" s="408" t="s">
        <v>237</v>
      </c>
      <c r="F178" s="408">
        <v>250</v>
      </c>
      <c r="G178" s="409">
        <v>0.92</v>
      </c>
      <c r="H178" s="470">
        <v>7</v>
      </c>
      <c r="I178" s="463">
        <v>7</v>
      </c>
      <c r="J178" s="408">
        <v>15</v>
      </c>
      <c r="K178" s="408">
        <v>15</v>
      </c>
      <c r="L178" s="408">
        <v>15</v>
      </c>
      <c r="M178" s="408">
        <v>15</v>
      </c>
      <c r="N178" s="208">
        <f>X178*Z178*AB178*AD178*AF178/AH178/100000*AJ178*AL178/F178</f>
        <v>11.243232000000003</v>
      </c>
      <c r="O178" s="461">
        <f t="shared" si="15"/>
        <v>11.243232000000003</v>
      </c>
      <c r="P178" s="461">
        <f t="shared" si="15"/>
        <v>11.243232000000003</v>
      </c>
      <c r="Q178" s="461">
        <f t="shared" si="15"/>
        <v>11.243232000000003</v>
      </c>
      <c r="R178" s="411"/>
      <c r="S178" s="411" t="s">
        <v>1046</v>
      </c>
      <c r="T178" s="411" t="s">
        <v>236</v>
      </c>
      <c r="U178" s="411" t="s">
        <v>235</v>
      </c>
      <c r="V178" s="436"/>
      <c r="W178" s="158" t="s">
        <v>234</v>
      </c>
      <c r="X178" s="158">
        <v>10.4</v>
      </c>
      <c r="Y178" s="158" t="s">
        <v>233</v>
      </c>
      <c r="Z178" s="158">
        <v>360</v>
      </c>
      <c r="AA178" s="150" t="s">
        <v>232</v>
      </c>
      <c r="AB178" s="424">
        <v>250</v>
      </c>
      <c r="AC178" s="150" t="s">
        <v>231</v>
      </c>
      <c r="AD178" s="429">
        <v>0.25</v>
      </c>
      <c r="AE178" s="150" t="s">
        <v>230</v>
      </c>
      <c r="AF178" s="424">
        <v>1200</v>
      </c>
      <c r="AG178" s="423" t="s">
        <v>229</v>
      </c>
      <c r="AH178" s="423">
        <v>0.6</v>
      </c>
      <c r="AI178" s="158" t="s">
        <v>228</v>
      </c>
      <c r="AJ178" s="423">
        <v>0.91</v>
      </c>
      <c r="AK178" s="158" t="s">
        <v>227</v>
      </c>
      <c r="AL178" s="429">
        <v>0.66</v>
      </c>
      <c r="AM178" s="158"/>
      <c r="AN178" s="158"/>
      <c r="AO178" s="158"/>
      <c r="AP178" s="158"/>
      <c r="AQ178" s="158"/>
      <c r="AR178" s="158"/>
      <c r="AS178" s="158"/>
      <c r="AT178" s="158"/>
      <c r="AV178" s="413"/>
      <c r="AW178" s="413"/>
      <c r="AX178" s="414"/>
      <c r="AY178" s="415"/>
      <c r="AZ178" s="416"/>
    </row>
    <row r="179" spans="1:52">
      <c r="A179" s="5" t="str">
        <f t="shared" si="12"/>
        <v>Bus - SB Rebates_High Speed Washer - Laundromat</v>
      </c>
      <c r="B179" s="407">
        <v>176</v>
      </c>
      <c r="C179" s="408" t="s">
        <v>712</v>
      </c>
      <c r="D179" s="407" t="s">
        <v>239</v>
      </c>
      <c r="E179" s="408" t="s">
        <v>237</v>
      </c>
      <c r="F179" s="408">
        <v>250</v>
      </c>
      <c r="G179" s="409">
        <v>0.92</v>
      </c>
      <c r="H179" s="470">
        <v>7</v>
      </c>
      <c r="I179" s="463">
        <v>7</v>
      </c>
      <c r="J179" s="408">
        <v>15</v>
      </c>
      <c r="K179" s="408">
        <v>15</v>
      </c>
      <c r="L179" s="408">
        <v>15</v>
      </c>
      <c r="M179" s="408">
        <v>15</v>
      </c>
      <c r="N179" s="208">
        <f>X179*Z179*AB179*AD179*AF179/AH179/100000*AJ179*AL179/F179</f>
        <v>4.648644</v>
      </c>
      <c r="O179" s="461">
        <f t="shared" si="15"/>
        <v>4.648644</v>
      </c>
      <c r="P179" s="461">
        <f t="shared" si="15"/>
        <v>4.648644</v>
      </c>
      <c r="Q179" s="461">
        <f t="shared" si="15"/>
        <v>4.648644</v>
      </c>
      <c r="R179" s="411"/>
      <c r="S179" s="411" t="s">
        <v>1046</v>
      </c>
      <c r="T179" s="411" t="s">
        <v>236</v>
      </c>
      <c r="U179" s="411" t="s">
        <v>235</v>
      </c>
      <c r="V179" s="436"/>
      <c r="W179" s="158" t="s">
        <v>234</v>
      </c>
      <c r="X179" s="158">
        <v>4.3</v>
      </c>
      <c r="Y179" s="158" t="s">
        <v>233</v>
      </c>
      <c r="Z179" s="158">
        <v>360</v>
      </c>
      <c r="AA179" s="150" t="s">
        <v>232</v>
      </c>
      <c r="AB179" s="424">
        <v>250</v>
      </c>
      <c r="AC179" s="150" t="s">
        <v>231</v>
      </c>
      <c r="AD179" s="429">
        <v>0.25</v>
      </c>
      <c r="AE179" s="150" t="s">
        <v>230</v>
      </c>
      <c r="AF179" s="424">
        <v>1200</v>
      </c>
      <c r="AG179" s="423" t="s">
        <v>229</v>
      </c>
      <c r="AH179" s="423">
        <v>0.6</v>
      </c>
      <c r="AI179" s="158" t="s">
        <v>228</v>
      </c>
      <c r="AJ179" s="423">
        <v>0.91</v>
      </c>
      <c r="AK179" s="158" t="s">
        <v>227</v>
      </c>
      <c r="AL179" s="429">
        <v>0.66</v>
      </c>
      <c r="AM179" s="158"/>
      <c r="AN179" s="158"/>
      <c r="AO179" s="158"/>
      <c r="AP179" s="158"/>
      <c r="AQ179" s="158"/>
      <c r="AR179" s="158"/>
      <c r="AS179" s="158"/>
      <c r="AT179" s="158"/>
      <c r="AV179" s="413"/>
      <c r="AW179" s="413"/>
      <c r="AX179" s="414"/>
      <c r="AY179" s="415"/>
      <c r="AZ179" s="416"/>
    </row>
    <row r="180" spans="1:52">
      <c r="A180" s="5" t="str">
        <f t="shared" si="12"/>
        <v>Bus - SB Rebates_Infrared Heater</v>
      </c>
      <c r="B180" s="407">
        <v>177</v>
      </c>
      <c r="C180" s="408" t="s">
        <v>712</v>
      </c>
      <c r="D180" s="407" t="s">
        <v>295</v>
      </c>
      <c r="E180" s="408" t="s">
        <v>240</v>
      </c>
      <c r="F180" s="408">
        <v>150</v>
      </c>
      <c r="G180" s="409">
        <v>0.92</v>
      </c>
      <c r="H180" s="470">
        <v>12</v>
      </c>
      <c r="I180" s="463">
        <v>12</v>
      </c>
      <c r="J180" s="408"/>
      <c r="K180" s="408">
        <v>0</v>
      </c>
      <c r="L180" s="408">
        <v>0</v>
      </c>
      <c r="M180" s="408">
        <v>0</v>
      </c>
      <c r="N180" s="208">
        <f>451/F180</f>
        <v>3.0066666666666668</v>
      </c>
      <c r="O180" s="461">
        <f t="shared" si="15"/>
        <v>3.0066666666666668</v>
      </c>
      <c r="P180" s="461">
        <f t="shared" si="15"/>
        <v>3.0066666666666668</v>
      </c>
      <c r="Q180" s="461">
        <f t="shared" si="15"/>
        <v>3.0066666666666668</v>
      </c>
      <c r="R180" s="411"/>
      <c r="S180" s="411" t="s">
        <v>1046</v>
      </c>
      <c r="T180" s="411" t="s">
        <v>294</v>
      </c>
      <c r="U180" s="411" t="s">
        <v>293</v>
      </c>
      <c r="V180" s="158" t="s">
        <v>291</v>
      </c>
      <c r="W180" s="158" t="s">
        <v>292</v>
      </c>
      <c r="X180" s="437">
        <v>150</v>
      </c>
      <c r="Y180" s="158"/>
      <c r="Z180" s="158"/>
      <c r="AA180" s="150"/>
      <c r="AB180" s="158"/>
      <c r="AC180" s="150"/>
      <c r="AD180" s="158"/>
      <c r="AE180" s="150"/>
      <c r="AF180" s="158"/>
      <c r="AG180" s="158"/>
      <c r="AH180" s="158"/>
      <c r="AI180" s="158"/>
      <c r="AJ180" s="158"/>
      <c r="AK180" s="158"/>
      <c r="AL180" s="158"/>
      <c r="AM180" s="158"/>
      <c r="AN180" s="158"/>
      <c r="AO180" s="158"/>
      <c r="AP180" s="158"/>
      <c r="AQ180" s="158"/>
      <c r="AR180" s="158"/>
      <c r="AS180" s="158"/>
      <c r="AT180" s="158"/>
      <c r="AV180" s="413"/>
      <c r="AW180" s="413"/>
      <c r="AX180" s="414"/>
      <c r="AY180" s="415"/>
      <c r="AZ180" s="416"/>
    </row>
    <row r="181" spans="1:52">
      <c r="A181" s="5" t="str">
        <f t="shared" si="12"/>
        <v>Bus - SB Rebates_Modulating Commercial Gas Clothes Dryer</v>
      </c>
      <c r="B181" s="407">
        <v>178</v>
      </c>
      <c r="C181" s="408" t="s">
        <v>712</v>
      </c>
      <c r="D181" s="407" t="s">
        <v>290</v>
      </c>
      <c r="E181" s="408" t="s">
        <v>150</v>
      </c>
      <c r="F181" s="408">
        <v>1</v>
      </c>
      <c r="G181" s="409">
        <v>0.92</v>
      </c>
      <c r="H181" s="470">
        <v>14</v>
      </c>
      <c r="I181" s="463">
        <v>14</v>
      </c>
      <c r="J181" s="408">
        <v>5</v>
      </c>
      <c r="K181" s="408">
        <v>5</v>
      </c>
      <c r="L181" s="408">
        <v>5</v>
      </c>
      <c r="M181" s="408">
        <v>5</v>
      </c>
      <c r="N181" s="208">
        <f>1483*0.18</f>
        <v>266.94</v>
      </c>
      <c r="O181" s="461">
        <f t="shared" si="15"/>
        <v>266.94</v>
      </c>
      <c r="P181" s="461">
        <f t="shared" si="15"/>
        <v>266.94</v>
      </c>
      <c r="Q181" s="461">
        <f t="shared" si="15"/>
        <v>266.94</v>
      </c>
      <c r="R181" s="411"/>
      <c r="S181" s="411" t="s">
        <v>1046</v>
      </c>
      <c r="T181" s="411" t="s">
        <v>289</v>
      </c>
      <c r="U181" s="411" t="s">
        <v>288</v>
      </c>
      <c r="V181" s="158" t="s">
        <v>187</v>
      </c>
      <c r="W181" s="158"/>
      <c r="X181" s="158"/>
      <c r="Y181" s="158"/>
      <c r="Z181" s="158"/>
      <c r="AA181" s="150"/>
      <c r="AB181" s="158"/>
      <c r="AC181" s="150"/>
      <c r="AD181" s="158"/>
      <c r="AE181" s="150"/>
      <c r="AF181" s="158"/>
      <c r="AG181" s="158"/>
      <c r="AH181" s="158"/>
      <c r="AI181" s="158"/>
      <c r="AJ181" s="158"/>
      <c r="AK181" s="158"/>
      <c r="AL181" s="158"/>
      <c r="AM181" s="158"/>
      <c r="AN181" s="158"/>
      <c r="AO181" s="158"/>
      <c r="AP181" s="158"/>
      <c r="AQ181" s="158"/>
      <c r="AR181" s="158"/>
      <c r="AS181" s="158"/>
      <c r="AT181" s="158"/>
      <c r="AV181" s="413"/>
      <c r="AW181" s="413"/>
      <c r="AX181" s="414"/>
      <c r="AY181" s="415"/>
      <c r="AZ181" s="416"/>
    </row>
    <row r="182" spans="1:52">
      <c r="A182" s="5" t="str">
        <f t="shared" si="12"/>
        <v>Bus - SB Rebates_Ozone Laundry</v>
      </c>
      <c r="B182" s="407">
        <v>179</v>
      </c>
      <c r="C182" s="408" t="s">
        <v>712</v>
      </c>
      <c r="D182" s="407" t="s">
        <v>287</v>
      </c>
      <c r="E182" s="408" t="s">
        <v>237</v>
      </c>
      <c r="F182" s="408">
        <v>250</v>
      </c>
      <c r="G182" s="409">
        <v>0.92</v>
      </c>
      <c r="H182" s="470">
        <v>10</v>
      </c>
      <c r="I182" s="463">
        <v>10</v>
      </c>
      <c r="J182" s="408"/>
      <c r="K182" s="408">
        <v>0</v>
      </c>
      <c r="L182" s="408">
        <v>0</v>
      </c>
      <c r="M182" s="408">
        <v>0</v>
      </c>
      <c r="N182" s="208">
        <f>X182*Z182*AB182*AD182/AF182</f>
        <v>30.722664192350027</v>
      </c>
      <c r="O182" s="461">
        <f t="shared" si="15"/>
        <v>30.722664192350027</v>
      </c>
      <c r="P182" s="461">
        <f t="shared" si="15"/>
        <v>30.722664192350027</v>
      </c>
      <c r="Q182" s="461">
        <f t="shared" si="15"/>
        <v>30.722664192350027</v>
      </c>
      <c r="R182" s="411"/>
      <c r="S182" s="411" t="s">
        <v>1046</v>
      </c>
      <c r="T182" s="411" t="s">
        <v>286</v>
      </c>
      <c r="U182" s="411" t="s">
        <v>285</v>
      </c>
      <c r="V182" s="158" t="s">
        <v>278</v>
      </c>
      <c r="W182" s="158" t="s">
        <v>284</v>
      </c>
      <c r="X182" s="438">
        <v>8.8500000000000002E-3</v>
      </c>
      <c r="Y182" s="158" t="s">
        <v>283</v>
      </c>
      <c r="Z182" s="424">
        <v>916150</v>
      </c>
      <c r="AA182" s="150" t="s">
        <v>282</v>
      </c>
      <c r="AB182" s="158">
        <v>1.19</v>
      </c>
      <c r="AC182" s="150" t="s">
        <v>281</v>
      </c>
      <c r="AD182" s="423">
        <v>0.81</v>
      </c>
      <c r="AE182" s="150" t="s">
        <v>237</v>
      </c>
      <c r="AF182" s="158">
        <v>254.38</v>
      </c>
      <c r="AG182" s="158" t="s">
        <v>280</v>
      </c>
      <c r="AH182" s="429">
        <v>0.25</v>
      </c>
      <c r="AI182" s="158" t="s">
        <v>279</v>
      </c>
      <c r="AJ182" s="158">
        <v>2.0299999999999998</v>
      </c>
      <c r="AK182" s="158"/>
      <c r="AL182" s="158"/>
      <c r="AM182" s="158"/>
      <c r="AN182" s="158"/>
      <c r="AO182" s="158"/>
      <c r="AP182" s="158"/>
      <c r="AQ182" s="158"/>
      <c r="AR182" s="158"/>
      <c r="AS182" s="158"/>
      <c r="AT182" s="158"/>
      <c r="AV182" s="413"/>
      <c r="AW182" s="413"/>
      <c r="AX182" s="414"/>
      <c r="AY182" s="415"/>
      <c r="AZ182" s="416"/>
    </row>
    <row r="183" spans="1:52">
      <c r="A183" s="5" t="str">
        <f t="shared" si="12"/>
        <v>Bus - SB Rebates_Pipe Insulation - Dry Cleaners</v>
      </c>
      <c r="B183" s="407">
        <v>180</v>
      </c>
      <c r="C183" s="408" t="s">
        <v>712</v>
      </c>
      <c r="D183" s="407" t="s">
        <v>223</v>
      </c>
      <c r="E183" s="408" t="s">
        <v>210</v>
      </c>
      <c r="F183" s="408">
        <v>75</v>
      </c>
      <c r="G183" s="409">
        <v>0.92</v>
      </c>
      <c r="H183" s="470">
        <v>15</v>
      </c>
      <c r="I183" s="463">
        <v>15</v>
      </c>
      <c r="J183" s="408">
        <v>10</v>
      </c>
      <c r="K183" s="408">
        <v>10</v>
      </c>
      <c r="L183" s="408">
        <v>10</v>
      </c>
      <c r="M183" s="408">
        <v>10</v>
      </c>
      <c r="N183" s="208">
        <f>'Pipe Insulation Detail'!$E$84</f>
        <v>4.1509563815028345</v>
      </c>
      <c r="O183" s="461">
        <f t="shared" si="15"/>
        <v>4.1509563815028345</v>
      </c>
      <c r="P183" s="461">
        <f t="shared" si="15"/>
        <v>4.1509563815028345</v>
      </c>
      <c r="Q183" s="461">
        <f t="shared" si="15"/>
        <v>4.1509563815028345</v>
      </c>
      <c r="R183" s="411"/>
      <c r="S183" s="411" t="s">
        <v>1046</v>
      </c>
      <c r="T183" s="411" t="s">
        <v>201</v>
      </c>
      <c r="U183" s="411" t="s">
        <v>200</v>
      </c>
      <c r="V183" s="439" t="s">
        <v>825</v>
      </c>
      <c r="W183" s="158"/>
      <c r="X183" s="158"/>
      <c r="Y183" s="158"/>
      <c r="Z183" s="158"/>
      <c r="AA183" s="150"/>
      <c r="AB183" s="158"/>
      <c r="AC183" s="150"/>
      <c r="AD183" s="158"/>
      <c r="AE183" s="150"/>
      <c r="AF183" s="158"/>
      <c r="AG183" s="158"/>
      <c r="AH183" s="158"/>
      <c r="AI183" s="158"/>
      <c r="AJ183" s="158"/>
      <c r="AK183" s="158"/>
      <c r="AL183" s="158"/>
      <c r="AM183" s="158"/>
      <c r="AN183" s="158"/>
      <c r="AO183" s="158"/>
      <c r="AP183" s="158"/>
      <c r="AQ183" s="158"/>
      <c r="AR183" s="158"/>
      <c r="AS183" s="158"/>
      <c r="AT183" s="158"/>
      <c r="AV183" s="413"/>
      <c r="AW183" s="413"/>
      <c r="AX183" s="414"/>
      <c r="AY183" s="415"/>
      <c r="AZ183" s="416"/>
    </row>
    <row r="184" spans="1:52">
      <c r="A184" s="5" t="str">
        <f t="shared" si="12"/>
        <v>Bus - SB Rebates_Pipe Insulation - Dry Cleaners -Elbows</v>
      </c>
      <c r="B184" s="407">
        <v>181</v>
      </c>
      <c r="C184" s="408" t="s">
        <v>712</v>
      </c>
      <c r="D184" s="407" t="s">
        <v>222</v>
      </c>
      <c r="E184" s="408" t="s">
        <v>210</v>
      </c>
      <c r="F184" s="408">
        <v>75</v>
      </c>
      <c r="G184" s="409">
        <v>0.92</v>
      </c>
      <c r="H184" s="470">
        <v>15</v>
      </c>
      <c r="I184" s="463">
        <v>15</v>
      </c>
      <c r="J184" s="408"/>
      <c r="K184" s="408">
        <v>0</v>
      </c>
      <c r="L184" s="408">
        <v>0</v>
      </c>
      <c r="M184" s="408">
        <v>0</v>
      </c>
      <c r="N184" s="208">
        <f>'Pipe Insulation Detail'!$C$84</f>
        <v>1.9924590631213606</v>
      </c>
      <c r="O184" s="461">
        <f t="shared" ref="O184:Q203" si="16">N184</f>
        <v>1.9924590631213606</v>
      </c>
      <c r="P184" s="461">
        <f t="shared" si="16"/>
        <v>1.9924590631213606</v>
      </c>
      <c r="Q184" s="461">
        <f t="shared" si="16"/>
        <v>1.9924590631213606</v>
      </c>
      <c r="R184" s="411"/>
      <c r="S184" s="411" t="s">
        <v>1046</v>
      </c>
      <c r="T184" s="411" t="s">
        <v>201</v>
      </c>
      <c r="U184" s="411" t="s">
        <v>200</v>
      </c>
      <c r="V184" s="439" t="s">
        <v>825</v>
      </c>
      <c r="W184" s="158"/>
      <c r="X184" s="158"/>
      <c r="Y184" s="158"/>
      <c r="Z184" s="158"/>
      <c r="AA184" s="150"/>
      <c r="AB184" s="158"/>
      <c r="AC184" s="150"/>
      <c r="AD184" s="158"/>
      <c r="AE184" s="150"/>
      <c r="AF184" s="158"/>
      <c r="AG184" s="158"/>
      <c r="AH184" s="158"/>
      <c r="AI184" s="158"/>
      <c r="AJ184" s="158"/>
      <c r="AK184" s="158"/>
      <c r="AL184" s="158"/>
      <c r="AM184" s="158"/>
      <c r="AN184" s="158"/>
      <c r="AO184" s="158"/>
      <c r="AP184" s="158"/>
      <c r="AQ184" s="158"/>
      <c r="AR184" s="158"/>
      <c r="AS184" s="158"/>
      <c r="AT184" s="158"/>
      <c r="AV184" s="413"/>
      <c r="AW184" s="413"/>
      <c r="AX184" s="414"/>
      <c r="AY184" s="415"/>
      <c r="AZ184" s="416"/>
    </row>
    <row r="185" spans="1:52">
      <c r="A185" s="5" t="str">
        <f t="shared" si="12"/>
        <v>Bus - SB Rebates_Pipe Insulation - HW Small 1" to 2"</v>
      </c>
      <c r="B185" s="407">
        <v>182</v>
      </c>
      <c r="C185" s="408" t="s">
        <v>712</v>
      </c>
      <c r="D185" s="407" t="s">
        <v>217</v>
      </c>
      <c r="E185" s="408" t="s">
        <v>210</v>
      </c>
      <c r="F185" s="408">
        <v>75</v>
      </c>
      <c r="G185" s="409">
        <v>0.92</v>
      </c>
      <c r="H185" s="470">
        <v>15</v>
      </c>
      <c r="I185" s="463">
        <v>15</v>
      </c>
      <c r="J185" s="408"/>
      <c r="K185" s="408">
        <v>0</v>
      </c>
      <c r="L185" s="408">
        <v>0</v>
      </c>
      <c r="M185" s="408">
        <v>0</v>
      </c>
      <c r="N185" s="208">
        <f>'Pipe Insulation Detail'!$B$47</f>
        <v>2.6588140926267867</v>
      </c>
      <c r="O185" s="461">
        <f t="shared" si="16"/>
        <v>2.6588140926267867</v>
      </c>
      <c r="P185" s="461">
        <f t="shared" si="16"/>
        <v>2.6588140926267867</v>
      </c>
      <c r="Q185" s="461">
        <f t="shared" si="16"/>
        <v>2.6588140926267867</v>
      </c>
      <c r="R185" s="411"/>
      <c r="S185" s="411" t="s">
        <v>1046</v>
      </c>
      <c r="T185" s="411" t="s">
        <v>201</v>
      </c>
      <c r="U185" s="411" t="s">
        <v>200</v>
      </c>
      <c r="V185" s="439" t="s">
        <v>825</v>
      </c>
      <c r="W185" s="158"/>
      <c r="X185" s="158"/>
      <c r="Y185" s="158"/>
      <c r="Z185" s="158"/>
      <c r="AA185" s="150"/>
      <c r="AB185" s="158"/>
      <c r="AC185" s="150"/>
      <c r="AD185" s="158"/>
      <c r="AE185" s="150"/>
      <c r="AF185" s="158"/>
      <c r="AG185" s="158"/>
      <c r="AH185" s="158"/>
      <c r="AI185" s="158"/>
      <c r="AJ185" s="158"/>
      <c r="AK185" s="158"/>
      <c r="AL185" s="158"/>
      <c r="AM185" s="158"/>
      <c r="AN185" s="158"/>
      <c r="AO185" s="158"/>
      <c r="AP185" s="158"/>
      <c r="AQ185" s="158"/>
      <c r="AR185" s="158"/>
      <c r="AS185" s="158"/>
      <c r="AT185" s="158"/>
      <c r="AV185" s="413"/>
      <c r="AW185" s="413"/>
      <c r="AX185" s="414"/>
      <c r="AY185" s="415"/>
      <c r="AZ185" s="416"/>
    </row>
    <row r="186" spans="1:52">
      <c r="A186" s="5" t="str">
        <f t="shared" si="12"/>
        <v>Bus - SB Rebates_Pipe Insulation - HW Medium 2.1" to 4"</v>
      </c>
      <c r="B186" s="407">
        <v>183</v>
      </c>
      <c r="C186" s="408" t="s">
        <v>712</v>
      </c>
      <c r="D186" s="407" t="s">
        <v>216</v>
      </c>
      <c r="E186" s="408" t="s">
        <v>210</v>
      </c>
      <c r="F186" s="408">
        <v>75</v>
      </c>
      <c r="G186" s="409">
        <v>0.92</v>
      </c>
      <c r="H186" s="470">
        <v>15</v>
      </c>
      <c r="I186" s="463">
        <v>15</v>
      </c>
      <c r="J186" s="408"/>
      <c r="K186" s="408">
        <v>0</v>
      </c>
      <c r="L186" s="408">
        <v>0</v>
      </c>
      <c r="M186" s="408">
        <v>0</v>
      </c>
      <c r="N186" s="208">
        <f>'Pipe Insulation Detail'!$B$48</f>
        <v>5.2492031493764015</v>
      </c>
      <c r="O186" s="461">
        <f t="shared" si="16"/>
        <v>5.2492031493764015</v>
      </c>
      <c r="P186" s="461">
        <f t="shared" si="16"/>
        <v>5.2492031493764015</v>
      </c>
      <c r="Q186" s="461">
        <f t="shared" si="16"/>
        <v>5.2492031493764015</v>
      </c>
      <c r="R186" s="411"/>
      <c r="S186" s="411" t="s">
        <v>1046</v>
      </c>
      <c r="T186" s="411" t="s">
        <v>201</v>
      </c>
      <c r="U186" s="411" t="s">
        <v>200</v>
      </c>
      <c r="V186" s="439" t="s">
        <v>825</v>
      </c>
      <c r="W186" s="158"/>
      <c r="X186" s="158"/>
      <c r="Y186" s="158"/>
      <c r="Z186" s="158"/>
      <c r="AA186" s="150"/>
      <c r="AB186" s="158"/>
      <c r="AC186" s="150"/>
      <c r="AD186" s="158"/>
      <c r="AE186" s="150"/>
      <c r="AF186" s="158"/>
      <c r="AG186" s="158"/>
      <c r="AH186" s="158"/>
      <c r="AI186" s="158"/>
      <c r="AJ186" s="158"/>
      <c r="AK186" s="158"/>
      <c r="AL186" s="158"/>
      <c r="AM186" s="158"/>
      <c r="AN186" s="158"/>
      <c r="AO186" s="158"/>
      <c r="AP186" s="158"/>
      <c r="AQ186" s="158"/>
      <c r="AR186" s="158"/>
      <c r="AS186" s="158"/>
      <c r="AT186" s="158"/>
      <c r="AV186" s="413"/>
      <c r="AW186" s="413"/>
      <c r="AX186" s="414"/>
      <c r="AY186" s="415"/>
      <c r="AZ186" s="416"/>
    </row>
    <row r="187" spans="1:52">
      <c r="A187" s="5" t="str">
        <f t="shared" si="12"/>
        <v>Bus - SB Rebates_Pipe Insulation - HW Large &gt;4"</v>
      </c>
      <c r="B187" s="407">
        <v>184</v>
      </c>
      <c r="C187" s="408" t="s">
        <v>712</v>
      </c>
      <c r="D187" s="407" t="s">
        <v>215</v>
      </c>
      <c r="E187" s="408" t="s">
        <v>210</v>
      </c>
      <c r="F187" s="408">
        <v>75</v>
      </c>
      <c r="G187" s="409">
        <v>0.92</v>
      </c>
      <c r="H187" s="470">
        <v>15</v>
      </c>
      <c r="I187" s="463">
        <v>15</v>
      </c>
      <c r="J187" s="408"/>
      <c r="K187" s="408">
        <v>0</v>
      </c>
      <c r="L187" s="408">
        <v>0</v>
      </c>
      <c r="M187" s="408">
        <v>0</v>
      </c>
      <c r="N187" s="208">
        <f>'Pipe Insulation Detail'!$B$49</f>
        <v>9.0407613085908682</v>
      </c>
      <c r="O187" s="461">
        <f t="shared" si="16"/>
        <v>9.0407613085908682</v>
      </c>
      <c r="P187" s="461">
        <f t="shared" si="16"/>
        <v>9.0407613085908682</v>
      </c>
      <c r="Q187" s="461">
        <f t="shared" si="16"/>
        <v>9.0407613085908682</v>
      </c>
      <c r="R187" s="411"/>
      <c r="S187" s="411" t="s">
        <v>1046</v>
      </c>
      <c r="T187" s="411" t="s">
        <v>201</v>
      </c>
      <c r="U187" s="411" t="s">
        <v>200</v>
      </c>
      <c r="V187" s="439" t="s">
        <v>825</v>
      </c>
      <c r="W187" s="158"/>
      <c r="X187" s="158"/>
      <c r="Y187" s="158"/>
      <c r="Z187" s="158"/>
      <c r="AA187" s="150"/>
      <c r="AB187" s="158"/>
      <c r="AC187" s="150"/>
      <c r="AD187" s="158"/>
      <c r="AE187" s="150"/>
      <c r="AF187" s="158"/>
      <c r="AG187" s="158"/>
      <c r="AH187" s="158"/>
      <c r="AI187" s="158"/>
      <c r="AJ187" s="158"/>
      <c r="AK187" s="158"/>
      <c r="AL187" s="158"/>
      <c r="AM187" s="158"/>
      <c r="AN187" s="158"/>
      <c r="AO187" s="158"/>
      <c r="AP187" s="158"/>
      <c r="AQ187" s="158"/>
      <c r="AR187" s="158"/>
      <c r="AS187" s="158"/>
      <c r="AT187" s="158"/>
      <c r="AV187" s="413"/>
      <c r="AW187" s="413"/>
      <c r="AX187" s="414"/>
      <c r="AY187" s="415"/>
      <c r="AZ187" s="416"/>
    </row>
    <row r="188" spans="1:52">
      <c r="A188" s="5" t="str">
        <f t="shared" si="12"/>
        <v>Bus - SB Rebates_Pipe Insulation - Steam - Small 1" to 2"</v>
      </c>
      <c r="B188" s="407">
        <v>185</v>
      </c>
      <c r="C188" s="408" t="s">
        <v>712</v>
      </c>
      <c r="D188" s="407" t="s">
        <v>214</v>
      </c>
      <c r="E188" s="408" t="s">
        <v>210</v>
      </c>
      <c r="F188" s="408">
        <v>75</v>
      </c>
      <c r="G188" s="409">
        <v>0.92</v>
      </c>
      <c r="H188" s="470">
        <v>15</v>
      </c>
      <c r="I188" s="463">
        <v>15</v>
      </c>
      <c r="J188" s="408"/>
      <c r="K188" s="408"/>
      <c r="L188" s="408"/>
      <c r="M188" s="408"/>
      <c r="N188" s="208">
        <f>'Pipe Insulation Detail'!$B$50</f>
        <v>3.1854757047967208</v>
      </c>
      <c r="O188" s="461">
        <f t="shared" si="16"/>
        <v>3.1854757047967208</v>
      </c>
      <c r="P188" s="461">
        <f t="shared" si="16"/>
        <v>3.1854757047967208</v>
      </c>
      <c r="Q188" s="461">
        <f t="shared" si="16"/>
        <v>3.1854757047967208</v>
      </c>
      <c r="R188" s="411"/>
      <c r="S188" s="411" t="s">
        <v>1046</v>
      </c>
      <c r="T188" s="411" t="s">
        <v>201</v>
      </c>
      <c r="U188" s="411" t="s">
        <v>200</v>
      </c>
      <c r="V188" s="439" t="s">
        <v>825</v>
      </c>
      <c r="W188" s="158"/>
      <c r="X188" s="158"/>
      <c r="Y188" s="158"/>
      <c r="Z188" s="158"/>
      <c r="AA188" s="150"/>
      <c r="AB188" s="158"/>
      <c r="AC188" s="150"/>
      <c r="AD188" s="158"/>
      <c r="AE188" s="150"/>
      <c r="AF188" s="158"/>
      <c r="AG188" s="158"/>
      <c r="AH188" s="158"/>
      <c r="AI188" s="158"/>
      <c r="AJ188" s="158"/>
      <c r="AK188" s="158"/>
      <c r="AL188" s="158"/>
      <c r="AM188" s="158"/>
      <c r="AN188" s="158"/>
      <c r="AO188" s="158"/>
      <c r="AP188" s="158"/>
      <c r="AQ188" s="158"/>
      <c r="AR188" s="158"/>
      <c r="AS188" s="158"/>
      <c r="AT188" s="158"/>
      <c r="AV188" s="413"/>
      <c r="AW188" s="413"/>
      <c r="AX188" s="414"/>
      <c r="AY188" s="415"/>
      <c r="AZ188" s="416"/>
    </row>
    <row r="189" spans="1:52">
      <c r="A189" s="5" t="str">
        <f t="shared" si="12"/>
        <v>Bus - SB Rebates_Pipe Insulation - Steam - Med 2.1" to 5"</v>
      </c>
      <c r="B189" s="407">
        <v>186</v>
      </c>
      <c r="C189" s="408" t="s">
        <v>712</v>
      </c>
      <c r="D189" s="407" t="s">
        <v>213</v>
      </c>
      <c r="E189" s="408" t="s">
        <v>210</v>
      </c>
      <c r="F189" s="408">
        <v>75</v>
      </c>
      <c r="G189" s="409">
        <v>0.92</v>
      </c>
      <c r="H189" s="470">
        <v>15</v>
      </c>
      <c r="I189" s="463">
        <v>15</v>
      </c>
      <c r="J189" s="408"/>
      <c r="K189" s="408"/>
      <c r="L189" s="408"/>
      <c r="M189" s="408"/>
      <c r="N189" s="208">
        <f>'Pipe Insulation Detail'!$B$51</f>
        <v>13.148126788517139</v>
      </c>
      <c r="O189" s="461">
        <f t="shared" si="16"/>
        <v>13.148126788517139</v>
      </c>
      <c r="P189" s="461">
        <f t="shared" si="16"/>
        <v>13.148126788517139</v>
      </c>
      <c r="Q189" s="461">
        <f t="shared" si="16"/>
        <v>13.148126788517139</v>
      </c>
      <c r="R189" s="411"/>
      <c r="S189" s="411" t="s">
        <v>1046</v>
      </c>
      <c r="T189" s="411" t="s">
        <v>201</v>
      </c>
      <c r="U189" s="411" t="s">
        <v>200</v>
      </c>
      <c r="V189" s="439" t="s">
        <v>825</v>
      </c>
      <c r="W189" s="158"/>
      <c r="X189" s="158"/>
      <c r="Y189" s="158"/>
      <c r="Z189" s="158"/>
      <c r="AA189" s="150"/>
      <c r="AB189" s="158"/>
      <c r="AC189" s="150"/>
      <c r="AD189" s="158"/>
      <c r="AE189" s="150"/>
      <c r="AF189" s="158"/>
      <c r="AG189" s="158"/>
      <c r="AH189" s="158"/>
      <c r="AI189" s="158"/>
      <c r="AJ189" s="158"/>
      <c r="AK189" s="158"/>
      <c r="AL189" s="158"/>
      <c r="AM189" s="158"/>
      <c r="AN189" s="158"/>
      <c r="AO189" s="158"/>
      <c r="AP189" s="158"/>
      <c r="AQ189" s="158"/>
      <c r="AR189" s="158"/>
      <c r="AS189" s="158"/>
      <c r="AT189" s="158"/>
      <c r="AV189" s="413"/>
      <c r="AW189" s="413"/>
      <c r="AX189" s="414"/>
      <c r="AY189" s="415"/>
      <c r="AZ189" s="416"/>
    </row>
    <row r="190" spans="1:52">
      <c r="A190" s="5" t="str">
        <f t="shared" si="12"/>
        <v>Bus - SB Rebates_Pipe Insulation - Steam - Large 5.1" to 8"</v>
      </c>
      <c r="B190" s="407">
        <v>187</v>
      </c>
      <c r="C190" s="408" t="s">
        <v>712</v>
      </c>
      <c r="D190" s="407" t="s">
        <v>212</v>
      </c>
      <c r="E190" s="408" t="s">
        <v>210</v>
      </c>
      <c r="F190" s="408">
        <v>75</v>
      </c>
      <c r="G190" s="409">
        <v>0.92</v>
      </c>
      <c r="H190" s="470">
        <v>15</v>
      </c>
      <c r="I190" s="463">
        <v>15</v>
      </c>
      <c r="J190" s="408"/>
      <c r="K190" s="408"/>
      <c r="L190" s="408"/>
      <c r="M190" s="408"/>
      <c r="N190" s="208">
        <f>'Pipe Insulation Detail'!$B$52</f>
        <v>24.25563238537794</v>
      </c>
      <c r="O190" s="461">
        <f t="shared" si="16"/>
        <v>24.25563238537794</v>
      </c>
      <c r="P190" s="461">
        <f t="shared" si="16"/>
        <v>24.25563238537794</v>
      </c>
      <c r="Q190" s="461">
        <f t="shared" si="16"/>
        <v>24.25563238537794</v>
      </c>
      <c r="R190" s="411"/>
      <c r="S190" s="411" t="s">
        <v>1046</v>
      </c>
      <c r="T190" s="411" t="s">
        <v>201</v>
      </c>
      <c r="U190" s="411" t="s">
        <v>200</v>
      </c>
      <c r="V190" s="439" t="s">
        <v>825</v>
      </c>
      <c r="W190" s="158"/>
      <c r="X190" s="158"/>
      <c r="Y190" s="158"/>
      <c r="Z190" s="158"/>
      <c r="AA190" s="150"/>
      <c r="AB190" s="158"/>
      <c r="AC190" s="150"/>
      <c r="AD190" s="158"/>
      <c r="AE190" s="150"/>
      <c r="AF190" s="158"/>
      <c r="AG190" s="158"/>
      <c r="AH190" s="158"/>
      <c r="AI190" s="158"/>
      <c r="AJ190" s="158"/>
      <c r="AK190" s="158"/>
      <c r="AL190" s="158"/>
      <c r="AM190" s="158"/>
      <c r="AN190" s="158"/>
      <c r="AO190" s="158"/>
      <c r="AP190" s="158"/>
      <c r="AQ190" s="158"/>
      <c r="AR190" s="158"/>
      <c r="AS190" s="158"/>
      <c r="AT190" s="158"/>
      <c r="AV190" s="413"/>
      <c r="AW190" s="413"/>
      <c r="AX190" s="414"/>
      <c r="AY190" s="415"/>
      <c r="AZ190" s="416"/>
    </row>
    <row r="191" spans="1:52">
      <c r="A191" s="5" t="str">
        <f t="shared" si="12"/>
        <v>Bus - SB Rebates_Pipe Insulation - Steam - X-Large &gt;8"</v>
      </c>
      <c r="B191" s="407">
        <v>188</v>
      </c>
      <c r="C191" s="408" t="s">
        <v>712</v>
      </c>
      <c r="D191" s="407" t="s">
        <v>211</v>
      </c>
      <c r="E191" s="408" t="s">
        <v>210</v>
      </c>
      <c r="F191" s="408">
        <v>75</v>
      </c>
      <c r="G191" s="409">
        <v>0.92</v>
      </c>
      <c r="H191" s="470">
        <v>15</v>
      </c>
      <c r="I191" s="463">
        <v>15</v>
      </c>
      <c r="J191" s="408"/>
      <c r="K191" s="408"/>
      <c r="L191" s="408"/>
      <c r="M191" s="408"/>
      <c r="N191" s="208">
        <f>'Pipe Insulation Detail'!$B$53</f>
        <v>35.984797966765058</v>
      </c>
      <c r="O191" s="461">
        <f t="shared" si="16"/>
        <v>35.984797966765058</v>
      </c>
      <c r="P191" s="461">
        <f t="shared" si="16"/>
        <v>35.984797966765058</v>
      </c>
      <c r="Q191" s="461">
        <f t="shared" si="16"/>
        <v>35.984797966765058</v>
      </c>
      <c r="R191" s="411"/>
      <c r="S191" s="411" t="s">
        <v>1046</v>
      </c>
      <c r="T191" s="411" t="s">
        <v>201</v>
      </c>
      <c r="U191" s="411" t="s">
        <v>200</v>
      </c>
      <c r="V191" s="439" t="s">
        <v>825</v>
      </c>
      <c r="W191" s="158"/>
      <c r="X191" s="158"/>
      <c r="Y191" s="158"/>
      <c r="Z191" s="158"/>
      <c r="AA191" s="150"/>
      <c r="AB191" s="158"/>
      <c r="AC191" s="150"/>
      <c r="AD191" s="158"/>
      <c r="AE191" s="150"/>
      <c r="AF191" s="158"/>
      <c r="AG191" s="158"/>
      <c r="AH191" s="158"/>
      <c r="AI191" s="158"/>
      <c r="AJ191" s="158"/>
      <c r="AK191" s="158"/>
      <c r="AL191" s="158"/>
      <c r="AM191" s="158"/>
      <c r="AN191" s="158"/>
      <c r="AO191" s="158"/>
      <c r="AP191" s="158"/>
      <c r="AQ191" s="158"/>
      <c r="AR191" s="158"/>
      <c r="AS191" s="158"/>
      <c r="AT191" s="158"/>
      <c r="AV191" s="413"/>
      <c r="AW191" s="413"/>
      <c r="AX191" s="414"/>
      <c r="AY191" s="415"/>
      <c r="AZ191" s="416"/>
    </row>
    <row r="192" spans="1:52">
      <c r="A192" s="5" t="str">
        <f t="shared" si="12"/>
        <v>Bus - SB Rebates_Pipe Insulation - Steam Med Fitting</v>
      </c>
      <c r="B192" s="407">
        <v>189</v>
      </c>
      <c r="C192" s="408" t="s">
        <v>712</v>
      </c>
      <c r="D192" s="407" t="s">
        <v>208</v>
      </c>
      <c r="E192" s="408" t="s">
        <v>150</v>
      </c>
      <c r="F192" s="408">
        <v>1</v>
      </c>
      <c r="G192" s="409">
        <v>0.92</v>
      </c>
      <c r="H192" s="470">
        <v>15</v>
      </c>
      <c r="I192" s="463">
        <v>15</v>
      </c>
      <c r="J192" s="408"/>
      <c r="K192" s="408"/>
      <c r="L192" s="408"/>
      <c r="M192" s="408"/>
      <c r="N192" s="208">
        <f>'Pipe Insulation Detail'!$B$55</f>
        <v>12.515179237984789</v>
      </c>
      <c r="O192" s="461">
        <f t="shared" si="16"/>
        <v>12.515179237984789</v>
      </c>
      <c r="P192" s="461">
        <f t="shared" si="16"/>
        <v>12.515179237984789</v>
      </c>
      <c r="Q192" s="461">
        <f t="shared" si="16"/>
        <v>12.515179237984789</v>
      </c>
      <c r="R192" s="411"/>
      <c r="S192" s="411" t="s">
        <v>1046</v>
      </c>
      <c r="T192" s="411" t="s">
        <v>201</v>
      </c>
      <c r="U192" s="411" t="s">
        <v>200</v>
      </c>
      <c r="V192" s="439" t="s">
        <v>825</v>
      </c>
      <c r="W192" s="158"/>
      <c r="X192" s="158"/>
      <c r="Y192" s="158"/>
      <c r="Z192" s="158"/>
      <c r="AA192" s="150"/>
      <c r="AB192" s="158"/>
      <c r="AC192" s="150"/>
      <c r="AD192" s="158"/>
      <c r="AE192" s="150"/>
      <c r="AF192" s="158"/>
      <c r="AG192" s="158"/>
      <c r="AH192" s="158"/>
      <c r="AI192" s="158"/>
      <c r="AJ192" s="158"/>
      <c r="AK192" s="158"/>
      <c r="AL192" s="158"/>
      <c r="AM192" s="158"/>
      <c r="AN192" s="158"/>
      <c r="AO192" s="158"/>
      <c r="AP192" s="158"/>
      <c r="AQ192" s="158"/>
      <c r="AR192" s="158"/>
      <c r="AS192" s="158"/>
      <c r="AT192" s="158"/>
      <c r="AV192" s="413"/>
      <c r="AW192" s="413"/>
      <c r="AX192" s="414"/>
      <c r="AY192" s="415"/>
      <c r="AZ192" s="416"/>
    </row>
    <row r="193" spans="1:52">
      <c r="A193" s="5" t="str">
        <f t="shared" si="12"/>
        <v>Bus - SB Rebates_Pipe Insulation - Steam Large Fitting</v>
      </c>
      <c r="B193" s="407">
        <v>190</v>
      </c>
      <c r="C193" s="408" t="s">
        <v>712</v>
      </c>
      <c r="D193" s="407" t="s">
        <v>207</v>
      </c>
      <c r="E193" s="408" t="s">
        <v>150</v>
      </c>
      <c r="F193" s="408">
        <v>1</v>
      </c>
      <c r="G193" s="409">
        <v>0.92</v>
      </c>
      <c r="H193" s="470">
        <v>15</v>
      </c>
      <c r="I193" s="463">
        <v>15</v>
      </c>
      <c r="J193" s="408"/>
      <c r="K193" s="408"/>
      <c r="L193" s="408"/>
      <c r="M193" s="408"/>
      <c r="N193" s="208">
        <f>'Pipe Insulation Detail'!$B$56</f>
        <v>51.249515380658096</v>
      </c>
      <c r="O193" s="461">
        <f t="shared" si="16"/>
        <v>51.249515380658096</v>
      </c>
      <c r="P193" s="461">
        <f t="shared" si="16"/>
        <v>51.249515380658096</v>
      </c>
      <c r="Q193" s="461">
        <f t="shared" si="16"/>
        <v>51.249515380658096</v>
      </c>
      <c r="R193" s="411"/>
      <c r="S193" s="411" t="s">
        <v>1046</v>
      </c>
      <c r="T193" s="411" t="s">
        <v>201</v>
      </c>
      <c r="U193" s="411" t="s">
        <v>200</v>
      </c>
      <c r="V193" s="439" t="s">
        <v>825</v>
      </c>
      <c r="W193" s="158"/>
      <c r="X193" s="158"/>
      <c r="Y193" s="158"/>
      <c r="Z193" s="158"/>
      <c r="AA193" s="150"/>
      <c r="AB193" s="158"/>
      <c r="AC193" s="150"/>
      <c r="AD193" s="158"/>
      <c r="AE193" s="150"/>
      <c r="AF193" s="158"/>
      <c r="AG193" s="158"/>
      <c r="AH193" s="158"/>
      <c r="AI193" s="158"/>
      <c r="AJ193" s="158"/>
      <c r="AK193" s="158"/>
      <c r="AL193" s="158"/>
      <c r="AM193" s="158"/>
      <c r="AN193" s="158"/>
      <c r="AO193" s="158"/>
      <c r="AP193" s="158"/>
      <c r="AQ193" s="158"/>
      <c r="AR193" s="158"/>
      <c r="AS193" s="158"/>
      <c r="AT193" s="158"/>
      <c r="AV193" s="413"/>
      <c r="AW193" s="413"/>
      <c r="AX193" s="414"/>
      <c r="AY193" s="415"/>
      <c r="AZ193" s="416"/>
    </row>
    <row r="194" spans="1:52">
      <c r="A194" s="5" t="str">
        <f t="shared" si="12"/>
        <v>Bus - SB Rebates_Pipe Insulation - Steam X-Large Fitting</v>
      </c>
      <c r="B194" s="407">
        <v>191</v>
      </c>
      <c r="C194" s="408" t="s">
        <v>712</v>
      </c>
      <c r="D194" s="407" t="s">
        <v>206</v>
      </c>
      <c r="E194" s="408" t="s">
        <v>150</v>
      </c>
      <c r="F194" s="408">
        <v>1</v>
      </c>
      <c r="G194" s="409">
        <v>0.92</v>
      </c>
      <c r="H194" s="470">
        <v>15</v>
      </c>
      <c r="I194" s="463">
        <v>15</v>
      </c>
      <c r="J194" s="408"/>
      <c r="K194" s="408"/>
      <c r="L194" s="408"/>
      <c r="M194" s="408"/>
      <c r="N194" s="208">
        <f>'Pipe Insulation Detail'!$B$57</f>
        <v>99.138118398437726</v>
      </c>
      <c r="O194" s="461">
        <f t="shared" si="16"/>
        <v>99.138118398437726</v>
      </c>
      <c r="P194" s="461">
        <f t="shared" si="16"/>
        <v>99.138118398437726</v>
      </c>
      <c r="Q194" s="461">
        <f t="shared" si="16"/>
        <v>99.138118398437726</v>
      </c>
      <c r="R194" s="411"/>
      <c r="S194" s="411" t="s">
        <v>1046</v>
      </c>
      <c r="T194" s="411" t="s">
        <v>201</v>
      </c>
      <c r="U194" s="411" t="s">
        <v>200</v>
      </c>
      <c r="V194" s="439" t="s">
        <v>825</v>
      </c>
      <c r="W194" s="158"/>
      <c r="X194" s="158"/>
      <c r="Y194" s="158"/>
      <c r="Z194" s="158"/>
      <c r="AA194" s="150"/>
      <c r="AB194" s="158"/>
      <c r="AC194" s="150"/>
      <c r="AD194" s="158"/>
      <c r="AE194" s="150"/>
      <c r="AF194" s="158"/>
      <c r="AG194" s="158"/>
      <c r="AH194" s="158"/>
      <c r="AI194" s="158"/>
      <c r="AJ194" s="158"/>
      <c r="AK194" s="158"/>
      <c r="AL194" s="158"/>
      <c r="AM194" s="158"/>
      <c r="AN194" s="158"/>
      <c r="AO194" s="158"/>
      <c r="AP194" s="158"/>
      <c r="AQ194" s="158"/>
      <c r="AR194" s="158"/>
      <c r="AS194" s="158"/>
      <c r="AT194" s="158"/>
      <c r="AV194" s="413"/>
      <c r="AW194" s="413"/>
      <c r="AX194" s="414"/>
      <c r="AY194" s="415"/>
      <c r="AZ194" s="416"/>
    </row>
    <row r="195" spans="1:52">
      <c r="A195" s="5" t="str">
        <f t="shared" si="12"/>
        <v>Bus - SB Rebates_Pipe Insulation - Steam Med Valve</v>
      </c>
      <c r="B195" s="407">
        <v>192</v>
      </c>
      <c r="C195" s="408" t="s">
        <v>712</v>
      </c>
      <c r="D195" s="407" t="s">
        <v>204</v>
      </c>
      <c r="E195" s="408" t="s">
        <v>150</v>
      </c>
      <c r="F195" s="408">
        <v>1</v>
      </c>
      <c r="G195" s="409">
        <v>0.92</v>
      </c>
      <c r="H195" s="470">
        <v>15</v>
      </c>
      <c r="I195" s="463">
        <v>15</v>
      </c>
      <c r="J195" s="408"/>
      <c r="K195" s="408"/>
      <c r="L195" s="408"/>
      <c r="M195" s="408"/>
      <c r="N195" s="208">
        <f>'Pipe Insulation Detail'!$B$59</f>
        <v>37.423389683572815</v>
      </c>
      <c r="O195" s="461">
        <f t="shared" si="16"/>
        <v>37.423389683572815</v>
      </c>
      <c r="P195" s="461">
        <f t="shared" si="16"/>
        <v>37.423389683572815</v>
      </c>
      <c r="Q195" s="461">
        <f t="shared" si="16"/>
        <v>37.423389683572815</v>
      </c>
      <c r="R195" s="411"/>
      <c r="S195" s="411" t="s">
        <v>1046</v>
      </c>
      <c r="T195" s="411" t="s">
        <v>201</v>
      </c>
      <c r="U195" s="411" t="s">
        <v>200</v>
      </c>
      <c r="V195" s="439" t="s">
        <v>825</v>
      </c>
      <c r="W195" s="158"/>
      <c r="X195" s="158"/>
      <c r="Y195" s="158"/>
      <c r="Z195" s="158"/>
      <c r="AA195" s="150"/>
      <c r="AB195" s="158"/>
      <c r="AC195" s="150"/>
      <c r="AD195" s="158"/>
      <c r="AE195" s="150"/>
      <c r="AF195" s="158"/>
      <c r="AG195" s="158"/>
      <c r="AH195" s="158"/>
      <c r="AI195" s="158"/>
      <c r="AJ195" s="158"/>
      <c r="AK195" s="158"/>
      <c r="AL195" s="158"/>
      <c r="AM195" s="158"/>
      <c r="AN195" s="158"/>
      <c r="AO195" s="158"/>
      <c r="AP195" s="158"/>
      <c r="AQ195" s="158"/>
      <c r="AR195" s="158"/>
      <c r="AS195" s="158"/>
      <c r="AT195" s="158"/>
      <c r="AV195" s="413"/>
      <c r="AW195" s="413"/>
      <c r="AX195" s="414"/>
      <c r="AY195" s="415"/>
      <c r="AZ195" s="416"/>
    </row>
    <row r="196" spans="1:52">
      <c r="A196" s="5" t="str">
        <f t="shared" si="12"/>
        <v>Bus - SB Rebates_Pipe Insulation - Steam Large Valve</v>
      </c>
      <c r="B196" s="407">
        <v>193</v>
      </c>
      <c r="C196" s="408" t="s">
        <v>712</v>
      </c>
      <c r="D196" s="407" t="s">
        <v>203</v>
      </c>
      <c r="E196" s="408" t="s">
        <v>150</v>
      </c>
      <c r="F196" s="408">
        <v>1</v>
      </c>
      <c r="G196" s="409">
        <v>0.92</v>
      </c>
      <c r="H196" s="470">
        <v>15</v>
      </c>
      <c r="I196" s="463">
        <v>15</v>
      </c>
      <c r="J196" s="408"/>
      <c r="K196" s="408"/>
      <c r="L196" s="408"/>
      <c r="M196" s="408"/>
      <c r="N196" s="208">
        <f>'Pipe Insulation Detail'!$B$60</f>
        <v>107.52607289087437</v>
      </c>
      <c r="O196" s="461">
        <f t="shared" si="16"/>
        <v>107.52607289087437</v>
      </c>
      <c r="P196" s="461">
        <f t="shared" si="16"/>
        <v>107.52607289087437</v>
      </c>
      <c r="Q196" s="461">
        <f t="shared" si="16"/>
        <v>107.52607289087437</v>
      </c>
      <c r="R196" s="411"/>
      <c r="S196" s="411" t="s">
        <v>1046</v>
      </c>
      <c r="T196" s="411" t="s">
        <v>201</v>
      </c>
      <c r="U196" s="411" t="s">
        <v>200</v>
      </c>
      <c r="V196" s="439" t="s">
        <v>825</v>
      </c>
      <c r="W196" s="158"/>
      <c r="X196" s="158"/>
      <c r="Y196" s="158"/>
      <c r="Z196" s="158"/>
      <c r="AA196" s="150"/>
      <c r="AB196" s="158"/>
      <c r="AC196" s="150"/>
      <c r="AD196" s="158"/>
      <c r="AE196" s="150"/>
      <c r="AF196" s="158"/>
      <c r="AG196" s="158"/>
      <c r="AH196" s="158"/>
      <c r="AI196" s="158"/>
      <c r="AJ196" s="158"/>
      <c r="AK196" s="158"/>
      <c r="AL196" s="158"/>
      <c r="AM196" s="158"/>
      <c r="AN196" s="158"/>
      <c r="AO196" s="158"/>
      <c r="AP196" s="158"/>
      <c r="AQ196" s="158"/>
      <c r="AR196" s="158"/>
      <c r="AS196" s="158"/>
      <c r="AT196" s="158"/>
      <c r="AV196" s="413"/>
      <c r="AW196" s="413"/>
      <c r="AX196" s="414"/>
      <c r="AY196" s="415"/>
      <c r="AZ196" s="416"/>
    </row>
    <row r="197" spans="1:52">
      <c r="A197" s="5" t="str">
        <f t="shared" si="12"/>
        <v>Bus - SB Rebates_Pipe Insulation - Steam X-Large Valve</v>
      </c>
      <c r="B197" s="407">
        <v>194</v>
      </c>
      <c r="C197" s="408" t="s">
        <v>712</v>
      </c>
      <c r="D197" s="407" t="s">
        <v>202</v>
      </c>
      <c r="E197" s="408" t="s">
        <v>150</v>
      </c>
      <c r="F197" s="408">
        <v>1</v>
      </c>
      <c r="G197" s="409">
        <v>0.92</v>
      </c>
      <c r="H197" s="470">
        <v>15</v>
      </c>
      <c r="I197" s="463">
        <v>15</v>
      </c>
      <c r="J197" s="408"/>
      <c r="K197" s="408"/>
      <c r="L197" s="408"/>
      <c r="M197" s="408"/>
      <c r="N197" s="208">
        <f>'Pipe Insulation Detail'!$B$61</f>
        <v>175.06254164158375</v>
      </c>
      <c r="O197" s="461">
        <f t="shared" si="16"/>
        <v>175.06254164158375</v>
      </c>
      <c r="P197" s="461">
        <f t="shared" si="16"/>
        <v>175.06254164158375</v>
      </c>
      <c r="Q197" s="461">
        <f t="shared" si="16"/>
        <v>175.06254164158375</v>
      </c>
      <c r="R197" s="411"/>
      <c r="S197" s="411" t="s">
        <v>1046</v>
      </c>
      <c r="T197" s="411" t="s">
        <v>201</v>
      </c>
      <c r="U197" s="411" t="s">
        <v>200</v>
      </c>
      <c r="V197" s="439" t="s">
        <v>825</v>
      </c>
      <c r="W197" s="158"/>
      <c r="X197" s="158"/>
      <c r="Y197" s="158"/>
      <c r="Z197" s="158"/>
      <c r="AA197" s="150"/>
      <c r="AB197" s="158"/>
      <c r="AC197" s="150"/>
      <c r="AD197" s="158"/>
      <c r="AE197" s="150"/>
      <c r="AF197" s="158"/>
      <c r="AG197" s="158"/>
      <c r="AH197" s="158"/>
      <c r="AI197" s="158"/>
      <c r="AJ197" s="158"/>
      <c r="AK197" s="158"/>
      <c r="AL197" s="158"/>
      <c r="AM197" s="158"/>
      <c r="AN197" s="158"/>
      <c r="AO197" s="158"/>
      <c r="AP197" s="158"/>
      <c r="AQ197" s="158"/>
      <c r="AR197" s="158"/>
      <c r="AS197" s="158"/>
      <c r="AT197" s="158"/>
      <c r="AV197" s="413"/>
      <c r="AW197" s="413"/>
      <c r="AX197" s="414"/>
      <c r="AY197" s="415"/>
      <c r="AZ197" s="416"/>
    </row>
    <row r="198" spans="1:52">
      <c r="A198" s="5" t="str">
        <f t="shared" si="12"/>
        <v>Bus - SB Rebates_Pre Rinse Sprayer</v>
      </c>
      <c r="B198" s="407">
        <v>195</v>
      </c>
      <c r="C198" s="408" t="s">
        <v>712</v>
      </c>
      <c r="D198" s="407" t="s">
        <v>710</v>
      </c>
      <c r="E198" s="408" t="s">
        <v>150</v>
      </c>
      <c r="F198" s="408">
        <v>1</v>
      </c>
      <c r="G198" s="409">
        <v>0.92</v>
      </c>
      <c r="H198" s="470">
        <v>5</v>
      </c>
      <c r="I198" s="463">
        <v>5</v>
      </c>
      <c r="J198" s="408">
        <v>25</v>
      </c>
      <c r="K198" s="408">
        <v>25</v>
      </c>
      <c r="L198" s="408">
        <v>25</v>
      </c>
      <c r="M198" s="408">
        <v>25</v>
      </c>
      <c r="N198" s="461">
        <f>(X198-Z198)*60*AB198*AD198*8.33*1*(AF198-AH198)*(1/AJ198)/100000</f>
        <v>51.167025000000002</v>
      </c>
      <c r="O198" s="461">
        <f t="shared" si="16"/>
        <v>51.167025000000002</v>
      </c>
      <c r="P198" s="461">
        <f t="shared" si="16"/>
        <v>51.167025000000002</v>
      </c>
      <c r="Q198" s="461">
        <f t="shared" si="16"/>
        <v>51.167025000000002</v>
      </c>
      <c r="R198" s="411"/>
      <c r="S198" s="411" t="s">
        <v>1046</v>
      </c>
      <c r="T198" s="411" t="s">
        <v>351</v>
      </c>
      <c r="U198" s="411" t="s">
        <v>350</v>
      </c>
      <c r="V198" s="149" t="s">
        <v>344</v>
      </c>
      <c r="W198" s="412" t="s">
        <v>349</v>
      </c>
      <c r="X198" s="491">
        <v>1.23</v>
      </c>
      <c r="Y198" s="412" t="s">
        <v>348</v>
      </c>
      <c r="Z198" s="492">
        <v>0.98</v>
      </c>
      <c r="AA198" s="412" t="s">
        <v>347</v>
      </c>
      <c r="AB198" s="444">
        <v>1.5</v>
      </c>
      <c r="AC198" s="412" t="s">
        <v>346</v>
      </c>
      <c r="AD198" s="412">
        <v>312</v>
      </c>
      <c r="AE198" s="412" t="s">
        <v>251</v>
      </c>
      <c r="AF198" s="445">
        <f>70+AH198</f>
        <v>124.1</v>
      </c>
      <c r="AG198" s="412" t="s">
        <v>250</v>
      </c>
      <c r="AH198" s="490">
        <v>54.1</v>
      </c>
      <c r="AI198" s="412" t="s">
        <v>345</v>
      </c>
      <c r="AJ198" s="418">
        <v>0.8</v>
      </c>
      <c r="AK198" s="158"/>
      <c r="AL198" s="158"/>
      <c r="AM198" s="158"/>
      <c r="AN198" s="158"/>
      <c r="AO198" s="158"/>
      <c r="AP198" s="158"/>
      <c r="AQ198" s="158"/>
      <c r="AR198" s="158"/>
      <c r="AS198" s="158"/>
      <c r="AT198" s="158"/>
      <c r="AV198" s="413"/>
      <c r="AW198" s="413"/>
      <c r="AX198" s="414"/>
      <c r="AY198" s="415"/>
      <c r="AZ198" s="416"/>
    </row>
    <row r="199" spans="1:52">
      <c r="A199" s="5" t="str">
        <f t="shared" ref="A199:A262" si="17">C199&amp;"_"&amp;D199</f>
        <v>Bus - SB Rebates_Steam Boiler ≥82% AFUE, &gt;300MBh TE</v>
      </c>
      <c r="B199" s="407">
        <v>196</v>
      </c>
      <c r="C199" s="408" t="s">
        <v>712</v>
      </c>
      <c r="D199" s="407" t="s">
        <v>723</v>
      </c>
      <c r="E199" s="408" t="s">
        <v>240</v>
      </c>
      <c r="F199" s="408">
        <v>450</v>
      </c>
      <c r="G199" s="409">
        <v>0.92</v>
      </c>
      <c r="H199" s="470">
        <v>20</v>
      </c>
      <c r="I199" s="463">
        <v>20</v>
      </c>
      <c r="J199" s="408">
        <v>40</v>
      </c>
      <c r="K199" s="408">
        <v>40</v>
      </c>
      <c r="L199" s="408">
        <v>40</v>
      </c>
      <c r="M199" s="408">
        <v>40</v>
      </c>
      <c r="N199" s="208">
        <f>X199*Z199*((AB199-AD199)/AD199)/100000/F199</f>
        <v>0.61860759493670714</v>
      </c>
      <c r="O199" s="461">
        <f t="shared" si="16"/>
        <v>0.61860759493670714</v>
      </c>
      <c r="P199" s="461">
        <f t="shared" si="16"/>
        <v>0.61860759493670714</v>
      </c>
      <c r="Q199" s="461">
        <f t="shared" si="16"/>
        <v>0.61860759493670714</v>
      </c>
      <c r="R199" s="411"/>
      <c r="S199" s="411" t="s">
        <v>1046</v>
      </c>
      <c r="T199" s="411" t="s">
        <v>343</v>
      </c>
      <c r="U199" s="411" t="s">
        <v>342</v>
      </c>
      <c r="V199" s="158" t="s">
        <v>340</v>
      </c>
      <c r="W199" s="496" t="s">
        <v>1434</v>
      </c>
      <c r="X199" s="495">
        <v>1629</v>
      </c>
      <c r="Y199" s="150" t="s">
        <v>273</v>
      </c>
      <c r="Z199" s="424">
        <v>450000</v>
      </c>
      <c r="AA199" s="150" t="s">
        <v>341</v>
      </c>
      <c r="AB199" s="434">
        <v>0.82</v>
      </c>
      <c r="AC199" s="158" t="s">
        <v>248</v>
      </c>
      <c r="AD199" s="423">
        <v>0.79</v>
      </c>
      <c r="AE199" s="158"/>
      <c r="AF199" s="158"/>
      <c r="AG199" s="158"/>
      <c r="AH199" s="158"/>
      <c r="AI199" s="440"/>
      <c r="AJ199" s="441"/>
      <c r="AK199" s="440"/>
      <c r="AL199" s="423"/>
      <c r="AM199" s="158"/>
      <c r="AN199" s="158"/>
      <c r="AO199" s="158"/>
      <c r="AP199" s="158"/>
      <c r="AQ199" s="158"/>
      <c r="AR199" s="158"/>
      <c r="AS199" s="158"/>
      <c r="AT199" s="158"/>
      <c r="AV199" s="413"/>
      <c r="AW199" s="413"/>
      <c r="AX199" s="414"/>
      <c r="AY199" s="415"/>
      <c r="AZ199" s="416"/>
    </row>
    <row r="200" spans="1:52">
      <c r="A200" s="5" t="str">
        <f t="shared" si="17"/>
        <v>Bus - SB Rebates_Steam Traps - Dry Cleaner/Industrial</v>
      </c>
      <c r="B200" s="407">
        <v>197</v>
      </c>
      <c r="C200" s="408" t="s">
        <v>712</v>
      </c>
      <c r="D200" s="407" t="s">
        <v>269</v>
      </c>
      <c r="E200" s="408" t="s">
        <v>150</v>
      </c>
      <c r="F200" s="408">
        <v>1</v>
      </c>
      <c r="G200" s="409">
        <v>0.92</v>
      </c>
      <c r="H200" s="470">
        <v>6</v>
      </c>
      <c r="I200" s="463">
        <v>6</v>
      </c>
      <c r="J200" s="408"/>
      <c r="K200" s="408"/>
      <c r="L200" s="408"/>
      <c r="M200" s="408"/>
      <c r="N200" s="208">
        <f>X200*(Z200/AB200)*AD200*AF200/100000</f>
        <v>137.91939591078068</v>
      </c>
      <c r="O200" s="461">
        <f t="shared" si="16"/>
        <v>137.91939591078068</v>
      </c>
      <c r="P200" s="461">
        <f t="shared" si="16"/>
        <v>137.91939591078068</v>
      </c>
      <c r="Q200" s="461">
        <f t="shared" si="16"/>
        <v>137.91939591078068</v>
      </c>
      <c r="R200" s="411"/>
      <c r="S200" s="411" t="s">
        <v>1046</v>
      </c>
      <c r="T200" s="411" t="s">
        <v>266</v>
      </c>
      <c r="U200" s="411" t="s">
        <v>265</v>
      </c>
      <c r="V200" s="158" t="s">
        <v>259</v>
      </c>
      <c r="W200" s="158" t="s">
        <v>264</v>
      </c>
      <c r="X200" s="158">
        <v>19.100000000000001</v>
      </c>
      <c r="Y200" s="158" t="s">
        <v>263</v>
      </c>
      <c r="Z200" s="158">
        <v>890</v>
      </c>
      <c r="AA200" s="150" t="s">
        <v>262</v>
      </c>
      <c r="AB200" s="425">
        <v>0.80700000000000005</v>
      </c>
      <c r="AC200" s="150" t="s">
        <v>153</v>
      </c>
      <c r="AD200" s="158">
        <v>2425</v>
      </c>
      <c r="AE200" s="158" t="s">
        <v>260</v>
      </c>
      <c r="AF200" s="423">
        <v>0.27</v>
      </c>
      <c r="AG200" s="158"/>
      <c r="AH200" s="158"/>
      <c r="AI200" s="158"/>
      <c r="AJ200" s="158"/>
      <c r="AK200" s="158"/>
      <c r="AL200" s="158"/>
      <c r="AM200" s="158"/>
      <c r="AN200" s="158"/>
      <c r="AO200" s="158"/>
      <c r="AP200" s="158"/>
      <c r="AQ200" s="158"/>
      <c r="AR200" s="158"/>
      <c r="AS200" s="158"/>
      <c r="AT200" s="158"/>
      <c r="AV200" s="413"/>
      <c r="AW200" s="413"/>
      <c r="AX200" s="414"/>
      <c r="AY200" s="415"/>
      <c r="AZ200" s="416"/>
    </row>
    <row r="201" spans="1:52">
      <c r="A201" s="5" t="str">
        <f t="shared" si="17"/>
        <v>Bus - SB Rebates_Steam Traps - HVAC Repair/Rep - Audit</v>
      </c>
      <c r="B201" s="407">
        <v>198</v>
      </c>
      <c r="C201" s="408" t="s">
        <v>712</v>
      </c>
      <c r="D201" s="407" t="s">
        <v>268</v>
      </c>
      <c r="E201" s="408" t="s">
        <v>150</v>
      </c>
      <c r="F201" s="408">
        <v>1</v>
      </c>
      <c r="G201" s="409">
        <v>0.92</v>
      </c>
      <c r="H201" s="470">
        <v>6</v>
      </c>
      <c r="I201" s="463">
        <v>6</v>
      </c>
      <c r="J201" s="408"/>
      <c r="K201" s="408"/>
      <c r="L201" s="408"/>
      <c r="M201" s="408"/>
      <c r="N201" s="208">
        <f>X201*(Z201/AB201)*AD201*AF201/100000</f>
        <v>88.453924126394057</v>
      </c>
      <c r="O201" s="461">
        <f t="shared" si="16"/>
        <v>88.453924126394057</v>
      </c>
      <c r="P201" s="461">
        <f t="shared" si="16"/>
        <v>88.453924126394057</v>
      </c>
      <c r="Q201" s="461">
        <f t="shared" si="16"/>
        <v>88.453924126394057</v>
      </c>
      <c r="R201" s="411"/>
      <c r="S201" s="411" t="s">
        <v>1046</v>
      </c>
      <c r="T201" s="411" t="s">
        <v>266</v>
      </c>
      <c r="U201" s="411" t="s">
        <v>265</v>
      </c>
      <c r="V201" s="158" t="s">
        <v>259</v>
      </c>
      <c r="W201" s="158" t="s">
        <v>264</v>
      </c>
      <c r="X201" s="158">
        <v>6.9</v>
      </c>
      <c r="Y201" s="158" t="s">
        <v>263</v>
      </c>
      <c r="Z201" s="158">
        <v>951</v>
      </c>
      <c r="AA201" s="150" t="s">
        <v>262</v>
      </c>
      <c r="AB201" s="425">
        <v>0.80700000000000005</v>
      </c>
      <c r="AC201" s="150" t="s">
        <v>261</v>
      </c>
      <c r="AD201" s="158">
        <v>4029</v>
      </c>
      <c r="AE201" s="158" t="s">
        <v>260</v>
      </c>
      <c r="AF201" s="423">
        <v>0.27</v>
      </c>
      <c r="AG201" s="158"/>
      <c r="AH201" s="158"/>
      <c r="AI201" s="158"/>
      <c r="AJ201" s="158"/>
      <c r="AK201" s="158"/>
      <c r="AL201" s="158"/>
      <c r="AM201" s="158"/>
      <c r="AN201" s="158"/>
      <c r="AO201" s="158"/>
      <c r="AP201" s="158"/>
      <c r="AQ201" s="158"/>
      <c r="AR201" s="158"/>
      <c r="AS201" s="158"/>
      <c r="AT201" s="158"/>
      <c r="AV201" s="413"/>
      <c r="AW201" s="413"/>
      <c r="AX201" s="414"/>
      <c r="AY201" s="415"/>
      <c r="AZ201" s="416"/>
    </row>
    <row r="202" spans="1:52">
      <c r="A202" s="5" t="str">
        <f t="shared" si="17"/>
        <v>Bus - SB Rebates_Steam Traps - HVAC Repair/Rep - No Audit</v>
      </c>
      <c r="B202" s="407">
        <v>199</v>
      </c>
      <c r="C202" s="408" t="s">
        <v>712</v>
      </c>
      <c r="D202" s="407" t="s">
        <v>267</v>
      </c>
      <c r="E202" s="408" t="s">
        <v>150</v>
      </c>
      <c r="F202" s="408">
        <v>1</v>
      </c>
      <c r="G202" s="409">
        <v>0.92</v>
      </c>
      <c r="H202" s="470">
        <v>6</v>
      </c>
      <c r="I202" s="463">
        <v>6</v>
      </c>
      <c r="J202" s="408"/>
      <c r="K202" s="408"/>
      <c r="L202" s="408"/>
      <c r="M202" s="408"/>
      <c r="N202" s="208">
        <f>X202*(Z202/AB202)*AD202*AF202/100000</f>
        <v>88.453924126394057</v>
      </c>
      <c r="O202" s="461">
        <f t="shared" si="16"/>
        <v>88.453924126394057</v>
      </c>
      <c r="P202" s="461">
        <f t="shared" si="16"/>
        <v>88.453924126394057</v>
      </c>
      <c r="Q202" s="461">
        <f t="shared" si="16"/>
        <v>88.453924126394057</v>
      </c>
      <c r="R202" s="411"/>
      <c r="S202" s="411" t="s">
        <v>1046</v>
      </c>
      <c r="T202" s="411" t="s">
        <v>266</v>
      </c>
      <c r="U202" s="411" t="s">
        <v>265</v>
      </c>
      <c r="V202" s="158" t="s">
        <v>259</v>
      </c>
      <c r="W202" s="158" t="s">
        <v>264</v>
      </c>
      <c r="X202" s="158">
        <v>6.9</v>
      </c>
      <c r="Y202" s="158" t="s">
        <v>263</v>
      </c>
      <c r="Z202" s="158">
        <v>951</v>
      </c>
      <c r="AA202" s="150" t="s">
        <v>262</v>
      </c>
      <c r="AB202" s="425">
        <v>0.80700000000000005</v>
      </c>
      <c r="AC202" s="150" t="s">
        <v>261</v>
      </c>
      <c r="AD202" s="158">
        <v>4029</v>
      </c>
      <c r="AE202" s="158" t="s">
        <v>260</v>
      </c>
      <c r="AF202" s="423">
        <v>0.27</v>
      </c>
      <c r="AG202" s="158"/>
      <c r="AH202" s="158"/>
      <c r="AI202" s="158"/>
      <c r="AJ202" s="425"/>
      <c r="AK202" s="158"/>
      <c r="AL202" s="158"/>
      <c r="AM202" s="158"/>
      <c r="AN202" s="158"/>
      <c r="AO202" s="158"/>
      <c r="AP202" s="158"/>
      <c r="AQ202" s="158"/>
      <c r="AR202" s="158"/>
      <c r="AS202" s="158"/>
      <c r="AT202" s="158"/>
      <c r="AV202" s="413"/>
      <c r="AW202" s="413"/>
      <c r="AX202" s="414"/>
      <c r="AY202" s="415"/>
      <c r="AZ202" s="416"/>
    </row>
    <row r="203" spans="1:52">
      <c r="A203" s="5" t="str">
        <f t="shared" si="17"/>
        <v>Bus - SB Rebates_Steam Traps - Test</v>
      </c>
      <c r="B203" s="407">
        <v>200</v>
      </c>
      <c r="C203" s="408" t="s">
        <v>712</v>
      </c>
      <c r="D203" s="407" t="s">
        <v>258</v>
      </c>
      <c r="E203" s="408" t="s">
        <v>150</v>
      </c>
      <c r="F203" s="408">
        <v>1</v>
      </c>
      <c r="G203" s="409">
        <v>0.92</v>
      </c>
      <c r="H203" s="470">
        <v>3</v>
      </c>
      <c r="I203" s="463">
        <v>3</v>
      </c>
      <c r="J203" s="408"/>
      <c r="K203" s="408"/>
      <c r="L203" s="408"/>
      <c r="M203" s="408"/>
      <c r="N203" s="208">
        <v>0</v>
      </c>
      <c r="O203" s="461">
        <f t="shared" si="16"/>
        <v>0</v>
      </c>
      <c r="P203" s="461">
        <f t="shared" si="16"/>
        <v>0</v>
      </c>
      <c r="Q203" s="461">
        <f t="shared" si="16"/>
        <v>0</v>
      </c>
      <c r="R203" s="411"/>
      <c r="S203" s="411" t="s">
        <v>140</v>
      </c>
      <c r="T203" s="411" t="s">
        <v>140</v>
      </c>
      <c r="U203" s="411" t="s">
        <v>140</v>
      </c>
      <c r="V203" s="412" t="s">
        <v>140</v>
      </c>
      <c r="W203" s="158"/>
      <c r="X203" s="158"/>
      <c r="Y203" s="158"/>
      <c r="Z203" s="158"/>
      <c r="AA203" s="150"/>
      <c r="AB203" s="423"/>
      <c r="AC203" s="150"/>
      <c r="AD203" s="158"/>
      <c r="AE203" s="150"/>
      <c r="AF203" s="423"/>
      <c r="AG203" s="158"/>
      <c r="AH203" s="423"/>
      <c r="AI203" s="158"/>
      <c r="AJ203" s="423"/>
      <c r="AK203" s="158"/>
      <c r="AL203" s="158"/>
      <c r="AM203" s="158"/>
      <c r="AN203" s="158"/>
      <c r="AO203" s="158"/>
      <c r="AP203" s="158"/>
      <c r="AQ203" s="158"/>
      <c r="AR203" s="158"/>
      <c r="AS203" s="158"/>
      <c r="AT203" s="158"/>
      <c r="AV203" s="413"/>
      <c r="AW203" s="413"/>
      <c r="AX203" s="414"/>
      <c r="AY203" s="415"/>
      <c r="AZ203" s="416"/>
    </row>
    <row r="204" spans="1:52">
      <c r="A204" s="5" t="str">
        <f t="shared" si="17"/>
        <v>Bus - SB Rebates_Thermostat - Programmable</v>
      </c>
      <c r="B204" s="407">
        <v>201</v>
      </c>
      <c r="C204" s="408" t="s">
        <v>712</v>
      </c>
      <c r="D204" s="407" t="s">
        <v>226</v>
      </c>
      <c r="E204" s="408" t="s">
        <v>150</v>
      </c>
      <c r="F204" s="408">
        <v>1</v>
      </c>
      <c r="G204" s="409">
        <v>0.92</v>
      </c>
      <c r="H204" s="470">
        <v>4</v>
      </c>
      <c r="I204" s="463">
        <v>4</v>
      </c>
      <c r="J204" s="408"/>
      <c r="K204" s="408"/>
      <c r="L204" s="408"/>
      <c r="M204" s="408"/>
      <c r="N204" s="354">
        <f>'Thermostat Detail'!$L$13</f>
        <v>124.68584320000001</v>
      </c>
      <c r="O204" s="461">
        <f t="shared" ref="O204:Q215" si="18">N204</f>
        <v>124.68584320000001</v>
      </c>
      <c r="P204" s="461">
        <f t="shared" si="18"/>
        <v>124.68584320000001</v>
      </c>
      <c r="Q204" s="461">
        <f t="shared" si="18"/>
        <v>124.68584320000001</v>
      </c>
      <c r="R204" s="411"/>
      <c r="S204" s="411" t="s">
        <v>1046</v>
      </c>
      <c r="T204" s="411" t="s">
        <v>225</v>
      </c>
      <c r="U204" s="411" t="s">
        <v>224</v>
      </c>
      <c r="V204" s="439" t="s">
        <v>824</v>
      </c>
      <c r="W204" s="158"/>
      <c r="X204" s="158"/>
      <c r="Y204" s="158"/>
      <c r="Z204" s="158"/>
      <c r="AA204" s="150"/>
      <c r="AB204" s="423"/>
      <c r="AC204" s="150"/>
      <c r="AD204" s="158"/>
      <c r="AE204" s="150"/>
      <c r="AF204" s="423"/>
      <c r="AG204" s="158"/>
      <c r="AH204" s="423"/>
      <c r="AI204" s="158"/>
      <c r="AJ204" s="423"/>
      <c r="AK204" s="158"/>
      <c r="AL204" s="158"/>
      <c r="AM204" s="158"/>
      <c r="AN204" s="158"/>
      <c r="AO204" s="158"/>
      <c r="AP204" s="158"/>
      <c r="AQ204" s="158"/>
      <c r="AR204" s="158"/>
      <c r="AS204" s="158"/>
      <c r="AT204" s="158"/>
      <c r="AV204" s="413"/>
      <c r="AW204" s="413"/>
      <c r="AX204" s="414"/>
      <c r="AY204" s="415"/>
      <c r="AZ204" s="416"/>
    </row>
    <row r="205" spans="1:52">
      <c r="A205" s="5" t="str">
        <f t="shared" si="17"/>
        <v>Bus - SB Rebates_Water Heater - Storage 88% TE ≥75MBh</v>
      </c>
      <c r="B205" s="407">
        <v>202</v>
      </c>
      <c r="C205" s="408" t="s">
        <v>712</v>
      </c>
      <c r="D205" s="407" t="s">
        <v>254</v>
      </c>
      <c r="E205" s="408" t="s">
        <v>150</v>
      </c>
      <c r="F205" s="408">
        <v>1</v>
      </c>
      <c r="G205" s="409">
        <v>0.92</v>
      </c>
      <c r="H205" s="470">
        <v>15</v>
      </c>
      <c r="I205" s="463">
        <v>15</v>
      </c>
      <c r="J205" s="408"/>
      <c r="K205" s="408"/>
      <c r="L205" s="408"/>
      <c r="M205" s="408"/>
      <c r="N205" s="208">
        <f>(X205-Z205)*AB205*8.33*(1/AD205-1/AF205)/100000+((AJ205-AL205)*8766/100000)</f>
        <v>1514.573584976577</v>
      </c>
      <c r="O205" s="461">
        <f t="shared" si="18"/>
        <v>1514.573584976577</v>
      </c>
      <c r="P205" s="461">
        <f t="shared" si="18"/>
        <v>1514.573584976577</v>
      </c>
      <c r="Q205" s="461">
        <f t="shared" si="18"/>
        <v>1514.573584976577</v>
      </c>
      <c r="R205" s="411"/>
      <c r="S205" s="411" t="s">
        <v>1046</v>
      </c>
      <c r="T205" s="411" t="s">
        <v>253</v>
      </c>
      <c r="U205" s="411" t="s">
        <v>252</v>
      </c>
      <c r="V205" s="158" t="s">
        <v>243</v>
      </c>
      <c r="W205" s="158" t="s">
        <v>251</v>
      </c>
      <c r="X205" s="158">
        <v>125</v>
      </c>
      <c r="Y205" s="158" t="s">
        <v>250</v>
      </c>
      <c r="Z205" s="158">
        <v>54</v>
      </c>
      <c r="AA205" s="150" t="s">
        <v>249</v>
      </c>
      <c r="AB205" s="424">
        <f>511*AH205</f>
        <v>127750</v>
      </c>
      <c r="AC205" s="391" t="s">
        <v>248</v>
      </c>
      <c r="AD205" s="430">
        <f xml:space="preserve"> 0.6002 - (0.0011 * AH205)</f>
        <v>0.32519999999999993</v>
      </c>
      <c r="AE205" s="421" t="s">
        <v>247</v>
      </c>
      <c r="AF205" s="158">
        <v>0.88</v>
      </c>
      <c r="AG205" s="158" t="s">
        <v>246</v>
      </c>
      <c r="AH205" s="158">
        <v>250</v>
      </c>
      <c r="AI205" s="158" t="s">
        <v>245</v>
      </c>
      <c r="AJ205" s="424">
        <f>200000/800+110*SQRT(150)</f>
        <v>1597.219358530748</v>
      </c>
      <c r="AK205" s="158" t="s">
        <v>244</v>
      </c>
      <c r="AL205" s="158">
        <v>1029</v>
      </c>
      <c r="AM205" s="158"/>
      <c r="AN205" s="158"/>
      <c r="AO205" s="158"/>
      <c r="AP205" s="158"/>
      <c r="AQ205" s="158"/>
      <c r="AR205" s="158"/>
      <c r="AS205" s="158"/>
      <c r="AT205" s="158"/>
      <c r="AV205" s="413"/>
      <c r="AW205" s="413"/>
      <c r="AX205" s="414"/>
      <c r="AY205" s="415"/>
      <c r="AZ205" s="416"/>
    </row>
    <row r="206" spans="1:52">
      <c r="A206" s="5" t="str">
        <f t="shared" si="17"/>
        <v>Bus - SB Rebates_Water Heater 88% TE - Laundromat</v>
      </c>
      <c r="B206" s="407">
        <v>203</v>
      </c>
      <c r="C206" s="408" t="s">
        <v>712</v>
      </c>
      <c r="D206" s="407" t="s">
        <v>242</v>
      </c>
      <c r="E206" s="408" t="s">
        <v>240</v>
      </c>
      <c r="F206" s="408">
        <v>75</v>
      </c>
      <c r="G206" s="409">
        <v>0.92</v>
      </c>
      <c r="H206" s="470">
        <v>15</v>
      </c>
      <c r="I206" s="463">
        <v>15</v>
      </c>
      <c r="J206" s="408"/>
      <c r="K206" s="408"/>
      <c r="L206" s="408"/>
      <c r="M206" s="408"/>
      <c r="N206" s="208">
        <f>'Laundromat Boiler Detail'!B23</f>
        <v>1.0567132867132856</v>
      </c>
      <c r="O206" s="461">
        <f t="shared" si="18"/>
        <v>1.0567132867132856</v>
      </c>
      <c r="P206" s="461">
        <f t="shared" si="18"/>
        <v>1.0567132867132856</v>
      </c>
      <c r="Q206" s="461">
        <f t="shared" si="18"/>
        <v>1.0567132867132856</v>
      </c>
      <c r="R206" s="411"/>
      <c r="S206" s="411" t="s">
        <v>140</v>
      </c>
      <c r="T206" s="411" t="s">
        <v>140</v>
      </c>
      <c r="U206" s="411" t="s">
        <v>140</v>
      </c>
      <c r="V206" s="436" t="s">
        <v>823</v>
      </c>
      <c r="W206" s="158"/>
      <c r="X206" s="158"/>
      <c r="Y206" s="158"/>
      <c r="Z206" s="158"/>
      <c r="AA206" s="150"/>
      <c r="AB206" s="158"/>
      <c r="AC206" s="150"/>
      <c r="AD206" s="158"/>
      <c r="AE206" s="150"/>
      <c r="AF206" s="158"/>
      <c r="AG206" s="158"/>
      <c r="AH206" s="158"/>
      <c r="AI206" s="158"/>
      <c r="AJ206" s="158"/>
      <c r="AK206" s="158"/>
      <c r="AL206" s="158"/>
      <c r="AM206" s="158"/>
      <c r="AN206" s="158"/>
      <c r="AO206" s="158"/>
      <c r="AP206" s="158"/>
      <c r="AQ206" s="158"/>
      <c r="AR206" s="158"/>
      <c r="AS206" s="158"/>
      <c r="AT206" s="158"/>
      <c r="AV206" s="413"/>
      <c r="AW206" s="413"/>
      <c r="AX206" s="414"/>
      <c r="AY206" s="415"/>
      <c r="AZ206" s="416"/>
    </row>
    <row r="207" spans="1:52">
      <c r="A207" s="5" t="str">
        <f t="shared" si="17"/>
        <v>Bus - SB Rebates_Water Heater 95% TE - Laundromat</v>
      </c>
      <c r="B207" s="407">
        <v>204</v>
      </c>
      <c r="C207" s="408" t="s">
        <v>712</v>
      </c>
      <c r="D207" s="407" t="s">
        <v>241</v>
      </c>
      <c r="E207" s="408" t="s">
        <v>240</v>
      </c>
      <c r="F207" s="408">
        <v>75</v>
      </c>
      <c r="G207" s="409">
        <v>0.92</v>
      </c>
      <c r="H207" s="470">
        <v>15</v>
      </c>
      <c r="I207" s="463">
        <v>15</v>
      </c>
      <c r="J207" s="408"/>
      <c r="K207" s="408"/>
      <c r="L207" s="408"/>
      <c r="M207" s="408"/>
      <c r="N207" s="208">
        <f>'Laundromat Boiler Detail'!C23</f>
        <v>1.8353441295546562</v>
      </c>
      <c r="O207" s="461">
        <f t="shared" si="18"/>
        <v>1.8353441295546562</v>
      </c>
      <c r="P207" s="461">
        <f t="shared" si="18"/>
        <v>1.8353441295546562</v>
      </c>
      <c r="Q207" s="461">
        <f t="shared" si="18"/>
        <v>1.8353441295546562</v>
      </c>
      <c r="R207" s="411"/>
      <c r="S207" s="411" t="s">
        <v>140</v>
      </c>
      <c r="T207" s="411" t="s">
        <v>140</v>
      </c>
      <c r="U207" s="411" t="s">
        <v>140</v>
      </c>
      <c r="V207" s="436" t="s">
        <v>823</v>
      </c>
      <c r="W207" s="158"/>
      <c r="X207" s="158"/>
      <c r="Y207" s="158"/>
      <c r="Z207" s="158"/>
      <c r="AA207" s="150"/>
      <c r="AB207" s="158"/>
      <c r="AC207" s="150"/>
      <c r="AD207" s="158"/>
      <c r="AE207" s="150"/>
      <c r="AF207" s="158"/>
      <c r="AG207" s="158"/>
      <c r="AH207" s="158"/>
      <c r="AI207" s="158"/>
      <c r="AJ207" s="158"/>
      <c r="AK207" s="158"/>
      <c r="AL207" s="158"/>
      <c r="AM207" s="158"/>
      <c r="AN207" s="158"/>
      <c r="AO207" s="158"/>
      <c r="AP207" s="158"/>
      <c r="AQ207" s="158"/>
      <c r="AR207" s="158"/>
      <c r="AS207" s="158"/>
      <c r="AT207" s="158"/>
      <c r="AV207" s="413"/>
      <c r="AW207" s="413"/>
      <c r="AX207" s="414"/>
      <c r="AY207" s="415"/>
      <c r="AZ207" s="416"/>
    </row>
    <row r="208" spans="1:52">
      <c r="A208" s="5" t="str">
        <f t="shared" si="17"/>
        <v>Bus - SB Rebates -PTA_Boiler ≥88% AFUE, &lt;300MBh (SB)</v>
      </c>
      <c r="B208" s="407">
        <v>205</v>
      </c>
      <c r="C208" s="408" t="s">
        <v>792</v>
      </c>
      <c r="D208" s="407" t="s">
        <v>786</v>
      </c>
      <c r="E208" s="408" t="s">
        <v>240</v>
      </c>
      <c r="F208" s="408">
        <v>150</v>
      </c>
      <c r="G208" s="409">
        <v>0.92</v>
      </c>
      <c r="H208" s="470">
        <v>20</v>
      </c>
      <c r="I208" s="463">
        <v>20</v>
      </c>
      <c r="J208" s="408">
        <v>4</v>
      </c>
      <c r="K208" s="408">
        <v>4</v>
      </c>
      <c r="L208" s="408">
        <v>4</v>
      </c>
      <c r="M208" s="408">
        <v>4</v>
      </c>
      <c r="N208" s="208">
        <f t="shared" ref="N208:N215" si="19">N157</f>
        <v>1.1919512195121962</v>
      </c>
      <c r="O208" s="461">
        <f t="shared" si="18"/>
        <v>1.1919512195121962</v>
      </c>
      <c r="P208" s="461">
        <f t="shared" si="18"/>
        <v>1.1919512195121962</v>
      </c>
      <c r="Q208" s="461">
        <f t="shared" si="18"/>
        <v>1.1919512195121962</v>
      </c>
      <c r="R208" s="410"/>
      <c r="S208" s="410" t="s">
        <v>1046</v>
      </c>
      <c r="T208" s="411" t="s">
        <v>343</v>
      </c>
      <c r="U208" s="411" t="s">
        <v>342</v>
      </c>
      <c r="V208" s="436" t="str">
        <f>V157</f>
        <v>ΔTherms = EFLH * Capacity * ((Eff_actual - Eff_base)/Eff_base)) / 100,000</v>
      </c>
      <c r="W208" s="158"/>
      <c r="X208" s="158"/>
      <c r="Y208" s="158"/>
      <c r="Z208" s="158"/>
      <c r="AA208" s="150"/>
      <c r="AB208" s="158"/>
      <c r="AC208" s="150"/>
      <c r="AD208" s="158"/>
      <c r="AE208" s="150"/>
      <c r="AF208" s="158"/>
      <c r="AG208" s="158"/>
      <c r="AH208" s="158"/>
      <c r="AI208" s="158"/>
      <c r="AJ208" s="158"/>
      <c r="AK208" s="158"/>
      <c r="AL208" s="158"/>
      <c r="AM208" s="158"/>
      <c r="AN208" s="158"/>
      <c r="AO208" s="158"/>
      <c r="AP208" s="158"/>
      <c r="AQ208" s="158"/>
      <c r="AR208" s="158"/>
      <c r="AS208" s="158"/>
      <c r="AT208" s="158"/>
      <c r="AV208" s="413"/>
      <c r="AW208" s="413"/>
      <c r="AX208" s="414"/>
      <c r="AY208" s="415"/>
      <c r="AZ208" s="416"/>
    </row>
    <row r="209" spans="1:52" ht="11.25" customHeight="1">
      <c r="A209" s="5" t="str">
        <f t="shared" si="17"/>
        <v>Bus - SB Rebates -PTA_Boiler ≥88% AFUE, ≥300MBh TE (SB)</v>
      </c>
      <c r="B209" s="407">
        <v>206</v>
      </c>
      <c r="C209" s="408" t="s">
        <v>792</v>
      </c>
      <c r="D209" s="407" t="s">
        <v>787</v>
      </c>
      <c r="E209" s="408" t="s">
        <v>240</v>
      </c>
      <c r="F209" s="408">
        <v>350</v>
      </c>
      <c r="G209" s="409">
        <v>0.92</v>
      </c>
      <c r="H209" s="470">
        <v>20</v>
      </c>
      <c r="I209" s="463">
        <v>20</v>
      </c>
      <c r="J209" s="408">
        <v>10</v>
      </c>
      <c r="K209" s="408">
        <v>10</v>
      </c>
      <c r="L209" s="408">
        <v>10</v>
      </c>
      <c r="M209" s="408">
        <v>10</v>
      </c>
      <c r="N209" s="208">
        <f t="shared" si="19"/>
        <v>1.6289999999999993</v>
      </c>
      <c r="O209" s="461">
        <f t="shared" si="18"/>
        <v>1.6289999999999993</v>
      </c>
      <c r="P209" s="461">
        <f t="shared" si="18"/>
        <v>1.6289999999999993</v>
      </c>
      <c r="Q209" s="461">
        <f t="shared" si="18"/>
        <v>1.6289999999999993</v>
      </c>
      <c r="R209" s="410"/>
      <c r="S209" s="410" t="s">
        <v>1046</v>
      </c>
      <c r="T209" s="411" t="s">
        <v>343</v>
      </c>
      <c r="U209" s="411" t="s">
        <v>342</v>
      </c>
      <c r="V209" s="436" t="str">
        <f t="shared" ref="V209:AT209" si="20">V157</f>
        <v>ΔTherms = EFLH * Capacity * ((Eff_actual - Eff_base)/Eff_base)) / 100,000</v>
      </c>
      <c r="W209" s="436" t="str">
        <f t="shared" si="20"/>
        <v>EFHL_SBES</v>
      </c>
      <c r="X209" s="436">
        <f t="shared" si="20"/>
        <v>1629</v>
      </c>
      <c r="Y209" s="436" t="str">
        <f t="shared" si="20"/>
        <v>Capacity</v>
      </c>
      <c r="Z209" s="436">
        <f t="shared" si="20"/>
        <v>150000</v>
      </c>
      <c r="AA209" s="436" t="str">
        <f t="shared" si="20"/>
        <v>Eff_actual</v>
      </c>
      <c r="AB209" s="436">
        <f t="shared" si="20"/>
        <v>0.88</v>
      </c>
      <c r="AC209" s="436" t="str">
        <f t="shared" si="20"/>
        <v>Eff_base</v>
      </c>
      <c r="AD209" s="436">
        <f t="shared" si="20"/>
        <v>0.82</v>
      </c>
      <c r="AE209" s="436">
        <f t="shared" si="20"/>
        <v>0</v>
      </c>
      <c r="AF209" s="436">
        <f t="shared" si="20"/>
        <v>0</v>
      </c>
      <c r="AG209" s="436">
        <f t="shared" si="20"/>
        <v>0</v>
      </c>
      <c r="AH209" s="436">
        <f t="shared" si="20"/>
        <v>0</v>
      </c>
      <c r="AI209" s="436">
        <f t="shared" si="20"/>
        <v>0</v>
      </c>
      <c r="AJ209" s="436">
        <f t="shared" si="20"/>
        <v>0</v>
      </c>
      <c r="AK209" s="436">
        <f t="shared" si="20"/>
        <v>0</v>
      </c>
      <c r="AL209" s="436">
        <f t="shared" si="20"/>
        <v>0</v>
      </c>
      <c r="AM209" s="436">
        <f t="shared" si="20"/>
        <v>0</v>
      </c>
      <c r="AN209" s="436">
        <f t="shared" si="20"/>
        <v>0</v>
      </c>
      <c r="AO209" s="436">
        <f t="shared" si="20"/>
        <v>0</v>
      </c>
      <c r="AP209" s="436">
        <f t="shared" si="20"/>
        <v>0</v>
      </c>
      <c r="AQ209" s="436">
        <f t="shared" si="20"/>
        <v>0</v>
      </c>
      <c r="AR209" s="436">
        <f t="shared" si="20"/>
        <v>0</v>
      </c>
      <c r="AS209" s="436">
        <f t="shared" si="20"/>
        <v>0</v>
      </c>
      <c r="AT209" s="436">
        <f t="shared" si="20"/>
        <v>0</v>
      </c>
      <c r="AV209" s="413"/>
      <c r="AW209" s="413"/>
      <c r="AX209" s="414"/>
      <c r="AY209" s="415"/>
      <c r="AZ209" s="416"/>
    </row>
    <row r="210" spans="1:52">
      <c r="A210" s="5" t="str">
        <f t="shared" si="17"/>
        <v>Bus - SB Rebates -PTA_Boiler Reset Controls (SB)</v>
      </c>
      <c r="B210" s="407">
        <v>207</v>
      </c>
      <c r="C210" s="408" t="s">
        <v>792</v>
      </c>
      <c r="D210" s="407" t="s">
        <v>788</v>
      </c>
      <c r="E210" s="408" t="s">
        <v>240</v>
      </c>
      <c r="F210" s="408">
        <v>200</v>
      </c>
      <c r="G210" s="409">
        <v>0.92</v>
      </c>
      <c r="H210" s="470">
        <v>20</v>
      </c>
      <c r="I210" s="463">
        <v>20</v>
      </c>
      <c r="J210" s="408">
        <v>15</v>
      </c>
      <c r="K210" s="408">
        <v>15</v>
      </c>
      <c r="L210" s="408">
        <v>15</v>
      </c>
      <c r="M210" s="408">
        <v>15</v>
      </c>
      <c r="N210" s="208">
        <f t="shared" si="19"/>
        <v>1.3031999999999999</v>
      </c>
      <c r="O210" s="461">
        <f t="shared" si="18"/>
        <v>1.3031999999999999</v>
      </c>
      <c r="P210" s="461">
        <f t="shared" si="18"/>
        <v>1.3031999999999999</v>
      </c>
      <c r="Q210" s="461">
        <f t="shared" si="18"/>
        <v>1.3031999999999999</v>
      </c>
      <c r="R210" s="410"/>
      <c r="S210" s="410" t="s">
        <v>1046</v>
      </c>
      <c r="T210" s="411" t="s">
        <v>339</v>
      </c>
      <c r="U210" s="411" t="s">
        <v>338</v>
      </c>
      <c r="V210" s="436" t="str">
        <f t="shared" ref="V210:V215" si="21">V158</f>
        <v>ΔTherms = EFLH * Capacity * ((Eff_actual - Eff_base)/Eff_base)) / 100,000</v>
      </c>
      <c r="W210" s="158"/>
      <c r="X210" s="158"/>
      <c r="Y210" s="158"/>
      <c r="Z210" s="158"/>
      <c r="AA210" s="150"/>
      <c r="AB210" s="158"/>
      <c r="AC210" s="150"/>
      <c r="AD210" s="158"/>
      <c r="AE210" s="150"/>
      <c r="AF210" s="158"/>
      <c r="AG210" s="158"/>
      <c r="AH210" s="158"/>
      <c r="AI210" s="158"/>
      <c r="AJ210" s="158"/>
      <c r="AK210" s="158"/>
      <c r="AL210" s="158"/>
      <c r="AM210" s="158"/>
      <c r="AN210" s="158"/>
      <c r="AO210" s="158"/>
      <c r="AP210" s="158"/>
      <c r="AQ210" s="158"/>
      <c r="AR210" s="158"/>
      <c r="AS210" s="158"/>
      <c r="AT210" s="158"/>
      <c r="AV210" s="413"/>
      <c r="AW210" s="413"/>
      <c r="AX210" s="414"/>
      <c r="AY210" s="415"/>
      <c r="AZ210" s="416"/>
    </row>
    <row r="211" spans="1:52">
      <c r="A211" s="5" t="str">
        <f t="shared" si="17"/>
        <v>Bus - SB Rebates -PTA_Boiler Tune Up - Process</v>
      </c>
      <c r="B211" s="407">
        <v>208</v>
      </c>
      <c r="C211" s="408" t="s">
        <v>792</v>
      </c>
      <c r="D211" s="407" t="s">
        <v>335</v>
      </c>
      <c r="E211" s="408" t="s">
        <v>240</v>
      </c>
      <c r="F211" s="408">
        <v>200</v>
      </c>
      <c r="G211" s="409">
        <v>0.92</v>
      </c>
      <c r="H211" s="470">
        <v>3</v>
      </c>
      <c r="I211" s="463">
        <v>3</v>
      </c>
      <c r="J211" s="408">
        <v>15</v>
      </c>
      <c r="K211" s="408">
        <v>15</v>
      </c>
      <c r="L211" s="408">
        <v>15</v>
      </c>
      <c r="M211" s="408">
        <v>15</v>
      </c>
      <c r="N211" s="208">
        <f t="shared" si="19"/>
        <v>0.83823507428978783</v>
      </c>
      <c r="O211" s="461">
        <f t="shared" si="18"/>
        <v>0.83823507428978783</v>
      </c>
      <c r="P211" s="461">
        <f t="shared" si="18"/>
        <v>0.83823507428978783</v>
      </c>
      <c r="Q211" s="461">
        <f t="shared" si="18"/>
        <v>0.83823507428978783</v>
      </c>
      <c r="R211" s="410"/>
      <c r="S211" s="410" t="s">
        <v>1046</v>
      </c>
      <c r="T211" s="411" t="s">
        <v>334</v>
      </c>
      <c r="U211" s="411" t="s">
        <v>333</v>
      </c>
      <c r="V211" s="436" t="str">
        <f t="shared" si="21"/>
        <v>∆Therms = Boiler_Input_Capacity * Savings_Factor * EFLH / 100</v>
      </c>
      <c r="W211" s="158"/>
      <c r="X211" s="158"/>
      <c r="Y211" s="158"/>
      <c r="Z211" s="158"/>
      <c r="AA211" s="150"/>
      <c r="AB211" s="158"/>
      <c r="AC211" s="150"/>
      <c r="AD211" s="158"/>
      <c r="AE211" s="150"/>
      <c r="AF211" s="158"/>
      <c r="AG211" s="158"/>
      <c r="AH211" s="158"/>
      <c r="AI211" s="158"/>
      <c r="AJ211" s="158"/>
      <c r="AK211" s="158"/>
      <c r="AL211" s="158"/>
      <c r="AM211" s="158"/>
      <c r="AN211" s="158"/>
      <c r="AO211" s="158"/>
      <c r="AP211" s="158"/>
      <c r="AQ211" s="158"/>
      <c r="AR211" s="158"/>
      <c r="AS211" s="158"/>
      <c r="AT211" s="158"/>
      <c r="AV211" s="413"/>
      <c r="AW211" s="413"/>
      <c r="AX211" s="414"/>
      <c r="AY211" s="415"/>
      <c r="AZ211" s="416"/>
    </row>
    <row r="212" spans="1:52">
      <c r="A212" s="5" t="str">
        <f t="shared" si="17"/>
        <v>Bus - SB Rebates -PTA_Boiler Tune Up - Space Heating (SB)</v>
      </c>
      <c r="B212" s="407">
        <v>209</v>
      </c>
      <c r="C212" s="408" t="s">
        <v>792</v>
      </c>
      <c r="D212" s="407" t="s">
        <v>789</v>
      </c>
      <c r="E212" s="408" t="s">
        <v>240</v>
      </c>
      <c r="F212" s="408">
        <v>200</v>
      </c>
      <c r="G212" s="409">
        <v>0.92</v>
      </c>
      <c r="H212" s="470">
        <v>3</v>
      </c>
      <c r="I212" s="463">
        <v>3</v>
      </c>
      <c r="J212" s="408">
        <v>90</v>
      </c>
      <c r="K212" s="408">
        <v>90</v>
      </c>
      <c r="L212" s="408">
        <v>90</v>
      </c>
      <c r="M212" s="408">
        <v>90</v>
      </c>
      <c r="N212" s="208">
        <f t="shared" si="19"/>
        <v>0.38045006690183525</v>
      </c>
      <c r="O212" s="461">
        <f t="shared" si="18"/>
        <v>0.38045006690183525</v>
      </c>
      <c r="P212" s="461">
        <f t="shared" si="18"/>
        <v>0.38045006690183525</v>
      </c>
      <c r="Q212" s="461">
        <f t="shared" si="18"/>
        <v>0.38045006690183525</v>
      </c>
      <c r="R212" s="410"/>
      <c r="S212" s="410" t="s">
        <v>1046</v>
      </c>
      <c r="T212" s="411" t="s">
        <v>327</v>
      </c>
      <c r="U212" s="411" t="s">
        <v>326</v>
      </c>
      <c r="V212" s="436" t="str">
        <f t="shared" si="21"/>
        <v>Δtherms=((Ngi * 8766*UF)/100) * (1- (Effpre/Effmeasured))</v>
      </c>
      <c r="W212" s="158"/>
      <c r="X212" s="158"/>
      <c r="Y212" s="158"/>
      <c r="Z212" s="158"/>
      <c r="AA212" s="150"/>
      <c r="AB212" s="158"/>
      <c r="AC212" s="150"/>
      <c r="AD212" s="158"/>
      <c r="AE212" s="150"/>
      <c r="AF212" s="158"/>
      <c r="AG212" s="158"/>
      <c r="AH212" s="158"/>
      <c r="AI212" s="158"/>
      <c r="AJ212" s="158"/>
      <c r="AK212" s="158"/>
      <c r="AL212" s="158"/>
      <c r="AM212" s="158"/>
      <c r="AN212" s="158"/>
      <c r="AO212" s="158"/>
      <c r="AP212" s="158"/>
      <c r="AQ212" s="158"/>
      <c r="AR212" s="158"/>
      <c r="AS212" s="158"/>
      <c r="AT212" s="158"/>
      <c r="AV212" s="413"/>
      <c r="AW212" s="413"/>
      <c r="AX212" s="414"/>
      <c r="AY212" s="415"/>
      <c r="AZ212" s="416"/>
    </row>
    <row r="213" spans="1:52">
      <c r="A213" s="5" t="str">
        <f t="shared" si="17"/>
        <v>Bus - SB Rebates -PTA_Condensing Unit Heater</v>
      </c>
      <c r="B213" s="407">
        <v>210</v>
      </c>
      <c r="C213" s="408" t="s">
        <v>792</v>
      </c>
      <c r="D213" s="407" t="s">
        <v>321</v>
      </c>
      <c r="E213" s="408" t="s">
        <v>240</v>
      </c>
      <c r="F213" s="408">
        <v>150</v>
      </c>
      <c r="G213" s="409">
        <v>0.92</v>
      </c>
      <c r="H213" s="470">
        <v>12</v>
      </c>
      <c r="I213" s="463">
        <v>12</v>
      </c>
      <c r="J213" s="408"/>
      <c r="K213" s="408">
        <v>0</v>
      </c>
      <c r="L213" s="408">
        <v>0</v>
      </c>
      <c r="M213" s="408">
        <v>0</v>
      </c>
      <c r="N213" s="208">
        <f t="shared" si="19"/>
        <v>1.7733333333333334</v>
      </c>
      <c r="O213" s="461">
        <f t="shared" si="18"/>
        <v>1.7733333333333334</v>
      </c>
      <c r="P213" s="461">
        <f t="shared" si="18"/>
        <v>1.7733333333333334</v>
      </c>
      <c r="Q213" s="461">
        <f t="shared" si="18"/>
        <v>1.7733333333333334</v>
      </c>
      <c r="R213" s="410"/>
      <c r="S213" s="410" t="s">
        <v>1046</v>
      </c>
      <c r="T213" s="411" t="s">
        <v>320</v>
      </c>
      <c r="U213" s="411" t="s">
        <v>319</v>
      </c>
      <c r="V213" s="436" t="str">
        <f t="shared" si="21"/>
        <v>Δtherms=(Capacity * EFLH * (((Effbefore + Ei) / Effbefore) - 1)) / 100,000</v>
      </c>
      <c r="W213" s="158"/>
      <c r="X213" s="158"/>
      <c r="Y213" s="158"/>
      <c r="Z213" s="158"/>
      <c r="AA213" s="150"/>
      <c r="AB213" s="158"/>
      <c r="AC213" s="150"/>
      <c r="AD213" s="158"/>
      <c r="AE213" s="150"/>
      <c r="AF213" s="158"/>
      <c r="AG213" s="158"/>
      <c r="AH213" s="158"/>
      <c r="AI213" s="158"/>
      <c r="AJ213" s="158"/>
      <c r="AK213" s="158"/>
      <c r="AL213" s="158"/>
      <c r="AM213" s="158"/>
      <c r="AN213" s="158"/>
      <c r="AO213" s="158"/>
      <c r="AP213" s="158"/>
      <c r="AQ213" s="158"/>
      <c r="AR213" s="158"/>
      <c r="AS213" s="158"/>
      <c r="AT213" s="158"/>
      <c r="AV213" s="413"/>
      <c r="AW213" s="413"/>
      <c r="AX213" s="414"/>
      <c r="AY213" s="415"/>
      <c r="AZ213" s="416"/>
    </row>
    <row r="214" spans="1:52">
      <c r="A214" s="5" t="str">
        <f t="shared" si="17"/>
        <v>Bus - SB Rebates -PTA_DCV - Kitchen</v>
      </c>
      <c r="B214" s="407">
        <v>211</v>
      </c>
      <c r="C214" s="408" t="s">
        <v>792</v>
      </c>
      <c r="D214" s="407" t="s">
        <v>312</v>
      </c>
      <c r="E214" s="408" t="s">
        <v>150</v>
      </c>
      <c r="F214" s="408">
        <v>1</v>
      </c>
      <c r="G214" s="409">
        <v>0.92</v>
      </c>
      <c r="H214" s="470">
        <v>15</v>
      </c>
      <c r="I214" s="463">
        <v>15</v>
      </c>
      <c r="J214" s="408"/>
      <c r="K214" s="408">
        <v>0</v>
      </c>
      <c r="L214" s="408">
        <v>0</v>
      </c>
      <c r="M214" s="408">
        <v>0</v>
      </c>
      <c r="N214" s="208">
        <f t="shared" si="19"/>
        <v>5998.5</v>
      </c>
      <c r="O214" s="461">
        <f t="shared" si="18"/>
        <v>5998.5</v>
      </c>
      <c r="P214" s="461">
        <f t="shared" si="18"/>
        <v>5998.5</v>
      </c>
      <c r="Q214" s="461">
        <f t="shared" si="18"/>
        <v>5998.5</v>
      </c>
      <c r="R214" s="410"/>
      <c r="S214" s="410" t="s">
        <v>1046</v>
      </c>
      <c r="T214" s="411" t="s">
        <v>311</v>
      </c>
      <c r="U214" s="411" t="s">
        <v>310</v>
      </c>
      <c r="V214" s="436" t="str">
        <f t="shared" si="21"/>
        <v>Deemed Savings assumed average size of 150 MBH</v>
      </c>
      <c r="W214" s="158"/>
      <c r="X214" s="158"/>
      <c r="Y214" s="158"/>
      <c r="Z214" s="158"/>
      <c r="AA214" s="150"/>
      <c r="AB214" s="158"/>
      <c r="AC214" s="150"/>
      <c r="AD214" s="158"/>
      <c r="AE214" s="150"/>
      <c r="AF214" s="158"/>
      <c r="AG214" s="158"/>
      <c r="AH214" s="158"/>
      <c r="AI214" s="158"/>
      <c r="AJ214" s="158"/>
      <c r="AK214" s="158"/>
      <c r="AL214" s="158"/>
      <c r="AM214" s="158"/>
      <c r="AN214" s="158"/>
      <c r="AO214" s="158"/>
      <c r="AP214" s="158"/>
      <c r="AQ214" s="158"/>
      <c r="AR214" s="158"/>
      <c r="AS214" s="158"/>
      <c r="AT214" s="158"/>
      <c r="AV214" s="413"/>
      <c r="AW214" s="413"/>
      <c r="AX214" s="414"/>
      <c r="AY214" s="415"/>
      <c r="AZ214" s="416"/>
    </row>
    <row r="215" spans="1:52">
      <c r="A215" s="5" t="str">
        <f t="shared" si="17"/>
        <v>Bus - SB Rebates -PTA_Direct Fired Heaters</v>
      </c>
      <c r="B215" s="407">
        <v>212</v>
      </c>
      <c r="C215" s="408" t="s">
        <v>792</v>
      </c>
      <c r="D215" s="407" t="s">
        <v>317</v>
      </c>
      <c r="E215" s="408" t="s">
        <v>240</v>
      </c>
      <c r="F215" s="408">
        <v>150</v>
      </c>
      <c r="G215" s="409">
        <v>0.92</v>
      </c>
      <c r="H215" s="470">
        <v>20</v>
      </c>
      <c r="I215" s="463">
        <v>20</v>
      </c>
      <c r="J215" s="408"/>
      <c r="K215" s="408">
        <v>0</v>
      </c>
      <c r="L215" s="408">
        <v>0</v>
      </c>
      <c r="M215" s="408">
        <v>0</v>
      </c>
      <c r="N215" s="208">
        <f t="shared" si="19"/>
        <v>2.5169999999999986</v>
      </c>
      <c r="O215" s="461">
        <f t="shared" si="18"/>
        <v>2.5169999999999986</v>
      </c>
      <c r="P215" s="461">
        <f t="shared" si="18"/>
        <v>2.5169999999999986</v>
      </c>
      <c r="Q215" s="461">
        <f t="shared" si="18"/>
        <v>2.5169999999999986</v>
      </c>
      <c r="R215" s="410"/>
      <c r="S215" s="410" t="str">
        <f>S164</f>
        <v>Custom</v>
      </c>
      <c r="T215" s="411" t="str">
        <f>T164</f>
        <v>Custom</v>
      </c>
      <c r="U215" s="411" t="s">
        <v>140</v>
      </c>
      <c r="V215" s="436" t="str">
        <f t="shared" si="21"/>
        <v>ΔTherms = CFM * HP* Annual Heating Load /(Eff(heat) * 100,000)</v>
      </c>
      <c r="W215" s="158"/>
      <c r="X215" s="158"/>
      <c r="Y215" s="158"/>
      <c r="Z215" s="158"/>
      <c r="AA215" s="150"/>
      <c r="AB215" s="158"/>
      <c r="AC215" s="150"/>
      <c r="AD215" s="158"/>
      <c r="AE215" s="150"/>
      <c r="AF215" s="158"/>
      <c r="AG215" s="158"/>
      <c r="AH215" s="158"/>
      <c r="AI215" s="158"/>
      <c r="AJ215" s="158"/>
      <c r="AK215" s="158"/>
      <c r="AL215" s="158"/>
      <c r="AM215" s="158"/>
      <c r="AN215" s="158"/>
      <c r="AO215" s="158"/>
      <c r="AP215" s="158"/>
      <c r="AQ215" s="158"/>
      <c r="AR215" s="158"/>
      <c r="AS215" s="158"/>
      <c r="AT215" s="158"/>
      <c r="AV215" s="413"/>
      <c r="AW215" s="413"/>
      <c r="AX215" s="414"/>
      <c r="AY215" s="415"/>
      <c r="AZ215" s="416"/>
    </row>
    <row r="216" spans="1:52">
      <c r="A216" s="5" t="str">
        <f t="shared" si="17"/>
        <v>Bus - SB Rebates -PTA_High Speed Washer - Hotel/Motel/Hospital</v>
      </c>
      <c r="B216" s="407">
        <v>213</v>
      </c>
      <c r="C216" s="408" t="s">
        <v>792</v>
      </c>
      <c r="D216" s="407" t="s">
        <v>238</v>
      </c>
      <c r="E216" s="408" t="s">
        <v>237</v>
      </c>
      <c r="F216" s="408">
        <v>250</v>
      </c>
      <c r="G216" s="409">
        <v>0.92</v>
      </c>
      <c r="H216" s="470">
        <v>7</v>
      </c>
      <c r="I216" s="463">
        <v>7</v>
      </c>
      <c r="J216" s="408"/>
      <c r="K216" s="408">
        <v>0</v>
      </c>
      <c r="L216" s="408">
        <v>0</v>
      </c>
      <c r="M216" s="408">
        <v>0</v>
      </c>
      <c r="N216" s="208">
        <f t="shared" ref="N216:Q245" si="22">N178</f>
        <v>11.243232000000003</v>
      </c>
      <c r="O216" s="208">
        <f t="shared" si="22"/>
        <v>11.243232000000003</v>
      </c>
      <c r="P216" s="208">
        <f t="shared" si="22"/>
        <v>11.243232000000003</v>
      </c>
      <c r="Q216" s="208">
        <f t="shared" si="22"/>
        <v>11.243232000000003</v>
      </c>
      <c r="R216" s="208"/>
      <c r="S216" s="208" t="s">
        <v>1046</v>
      </c>
      <c r="T216" s="411" t="s">
        <v>236</v>
      </c>
      <c r="U216" s="411" t="s">
        <v>235</v>
      </c>
      <c r="V216" s="436">
        <f>V178</f>
        <v>0</v>
      </c>
      <c r="W216" s="158"/>
      <c r="X216" s="158"/>
      <c r="Y216" s="158"/>
      <c r="Z216" s="158"/>
      <c r="AA216" s="150"/>
      <c r="AB216" s="158"/>
      <c r="AC216" s="150"/>
      <c r="AD216" s="158"/>
      <c r="AE216" s="150"/>
      <c r="AF216" s="158"/>
      <c r="AG216" s="158"/>
      <c r="AH216" s="158"/>
      <c r="AI216" s="158"/>
      <c r="AJ216" s="158"/>
      <c r="AK216" s="158"/>
      <c r="AL216" s="158"/>
      <c r="AM216" s="158"/>
      <c r="AN216" s="158"/>
      <c r="AO216" s="158"/>
      <c r="AP216" s="158"/>
      <c r="AQ216" s="158"/>
      <c r="AR216" s="158"/>
      <c r="AS216" s="158"/>
      <c r="AT216" s="158"/>
      <c r="AV216" s="413"/>
      <c r="AW216" s="413"/>
      <c r="AX216" s="414"/>
      <c r="AY216" s="415"/>
      <c r="AZ216" s="416"/>
    </row>
    <row r="217" spans="1:52">
      <c r="A217" s="5" t="str">
        <f t="shared" si="17"/>
        <v>Bus - SB Rebates -PTA_High Speed Washer - Laundromat</v>
      </c>
      <c r="B217" s="407">
        <v>214</v>
      </c>
      <c r="C217" s="408" t="s">
        <v>792</v>
      </c>
      <c r="D217" s="407" t="s">
        <v>239</v>
      </c>
      <c r="E217" s="408" t="s">
        <v>237</v>
      </c>
      <c r="F217" s="408">
        <v>250</v>
      </c>
      <c r="G217" s="409">
        <v>0.92</v>
      </c>
      <c r="H217" s="470">
        <v>7</v>
      </c>
      <c r="I217" s="463">
        <v>7</v>
      </c>
      <c r="J217" s="408"/>
      <c r="K217" s="408">
        <v>0</v>
      </c>
      <c r="L217" s="408">
        <v>0</v>
      </c>
      <c r="M217" s="408">
        <v>0</v>
      </c>
      <c r="N217" s="208">
        <f t="shared" si="22"/>
        <v>4.648644</v>
      </c>
      <c r="O217" s="208">
        <f t="shared" si="22"/>
        <v>4.648644</v>
      </c>
      <c r="P217" s="208">
        <f t="shared" si="22"/>
        <v>4.648644</v>
      </c>
      <c r="Q217" s="208">
        <f t="shared" si="22"/>
        <v>4.648644</v>
      </c>
      <c r="R217" s="208"/>
      <c r="S217" s="208" t="s">
        <v>1046</v>
      </c>
      <c r="T217" s="411" t="s">
        <v>236</v>
      </c>
      <c r="U217" s="411" t="s">
        <v>235</v>
      </c>
      <c r="V217" s="436">
        <f>V179</f>
        <v>0</v>
      </c>
      <c r="W217" s="158"/>
      <c r="X217" s="158"/>
      <c r="Y217" s="158"/>
      <c r="Z217" s="158"/>
      <c r="AA217" s="150"/>
      <c r="AB217" s="158"/>
      <c r="AC217" s="150"/>
      <c r="AD217" s="158"/>
      <c r="AE217" s="150"/>
      <c r="AF217" s="158"/>
      <c r="AG217" s="158"/>
      <c r="AH217" s="158"/>
      <c r="AI217" s="158"/>
      <c r="AJ217" s="158"/>
      <c r="AK217" s="158"/>
      <c r="AL217" s="158"/>
      <c r="AM217" s="158"/>
      <c r="AN217" s="158"/>
      <c r="AO217" s="158"/>
      <c r="AP217" s="158"/>
      <c r="AQ217" s="158"/>
      <c r="AR217" s="158"/>
      <c r="AS217" s="158"/>
      <c r="AT217" s="158"/>
      <c r="AV217" s="413"/>
      <c r="AW217" s="413"/>
      <c r="AX217" s="414"/>
      <c r="AY217" s="415"/>
      <c r="AZ217" s="416"/>
    </row>
    <row r="218" spans="1:52">
      <c r="A218" s="5" t="str">
        <f t="shared" si="17"/>
        <v>Bus - SB Rebates -PTA_Infrared Heater</v>
      </c>
      <c r="B218" s="407">
        <v>215</v>
      </c>
      <c r="C218" s="408" t="s">
        <v>792</v>
      </c>
      <c r="D218" s="407" t="s">
        <v>295</v>
      </c>
      <c r="E218" s="408" t="s">
        <v>240</v>
      </c>
      <c r="F218" s="408">
        <v>150</v>
      </c>
      <c r="G218" s="409">
        <v>0.92</v>
      </c>
      <c r="H218" s="470">
        <v>12</v>
      </c>
      <c r="I218" s="463">
        <v>12</v>
      </c>
      <c r="J218" s="408"/>
      <c r="K218" s="408">
        <v>0</v>
      </c>
      <c r="L218" s="408">
        <v>0</v>
      </c>
      <c r="M218" s="408">
        <v>0</v>
      </c>
      <c r="N218" s="208">
        <f t="shared" si="22"/>
        <v>3.0066666666666668</v>
      </c>
      <c r="O218" s="208">
        <f t="shared" si="22"/>
        <v>3.0066666666666668</v>
      </c>
      <c r="P218" s="208">
        <f t="shared" si="22"/>
        <v>3.0066666666666668</v>
      </c>
      <c r="Q218" s="208">
        <f t="shared" si="22"/>
        <v>3.0066666666666668</v>
      </c>
      <c r="R218" s="208"/>
      <c r="S218" s="208" t="s">
        <v>1046</v>
      </c>
      <c r="T218" s="411" t="s">
        <v>294</v>
      </c>
      <c r="U218" s="411" t="s">
        <v>293</v>
      </c>
      <c r="V218" s="436" t="str">
        <f>V180</f>
        <v>ΔTherms = 451 / (Estimate Size)</v>
      </c>
      <c r="W218" s="158"/>
      <c r="X218" s="158"/>
      <c r="Y218" s="158"/>
      <c r="Z218" s="158"/>
      <c r="AA218" s="150"/>
      <c r="AB218" s="158"/>
      <c r="AC218" s="150"/>
      <c r="AD218" s="158"/>
      <c r="AE218" s="150"/>
      <c r="AF218" s="158"/>
      <c r="AG218" s="158"/>
      <c r="AH218" s="158"/>
      <c r="AI218" s="158"/>
      <c r="AJ218" s="158"/>
      <c r="AK218" s="158"/>
      <c r="AL218" s="158"/>
      <c r="AM218" s="158"/>
      <c r="AN218" s="158"/>
      <c r="AO218" s="158"/>
      <c r="AP218" s="158"/>
      <c r="AQ218" s="158"/>
      <c r="AR218" s="158"/>
      <c r="AS218" s="158"/>
      <c r="AT218" s="158"/>
      <c r="AV218" s="413"/>
      <c r="AW218" s="413"/>
      <c r="AX218" s="414"/>
      <c r="AY218" s="415"/>
      <c r="AZ218" s="416"/>
    </row>
    <row r="219" spans="1:52">
      <c r="A219" s="5" t="str">
        <f t="shared" si="17"/>
        <v>Bus - SB Rebates -PTA_Modulating Commercial Gas Clothes Dryer</v>
      </c>
      <c r="B219" s="407">
        <v>216</v>
      </c>
      <c r="C219" s="408" t="s">
        <v>792</v>
      </c>
      <c r="D219" s="407" t="s">
        <v>290</v>
      </c>
      <c r="E219" s="408" t="s">
        <v>150</v>
      </c>
      <c r="F219" s="408">
        <v>1</v>
      </c>
      <c r="G219" s="409">
        <v>0.92</v>
      </c>
      <c r="H219" s="470">
        <v>14</v>
      </c>
      <c r="I219" s="463">
        <v>14</v>
      </c>
      <c r="J219" s="408"/>
      <c r="K219" s="408">
        <v>0</v>
      </c>
      <c r="L219" s="408">
        <v>0</v>
      </c>
      <c r="M219" s="408">
        <v>0</v>
      </c>
      <c r="N219" s="208">
        <f t="shared" si="22"/>
        <v>266.94</v>
      </c>
      <c r="O219" s="208">
        <f t="shared" si="22"/>
        <v>266.94</v>
      </c>
      <c r="P219" s="208">
        <f t="shared" si="22"/>
        <v>266.94</v>
      </c>
      <c r="Q219" s="208">
        <f t="shared" si="22"/>
        <v>266.94</v>
      </c>
      <c r="R219" s="208"/>
      <c r="S219" s="208" t="s">
        <v>1046</v>
      </c>
      <c r="T219" s="411" t="s">
        <v>289</v>
      </c>
      <c r="U219" s="411" t="s">
        <v>288</v>
      </c>
      <c r="V219" s="436" t="str">
        <f>V181</f>
        <v>Deemed Savings</v>
      </c>
      <c r="W219" s="158"/>
      <c r="X219" s="158"/>
      <c r="Y219" s="158"/>
      <c r="Z219" s="158"/>
      <c r="AA219" s="150"/>
      <c r="AB219" s="158"/>
      <c r="AC219" s="150"/>
      <c r="AD219" s="158"/>
      <c r="AE219" s="150"/>
      <c r="AF219" s="158"/>
      <c r="AG219" s="158"/>
      <c r="AH219" s="158"/>
      <c r="AI219" s="158"/>
      <c r="AJ219" s="158"/>
      <c r="AK219" s="158"/>
      <c r="AL219" s="158"/>
      <c r="AM219" s="158"/>
      <c r="AN219" s="158"/>
      <c r="AO219" s="158"/>
      <c r="AP219" s="158"/>
      <c r="AQ219" s="158"/>
      <c r="AR219" s="158"/>
      <c r="AS219" s="158"/>
      <c r="AT219" s="158"/>
      <c r="AV219" s="413"/>
      <c r="AW219" s="413"/>
      <c r="AX219" s="414"/>
      <c r="AY219" s="415"/>
      <c r="AZ219" s="416"/>
    </row>
    <row r="220" spans="1:52">
      <c r="A220" s="5" t="str">
        <f t="shared" si="17"/>
        <v>Bus - SB Rebates -PTA_Ozone Laundry</v>
      </c>
      <c r="B220" s="407">
        <v>217</v>
      </c>
      <c r="C220" s="408" t="s">
        <v>792</v>
      </c>
      <c r="D220" s="407" t="s">
        <v>287</v>
      </c>
      <c r="E220" s="408" t="s">
        <v>237</v>
      </c>
      <c r="F220" s="408">
        <v>250</v>
      </c>
      <c r="G220" s="409">
        <v>0.92</v>
      </c>
      <c r="H220" s="470">
        <v>10</v>
      </c>
      <c r="I220" s="463">
        <v>10</v>
      </c>
      <c r="J220" s="408"/>
      <c r="K220" s="408">
        <v>0</v>
      </c>
      <c r="L220" s="408">
        <v>0</v>
      </c>
      <c r="M220" s="408">
        <v>0</v>
      </c>
      <c r="N220" s="208">
        <f t="shared" si="22"/>
        <v>30.722664192350027</v>
      </c>
      <c r="O220" s="208">
        <f t="shared" si="22"/>
        <v>30.722664192350027</v>
      </c>
      <c r="P220" s="208">
        <f t="shared" si="22"/>
        <v>30.722664192350027</v>
      </c>
      <c r="Q220" s="208">
        <f t="shared" si="22"/>
        <v>30.722664192350027</v>
      </c>
      <c r="R220" s="208"/>
      <c r="S220" s="411" t="s">
        <v>1046</v>
      </c>
      <c r="T220" s="411" t="s">
        <v>286</v>
      </c>
      <c r="U220" s="411" t="s">
        <v>285</v>
      </c>
      <c r="V220" s="436" t="str">
        <f>V182</f>
        <v>ΔTherm = ThermBase * %hot_water_savings, ThermBase = WHE * WUtiliz * WUsage_hot/lb-capacity</v>
      </c>
      <c r="W220" s="158"/>
      <c r="X220" s="158"/>
      <c r="Y220" s="158"/>
      <c r="Z220" s="158"/>
      <c r="AA220" s="150"/>
      <c r="AB220" s="158"/>
      <c r="AC220" s="150"/>
      <c r="AD220" s="158"/>
      <c r="AE220" s="150"/>
      <c r="AF220" s="158"/>
      <c r="AG220" s="158"/>
      <c r="AH220" s="158"/>
      <c r="AI220" s="158"/>
      <c r="AJ220" s="158"/>
      <c r="AK220" s="158"/>
      <c r="AL220" s="158"/>
      <c r="AM220" s="158"/>
      <c r="AN220" s="158"/>
      <c r="AO220" s="158"/>
      <c r="AP220" s="158"/>
      <c r="AQ220" s="158"/>
      <c r="AR220" s="158"/>
      <c r="AS220" s="158"/>
      <c r="AT220" s="158"/>
      <c r="AV220" s="413"/>
      <c r="AW220" s="413"/>
      <c r="AX220" s="414"/>
      <c r="AY220" s="415"/>
      <c r="AZ220" s="416"/>
    </row>
    <row r="221" spans="1:52">
      <c r="A221" s="5" t="str">
        <f t="shared" si="17"/>
        <v>Bus - SB Rebates -PTA_Pipe Insulation - Dry Cleaners</v>
      </c>
      <c r="B221" s="407">
        <v>218</v>
      </c>
      <c r="C221" s="408" t="s">
        <v>792</v>
      </c>
      <c r="D221" s="407" t="s">
        <v>223</v>
      </c>
      <c r="E221" s="408" t="s">
        <v>210</v>
      </c>
      <c r="F221" s="408">
        <v>75</v>
      </c>
      <c r="G221" s="409">
        <v>0.92</v>
      </c>
      <c r="H221" s="470">
        <v>15</v>
      </c>
      <c r="I221" s="463">
        <v>15</v>
      </c>
      <c r="J221" s="408"/>
      <c r="K221" s="408">
        <v>0</v>
      </c>
      <c r="L221" s="408">
        <v>0</v>
      </c>
      <c r="M221" s="408">
        <v>0</v>
      </c>
      <c r="N221" s="208">
        <f t="shared" si="22"/>
        <v>4.1509563815028345</v>
      </c>
      <c r="O221" s="208">
        <f t="shared" si="22"/>
        <v>4.1509563815028345</v>
      </c>
      <c r="P221" s="208">
        <f t="shared" si="22"/>
        <v>4.1509563815028345</v>
      </c>
      <c r="Q221" s="208">
        <f t="shared" si="22"/>
        <v>4.1509563815028345</v>
      </c>
      <c r="R221" s="208"/>
      <c r="S221" s="208" t="s">
        <v>1046</v>
      </c>
      <c r="T221" s="411" t="s">
        <v>201</v>
      </c>
      <c r="U221" s="411" t="s">
        <v>200</v>
      </c>
      <c r="V221" s="439" t="s">
        <v>825</v>
      </c>
      <c r="W221" s="158"/>
      <c r="X221" s="158"/>
      <c r="Y221" s="158"/>
      <c r="Z221" s="158"/>
      <c r="AA221" s="150"/>
      <c r="AB221" s="158"/>
      <c r="AC221" s="150"/>
      <c r="AD221" s="158"/>
      <c r="AE221" s="150"/>
      <c r="AF221" s="158"/>
      <c r="AG221" s="158"/>
      <c r="AH221" s="158"/>
      <c r="AI221" s="158"/>
      <c r="AJ221" s="158"/>
      <c r="AK221" s="158"/>
      <c r="AL221" s="158"/>
      <c r="AM221" s="158"/>
      <c r="AN221" s="158"/>
      <c r="AO221" s="158"/>
      <c r="AP221" s="158"/>
      <c r="AQ221" s="158"/>
      <c r="AR221" s="158"/>
      <c r="AS221" s="158"/>
      <c r="AT221" s="158"/>
      <c r="AV221" s="413"/>
      <c r="AW221" s="413"/>
      <c r="AX221" s="414"/>
      <c r="AY221" s="415"/>
      <c r="AZ221" s="416"/>
    </row>
    <row r="222" spans="1:52">
      <c r="A222" s="5" t="str">
        <f t="shared" si="17"/>
        <v>Bus - SB Rebates -PTA_Pipe Insulation - Dry Cleaners -Elbows</v>
      </c>
      <c r="B222" s="407">
        <v>219</v>
      </c>
      <c r="C222" s="408" t="s">
        <v>792</v>
      </c>
      <c r="D222" s="407" t="s">
        <v>222</v>
      </c>
      <c r="E222" s="408" t="s">
        <v>210</v>
      </c>
      <c r="F222" s="408">
        <v>75</v>
      </c>
      <c r="G222" s="409">
        <v>0.92</v>
      </c>
      <c r="H222" s="470">
        <v>15</v>
      </c>
      <c r="I222" s="463">
        <v>15</v>
      </c>
      <c r="J222" s="408"/>
      <c r="K222" s="408">
        <v>0</v>
      </c>
      <c r="L222" s="408">
        <v>0</v>
      </c>
      <c r="M222" s="408">
        <v>0</v>
      </c>
      <c r="N222" s="208">
        <f t="shared" si="22"/>
        <v>1.9924590631213606</v>
      </c>
      <c r="O222" s="208">
        <f t="shared" si="22"/>
        <v>1.9924590631213606</v>
      </c>
      <c r="P222" s="208">
        <f t="shared" si="22"/>
        <v>1.9924590631213606</v>
      </c>
      <c r="Q222" s="208">
        <f t="shared" si="22"/>
        <v>1.9924590631213606</v>
      </c>
      <c r="R222" s="208"/>
      <c r="S222" s="208" t="s">
        <v>1046</v>
      </c>
      <c r="T222" s="411" t="s">
        <v>201</v>
      </c>
      <c r="U222" s="411" t="s">
        <v>200</v>
      </c>
      <c r="V222" s="439" t="s">
        <v>825</v>
      </c>
      <c r="W222" s="158"/>
      <c r="X222" s="158"/>
      <c r="Y222" s="158"/>
      <c r="Z222" s="158"/>
      <c r="AA222" s="150"/>
      <c r="AB222" s="158"/>
      <c r="AC222" s="150"/>
      <c r="AD222" s="158"/>
      <c r="AE222" s="150"/>
      <c r="AF222" s="158"/>
      <c r="AG222" s="158"/>
      <c r="AH222" s="158"/>
      <c r="AI222" s="158"/>
      <c r="AJ222" s="158"/>
      <c r="AK222" s="158"/>
      <c r="AL222" s="158"/>
      <c r="AM222" s="158"/>
      <c r="AN222" s="158"/>
      <c r="AO222" s="158"/>
      <c r="AP222" s="158"/>
      <c r="AQ222" s="158"/>
      <c r="AR222" s="158"/>
      <c r="AS222" s="158"/>
      <c r="AT222" s="158"/>
      <c r="AV222" s="413"/>
      <c r="AW222" s="413"/>
      <c r="AX222" s="414"/>
      <c r="AY222" s="415"/>
      <c r="AZ222" s="416"/>
    </row>
    <row r="223" spans="1:52">
      <c r="A223" s="5" t="str">
        <f t="shared" si="17"/>
        <v>Bus - SB Rebates -PTA_Pipe Insulation - HW Small 1" to 2"</v>
      </c>
      <c r="B223" s="407">
        <v>220</v>
      </c>
      <c r="C223" s="408" t="s">
        <v>792</v>
      </c>
      <c r="D223" s="407" t="s">
        <v>217</v>
      </c>
      <c r="E223" s="408" t="s">
        <v>210</v>
      </c>
      <c r="F223" s="408">
        <v>75</v>
      </c>
      <c r="G223" s="409">
        <v>0.92</v>
      </c>
      <c r="H223" s="470">
        <v>15</v>
      </c>
      <c r="I223" s="463">
        <v>15</v>
      </c>
      <c r="J223" s="408"/>
      <c r="K223" s="408">
        <v>0</v>
      </c>
      <c r="L223" s="408">
        <v>0</v>
      </c>
      <c r="M223" s="408">
        <v>0</v>
      </c>
      <c r="N223" s="208">
        <f t="shared" si="22"/>
        <v>2.6588140926267867</v>
      </c>
      <c r="O223" s="208">
        <f t="shared" si="22"/>
        <v>2.6588140926267867</v>
      </c>
      <c r="P223" s="208">
        <f t="shared" si="22"/>
        <v>2.6588140926267867</v>
      </c>
      <c r="Q223" s="208">
        <f t="shared" si="22"/>
        <v>2.6588140926267867</v>
      </c>
      <c r="R223" s="208"/>
      <c r="S223" s="208" t="s">
        <v>1046</v>
      </c>
      <c r="T223" s="411" t="s">
        <v>201</v>
      </c>
      <c r="U223" s="411" t="s">
        <v>200</v>
      </c>
      <c r="V223" s="439" t="s">
        <v>825</v>
      </c>
      <c r="W223" s="158"/>
      <c r="X223" s="158"/>
      <c r="Y223" s="158"/>
      <c r="Z223" s="158"/>
      <c r="AA223" s="150"/>
      <c r="AB223" s="158"/>
      <c r="AC223" s="150"/>
      <c r="AD223" s="158"/>
      <c r="AE223" s="150"/>
      <c r="AF223" s="158"/>
      <c r="AG223" s="158"/>
      <c r="AH223" s="158"/>
      <c r="AI223" s="158"/>
      <c r="AJ223" s="158"/>
      <c r="AK223" s="158"/>
      <c r="AL223" s="158"/>
      <c r="AM223" s="158"/>
      <c r="AN223" s="158"/>
      <c r="AO223" s="158"/>
      <c r="AP223" s="158"/>
      <c r="AQ223" s="158"/>
      <c r="AR223" s="158"/>
      <c r="AS223" s="158"/>
      <c r="AT223" s="158"/>
      <c r="AV223" s="413"/>
      <c r="AW223" s="413"/>
      <c r="AX223" s="414"/>
      <c r="AY223" s="415"/>
      <c r="AZ223" s="416"/>
    </row>
    <row r="224" spans="1:52">
      <c r="A224" s="5" t="str">
        <f t="shared" si="17"/>
        <v>Bus - SB Rebates -PTA_Pipe Insulation - HW Medium 2.1" to 4"</v>
      </c>
      <c r="B224" s="407">
        <v>221</v>
      </c>
      <c r="C224" s="408" t="s">
        <v>792</v>
      </c>
      <c r="D224" s="407" t="s">
        <v>216</v>
      </c>
      <c r="E224" s="408" t="s">
        <v>210</v>
      </c>
      <c r="F224" s="408">
        <v>75</v>
      </c>
      <c r="G224" s="409">
        <v>0.92</v>
      </c>
      <c r="H224" s="470">
        <v>15</v>
      </c>
      <c r="I224" s="463">
        <v>15</v>
      </c>
      <c r="J224" s="408"/>
      <c r="K224" s="408">
        <v>0</v>
      </c>
      <c r="L224" s="408">
        <v>0</v>
      </c>
      <c r="M224" s="408">
        <v>0</v>
      </c>
      <c r="N224" s="208">
        <f t="shared" si="22"/>
        <v>5.2492031493764015</v>
      </c>
      <c r="O224" s="208">
        <f t="shared" si="22"/>
        <v>5.2492031493764015</v>
      </c>
      <c r="P224" s="208">
        <f t="shared" si="22"/>
        <v>5.2492031493764015</v>
      </c>
      <c r="Q224" s="208">
        <f t="shared" si="22"/>
        <v>5.2492031493764015</v>
      </c>
      <c r="R224" s="208"/>
      <c r="S224" s="208" t="s">
        <v>1046</v>
      </c>
      <c r="T224" s="411" t="s">
        <v>201</v>
      </c>
      <c r="U224" s="411" t="s">
        <v>200</v>
      </c>
      <c r="V224" s="439" t="s">
        <v>825</v>
      </c>
      <c r="W224" s="158"/>
      <c r="X224" s="158"/>
      <c r="Y224" s="158"/>
      <c r="Z224" s="158"/>
      <c r="AA224" s="150"/>
      <c r="AB224" s="158"/>
      <c r="AC224" s="150"/>
      <c r="AD224" s="158"/>
      <c r="AE224" s="150"/>
      <c r="AF224" s="158"/>
      <c r="AG224" s="158"/>
      <c r="AH224" s="158"/>
      <c r="AI224" s="158"/>
      <c r="AJ224" s="158"/>
      <c r="AK224" s="158"/>
      <c r="AL224" s="158"/>
      <c r="AM224" s="158"/>
      <c r="AN224" s="158"/>
      <c r="AO224" s="158"/>
      <c r="AP224" s="158"/>
      <c r="AQ224" s="158"/>
      <c r="AR224" s="158"/>
      <c r="AS224" s="158"/>
      <c r="AT224" s="158"/>
      <c r="AV224" s="413"/>
      <c r="AW224" s="413"/>
      <c r="AX224" s="414"/>
      <c r="AY224" s="415"/>
      <c r="AZ224" s="416"/>
    </row>
    <row r="225" spans="1:52">
      <c r="A225" s="5" t="str">
        <f t="shared" si="17"/>
        <v>Bus - SB Rebates -PTA_Pipe Insulation - HW Large &gt;4"</v>
      </c>
      <c r="B225" s="407">
        <v>222</v>
      </c>
      <c r="C225" s="408" t="s">
        <v>792</v>
      </c>
      <c r="D225" s="407" t="s">
        <v>215</v>
      </c>
      <c r="E225" s="408" t="s">
        <v>210</v>
      </c>
      <c r="F225" s="408">
        <v>75</v>
      </c>
      <c r="G225" s="409">
        <v>0.92</v>
      </c>
      <c r="H225" s="470">
        <v>15</v>
      </c>
      <c r="I225" s="463">
        <v>15</v>
      </c>
      <c r="J225" s="408"/>
      <c r="K225" s="408">
        <v>0</v>
      </c>
      <c r="L225" s="408">
        <v>0</v>
      </c>
      <c r="M225" s="408">
        <v>0</v>
      </c>
      <c r="N225" s="208">
        <f t="shared" si="22"/>
        <v>9.0407613085908682</v>
      </c>
      <c r="O225" s="208">
        <f t="shared" si="22"/>
        <v>9.0407613085908682</v>
      </c>
      <c r="P225" s="208">
        <f t="shared" si="22"/>
        <v>9.0407613085908682</v>
      </c>
      <c r="Q225" s="208">
        <f t="shared" si="22"/>
        <v>9.0407613085908682</v>
      </c>
      <c r="R225" s="208"/>
      <c r="S225" s="208" t="s">
        <v>1046</v>
      </c>
      <c r="T225" s="411" t="s">
        <v>201</v>
      </c>
      <c r="U225" s="411" t="s">
        <v>200</v>
      </c>
      <c r="V225" s="439" t="s">
        <v>825</v>
      </c>
      <c r="W225" s="158"/>
      <c r="X225" s="158"/>
      <c r="Y225" s="158"/>
      <c r="Z225" s="158"/>
      <c r="AA225" s="150"/>
      <c r="AB225" s="158"/>
      <c r="AC225" s="150"/>
      <c r="AD225" s="158"/>
      <c r="AE225" s="150"/>
      <c r="AF225" s="158"/>
      <c r="AG225" s="158"/>
      <c r="AH225" s="158"/>
      <c r="AI225" s="158"/>
      <c r="AJ225" s="158"/>
      <c r="AK225" s="158"/>
      <c r="AL225" s="158"/>
      <c r="AM225" s="158"/>
      <c r="AN225" s="158"/>
      <c r="AO225" s="158"/>
      <c r="AP225" s="158"/>
      <c r="AQ225" s="158"/>
      <c r="AR225" s="158"/>
      <c r="AS225" s="158"/>
      <c r="AT225" s="158"/>
      <c r="AV225" s="413"/>
      <c r="AW225" s="413"/>
      <c r="AX225" s="414"/>
      <c r="AY225" s="415"/>
      <c r="AZ225" s="416"/>
    </row>
    <row r="226" spans="1:52">
      <c r="A226" s="5" t="str">
        <f t="shared" si="17"/>
        <v>Bus - SB Rebates -PTA_Pipe Insulation - Steam - Small 1" to 2"</v>
      </c>
      <c r="B226" s="407">
        <v>223</v>
      </c>
      <c r="C226" s="408" t="s">
        <v>792</v>
      </c>
      <c r="D226" s="407" t="s">
        <v>214</v>
      </c>
      <c r="E226" s="408" t="s">
        <v>210</v>
      </c>
      <c r="F226" s="408">
        <v>75</v>
      </c>
      <c r="G226" s="409">
        <v>0.92</v>
      </c>
      <c r="H226" s="470">
        <v>15</v>
      </c>
      <c r="I226" s="463">
        <v>15</v>
      </c>
      <c r="J226" s="408">
        <v>30</v>
      </c>
      <c r="K226" s="408">
        <v>30</v>
      </c>
      <c r="L226" s="408">
        <v>30</v>
      </c>
      <c r="M226" s="408">
        <v>30</v>
      </c>
      <c r="N226" s="208">
        <f t="shared" si="22"/>
        <v>3.1854757047967208</v>
      </c>
      <c r="O226" s="208">
        <f t="shared" si="22"/>
        <v>3.1854757047967208</v>
      </c>
      <c r="P226" s="208">
        <f t="shared" si="22"/>
        <v>3.1854757047967208</v>
      </c>
      <c r="Q226" s="208">
        <f t="shared" si="22"/>
        <v>3.1854757047967208</v>
      </c>
      <c r="R226" s="208"/>
      <c r="S226" s="208" t="s">
        <v>1046</v>
      </c>
      <c r="T226" s="411" t="s">
        <v>201</v>
      </c>
      <c r="U226" s="411" t="s">
        <v>200</v>
      </c>
      <c r="V226" s="439" t="s">
        <v>825</v>
      </c>
      <c r="W226" s="158"/>
      <c r="X226" s="158"/>
      <c r="Y226" s="158"/>
      <c r="Z226" s="158"/>
      <c r="AA226" s="150"/>
      <c r="AB226" s="158"/>
      <c r="AC226" s="150"/>
      <c r="AD226" s="158"/>
      <c r="AE226" s="150"/>
      <c r="AF226" s="158"/>
      <c r="AG226" s="158"/>
      <c r="AH226" s="158"/>
      <c r="AI226" s="158"/>
      <c r="AJ226" s="158"/>
      <c r="AK226" s="158"/>
      <c r="AL226" s="158"/>
      <c r="AM226" s="158"/>
      <c r="AN226" s="158"/>
      <c r="AO226" s="158"/>
      <c r="AP226" s="158"/>
      <c r="AQ226" s="158"/>
      <c r="AR226" s="158"/>
      <c r="AS226" s="158"/>
      <c r="AT226" s="158"/>
      <c r="AV226" s="413"/>
      <c r="AW226" s="413"/>
      <c r="AX226" s="414"/>
      <c r="AY226" s="415"/>
      <c r="AZ226" s="416"/>
    </row>
    <row r="227" spans="1:52">
      <c r="A227" s="5" t="str">
        <f t="shared" si="17"/>
        <v>Bus - SB Rebates -PTA_Pipe Insulation - Steam - Med 2.1" to 5"</v>
      </c>
      <c r="B227" s="407">
        <v>224</v>
      </c>
      <c r="C227" s="408" t="s">
        <v>792</v>
      </c>
      <c r="D227" s="407" t="s">
        <v>213</v>
      </c>
      <c r="E227" s="408" t="s">
        <v>210</v>
      </c>
      <c r="F227" s="408">
        <v>75</v>
      </c>
      <c r="G227" s="409">
        <v>0.92</v>
      </c>
      <c r="H227" s="470">
        <v>15</v>
      </c>
      <c r="I227" s="463">
        <v>15</v>
      </c>
      <c r="J227" s="408">
        <v>22</v>
      </c>
      <c r="K227" s="408">
        <v>22</v>
      </c>
      <c r="L227" s="408">
        <v>22</v>
      </c>
      <c r="M227" s="408">
        <v>22</v>
      </c>
      <c r="N227" s="208">
        <f t="shared" si="22"/>
        <v>13.148126788517139</v>
      </c>
      <c r="O227" s="208">
        <f t="shared" si="22"/>
        <v>13.148126788517139</v>
      </c>
      <c r="P227" s="208">
        <f t="shared" si="22"/>
        <v>13.148126788517139</v>
      </c>
      <c r="Q227" s="208">
        <f t="shared" si="22"/>
        <v>13.148126788517139</v>
      </c>
      <c r="R227" s="208"/>
      <c r="S227" s="208" t="s">
        <v>1046</v>
      </c>
      <c r="T227" s="411" t="s">
        <v>201</v>
      </c>
      <c r="U227" s="411" t="s">
        <v>200</v>
      </c>
      <c r="V227" s="439" t="s">
        <v>825</v>
      </c>
      <c r="W227" s="158"/>
      <c r="X227" s="158"/>
      <c r="Y227" s="158"/>
      <c r="Z227" s="158"/>
      <c r="AA227" s="150"/>
      <c r="AB227" s="158"/>
      <c r="AC227" s="150"/>
      <c r="AD227" s="158"/>
      <c r="AE227" s="150"/>
      <c r="AF227" s="158"/>
      <c r="AG227" s="158"/>
      <c r="AH227" s="158"/>
      <c r="AI227" s="158"/>
      <c r="AJ227" s="158"/>
      <c r="AK227" s="158"/>
      <c r="AL227" s="158"/>
      <c r="AM227" s="158"/>
      <c r="AN227" s="158"/>
      <c r="AO227" s="158"/>
      <c r="AP227" s="158"/>
      <c r="AQ227" s="158"/>
      <c r="AR227" s="158"/>
      <c r="AS227" s="158"/>
      <c r="AT227" s="158"/>
      <c r="AV227" s="413"/>
      <c r="AW227" s="413"/>
      <c r="AX227" s="414"/>
      <c r="AY227" s="415"/>
      <c r="AZ227" s="416"/>
    </row>
    <row r="228" spans="1:52">
      <c r="A228" s="5" t="str">
        <f t="shared" si="17"/>
        <v>Bus - SB Rebates -PTA_Pipe Insulation - Steam - Large 5.1" to 8"</v>
      </c>
      <c r="B228" s="407">
        <v>225</v>
      </c>
      <c r="C228" s="408" t="s">
        <v>792</v>
      </c>
      <c r="D228" s="407" t="s">
        <v>212</v>
      </c>
      <c r="E228" s="408" t="s">
        <v>210</v>
      </c>
      <c r="F228" s="408">
        <v>75</v>
      </c>
      <c r="G228" s="409">
        <v>0.92</v>
      </c>
      <c r="H228" s="470">
        <v>15</v>
      </c>
      <c r="I228" s="463">
        <v>15</v>
      </c>
      <c r="J228" s="408">
        <v>10</v>
      </c>
      <c r="K228" s="408">
        <v>10</v>
      </c>
      <c r="L228" s="408">
        <v>10</v>
      </c>
      <c r="M228" s="408">
        <v>10</v>
      </c>
      <c r="N228" s="208">
        <f t="shared" si="22"/>
        <v>24.25563238537794</v>
      </c>
      <c r="O228" s="208">
        <f t="shared" si="22"/>
        <v>24.25563238537794</v>
      </c>
      <c r="P228" s="208">
        <f t="shared" si="22"/>
        <v>24.25563238537794</v>
      </c>
      <c r="Q228" s="208">
        <f t="shared" si="22"/>
        <v>24.25563238537794</v>
      </c>
      <c r="R228" s="208"/>
      <c r="S228" s="208" t="s">
        <v>1046</v>
      </c>
      <c r="T228" s="411" t="s">
        <v>201</v>
      </c>
      <c r="U228" s="411" t="s">
        <v>200</v>
      </c>
      <c r="V228" s="439" t="s">
        <v>825</v>
      </c>
      <c r="W228" s="158"/>
      <c r="X228" s="158"/>
      <c r="Y228" s="158"/>
      <c r="Z228" s="158"/>
      <c r="AA228" s="150"/>
      <c r="AB228" s="158"/>
      <c r="AC228" s="150"/>
      <c r="AD228" s="158"/>
      <c r="AE228" s="150"/>
      <c r="AF228" s="158"/>
      <c r="AG228" s="158"/>
      <c r="AH228" s="158"/>
      <c r="AI228" s="158"/>
      <c r="AJ228" s="158"/>
      <c r="AK228" s="158"/>
      <c r="AL228" s="158"/>
      <c r="AM228" s="158"/>
      <c r="AN228" s="158"/>
      <c r="AO228" s="158"/>
      <c r="AP228" s="158"/>
      <c r="AQ228" s="158"/>
      <c r="AR228" s="158"/>
      <c r="AS228" s="158"/>
      <c r="AT228" s="158"/>
      <c r="AV228" s="413"/>
      <c r="AW228" s="413"/>
      <c r="AX228" s="414"/>
      <c r="AY228" s="415"/>
      <c r="AZ228" s="416"/>
    </row>
    <row r="229" spans="1:52">
      <c r="A229" s="5" t="str">
        <f t="shared" si="17"/>
        <v>Bus - SB Rebates -PTA_Pipe Insulation - Steam - X-Large &gt;8"</v>
      </c>
      <c r="B229" s="407">
        <v>226</v>
      </c>
      <c r="C229" s="408" t="s">
        <v>792</v>
      </c>
      <c r="D229" s="407" t="s">
        <v>211</v>
      </c>
      <c r="E229" s="408" t="s">
        <v>210</v>
      </c>
      <c r="F229" s="408">
        <v>75</v>
      </c>
      <c r="G229" s="409">
        <v>0.92</v>
      </c>
      <c r="H229" s="470">
        <v>15</v>
      </c>
      <c r="I229" s="463">
        <v>15</v>
      </c>
      <c r="J229" s="408">
        <v>4</v>
      </c>
      <c r="K229" s="408">
        <v>4</v>
      </c>
      <c r="L229" s="408">
        <v>4</v>
      </c>
      <c r="M229" s="408">
        <v>4</v>
      </c>
      <c r="N229" s="208">
        <f t="shared" si="22"/>
        <v>35.984797966765058</v>
      </c>
      <c r="O229" s="208">
        <f t="shared" si="22"/>
        <v>35.984797966765058</v>
      </c>
      <c r="P229" s="208">
        <f t="shared" si="22"/>
        <v>35.984797966765058</v>
      </c>
      <c r="Q229" s="208">
        <f t="shared" si="22"/>
        <v>35.984797966765058</v>
      </c>
      <c r="R229" s="208"/>
      <c r="S229" s="208" t="s">
        <v>1046</v>
      </c>
      <c r="T229" s="411" t="s">
        <v>201</v>
      </c>
      <c r="U229" s="411" t="s">
        <v>200</v>
      </c>
      <c r="V229" s="439" t="s">
        <v>825</v>
      </c>
      <c r="W229" s="158"/>
      <c r="X229" s="158"/>
      <c r="Y229" s="158"/>
      <c r="Z229" s="158"/>
      <c r="AA229" s="150"/>
      <c r="AB229" s="158"/>
      <c r="AC229" s="150"/>
      <c r="AD229" s="158"/>
      <c r="AE229" s="150"/>
      <c r="AF229" s="158"/>
      <c r="AG229" s="158"/>
      <c r="AH229" s="158"/>
      <c r="AI229" s="158"/>
      <c r="AJ229" s="158"/>
      <c r="AK229" s="158"/>
      <c r="AL229" s="158"/>
      <c r="AM229" s="158"/>
      <c r="AN229" s="158"/>
      <c r="AO229" s="158"/>
      <c r="AP229" s="158"/>
      <c r="AQ229" s="158"/>
      <c r="AR229" s="158"/>
      <c r="AS229" s="158"/>
      <c r="AT229" s="158"/>
      <c r="AV229" s="413"/>
      <c r="AW229" s="413"/>
      <c r="AX229" s="414"/>
      <c r="AY229" s="415"/>
      <c r="AZ229" s="416"/>
    </row>
    <row r="230" spans="1:52">
      <c r="A230" s="5" t="str">
        <f t="shared" si="17"/>
        <v>Bus - SB Rebates -PTA_Pipe Insulation - Steam Med Fitting</v>
      </c>
      <c r="B230" s="407">
        <v>227</v>
      </c>
      <c r="C230" s="408" t="s">
        <v>792</v>
      </c>
      <c r="D230" s="407" t="s">
        <v>208</v>
      </c>
      <c r="E230" s="408" t="s">
        <v>150</v>
      </c>
      <c r="F230" s="408">
        <v>1</v>
      </c>
      <c r="G230" s="409">
        <v>0.92</v>
      </c>
      <c r="H230" s="470">
        <v>15</v>
      </c>
      <c r="I230" s="463">
        <v>15</v>
      </c>
      <c r="J230" s="408">
        <v>90</v>
      </c>
      <c r="K230" s="408">
        <v>90</v>
      </c>
      <c r="L230" s="408">
        <v>90</v>
      </c>
      <c r="M230" s="408">
        <v>90</v>
      </c>
      <c r="N230" s="208">
        <f t="shared" si="22"/>
        <v>12.515179237984789</v>
      </c>
      <c r="O230" s="208">
        <f t="shared" si="22"/>
        <v>12.515179237984789</v>
      </c>
      <c r="P230" s="208">
        <f t="shared" si="22"/>
        <v>12.515179237984789</v>
      </c>
      <c r="Q230" s="208">
        <f t="shared" si="22"/>
        <v>12.515179237984789</v>
      </c>
      <c r="R230" s="208"/>
      <c r="S230" s="208" t="s">
        <v>1046</v>
      </c>
      <c r="T230" s="411" t="s">
        <v>201</v>
      </c>
      <c r="U230" s="411" t="s">
        <v>200</v>
      </c>
      <c r="V230" s="439" t="s">
        <v>825</v>
      </c>
      <c r="W230" s="158"/>
      <c r="X230" s="158"/>
      <c r="Y230" s="158"/>
      <c r="Z230" s="158"/>
      <c r="AA230" s="150"/>
      <c r="AB230" s="158"/>
      <c r="AC230" s="150"/>
      <c r="AD230" s="158"/>
      <c r="AE230" s="150"/>
      <c r="AF230" s="158"/>
      <c r="AG230" s="158"/>
      <c r="AH230" s="158"/>
      <c r="AI230" s="158"/>
      <c r="AJ230" s="158"/>
      <c r="AK230" s="158"/>
      <c r="AL230" s="158"/>
      <c r="AM230" s="158"/>
      <c r="AN230" s="158"/>
      <c r="AO230" s="158"/>
      <c r="AP230" s="158"/>
      <c r="AQ230" s="158"/>
      <c r="AR230" s="158"/>
      <c r="AS230" s="158"/>
      <c r="AT230" s="158"/>
      <c r="AV230" s="413"/>
      <c r="AW230" s="413"/>
      <c r="AX230" s="414"/>
      <c r="AY230" s="415"/>
      <c r="AZ230" s="416"/>
    </row>
    <row r="231" spans="1:52">
      <c r="A231" s="5" t="str">
        <f t="shared" si="17"/>
        <v>Bus - SB Rebates -PTA_Pipe Insulation - Steam Large Fitting</v>
      </c>
      <c r="B231" s="407">
        <v>228</v>
      </c>
      <c r="C231" s="408" t="s">
        <v>792</v>
      </c>
      <c r="D231" s="407" t="s">
        <v>207</v>
      </c>
      <c r="E231" s="408" t="s">
        <v>150</v>
      </c>
      <c r="F231" s="408">
        <v>1</v>
      </c>
      <c r="G231" s="409">
        <v>0.92</v>
      </c>
      <c r="H231" s="470">
        <v>15</v>
      </c>
      <c r="I231" s="463">
        <v>15</v>
      </c>
      <c r="J231" s="408">
        <v>45</v>
      </c>
      <c r="K231" s="408">
        <v>45</v>
      </c>
      <c r="L231" s="408">
        <v>45</v>
      </c>
      <c r="M231" s="408">
        <v>45</v>
      </c>
      <c r="N231" s="208">
        <f t="shared" si="22"/>
        <v>51.249515380658096</v>
      </c>
      <c r="O231" s="208">
        <f t="shared" si="22"/>
        <v>51.249515380658096</v>
      </c>
      <c r="P231" s="208">
        <f t="shared" si="22"/>
        <v>51.249515380658096</v>
      </c>
      <c r="Q231" s="208">
        <f t="shared" si="22"/>
        <v>51.249515380658096</v>
      </c>
      <c r="R231" s="208"/>
      <c r="S231" s="208" t="s">
        <v>1046</v>
      </c>
      <c r="T231" s="411" t="s">
        <v>201</v>
      </c>
      <c r="U231" s="411" t="s">
        <v>200</v>
      </c>
      <c r="V231" s="439" t="s">
        <v>825</v>
      </c>
      <c r="W231" s="158"/>
      <c r="X231" s="158"/>
      <c r="Y231" s="158"/>
      <c r="Z231" s="158"/>
      <c r="AA231" s="150"/>
      <c r="AB231" s="158"/>
      <c r="AC231" s="150"/>
      <c r="AD231" s="158"/>
      <c r="AE231" s="150"/>
      <c r="AF231" s="158"/>
      <c r="AG231" s="158"/>
      <c r="AH231" s="158"/>
      <c r="AI231" s="158"/>
      <c r="AJ231" s="158"/>
      <c r="AK231" s="158"/>
      <c r="AL231" s="158"/>
      <c r="AM231" s="158"/>
      <c r="AN231" s="158"/>
      <c r="AO231" s="158"/>
      <c r="AP231" s="158"/>
      <c r="AQ231" s="158"/>
      <c r="AR231" s="158"/>
      <c r="AS231" s="158"/>
      <c r="AT231" s="158"/>
      <c r="AV231" s="413"/>
      <c r="AW231" s="413"/>
      <c r="AX231" s="414"/>
      <c r="AY231" s="415"/>
      <c r="AZ231" s="416"/>
    </row>
    <row r="232" spans="1:52">
      <c r="A232" s="5" t="str">
        <f t="shared" si="17"/>
        <v>Bus - SB Rebates -PTA_Pipe Insulation - Steam X-Large Fitting</v>
      </c>
      <c r="B232" s="407">
        <v>229</v>
      </c>
      <c r="C232" s="408" t="s">
        <v>792</v>
      </c>
      <c r="D232" s="407" t="s">
        <v>206</v>
      </c>
      <c r="E232" s="408" t="s">
        <v>150</v>
      </c>
      <c r="F232" s="408">
        <v>1</v>
      </c>
      <c r="G232" s="409">
        <v>0.92</v>
      </c>
      <c r="H232" s="470">
        <v>15</v>
      </c>
      <c r="I232" s="463">
        <v>15</v>
      </c>
      <c r="J232" s="408">
        <v>8</v>
      </c>
      <c r="K232" s="408">
        <v>8</v>
      </c>
      <c r="L232" s="408">
        <v>8</v>
      </c>
      <c r="M232" s="408">
        <v>8</v>
      </c>
      <c r="N232" s="208">
        <f t="shared" si="22"/>
        <v>99.138118398437726</v>
      </c>
      <c r="O232" s="208">
        <f t="shared" si="22"/>
        <v>99.138118398437726</v>
      </c>
      <c r="P232" s="208">
        <f t="shared" si="22"/>
        <v>99.138118398437726</v>
      </c>
      <c r="Q232" s="208">
        <f t="shared" si="22"/>
        <v>99.138118398437726</v>
      </c>
      <c r="R232" s="208"/>
      <c r="S232" s="208" t="s">
        <v>1046</v>
      </c>
      <c r="T232" s="411" t="s">
        <v>201</v>
      </c>
      <c r="U232" s="411" t="s">
        <v>200</v>
      </c>
      <c r="V232" s="439" t="s">
        <v>825</v>
      </c>
      <c r="W232" s="158"/>
      <c r="X232" s="158"/>
      <c r="Y232" s="158"/>
      <c r="Z232" s="158"/>
      <c r="AA232" s="150"/>
      <c r="AB232" s="158"/>
      <c r="AC232" s="150"/>
      <c r="AD232" s="158"/>
      <c r="AE232" s="150"/>
      <c r="AF232" s="158"/>
      <c r="AG232" s="158"/>
      <c r="AH232" s="158"/>
      <c r="AI232" s="158"/>
      <c r="AJ232" s="158"/>
      <c r="AK232" s="158"/>
      <c r="AL232" s="158"/>
      <c r="AM232" s="158"/>
      <c r="AN232" s="158"/>
      <c r="AO232" s="158"/>
      <c r="AP232" s="158"/>
      <c r="AQ232" s="158"/>
      <c r="AR232" s="158"/>
      <c r="AS232" s="158"/>
      <c r="AT232" s="158"/>
      <c r="AV232" s="413"/>
      <c r="AW232" s="413"/>
      <c r="AX232" s="414"/>
      <c r="AY232" s="415"/>
      <c r="AZ232" s="416"/>
    </row>
    <row r="233" spans="1:52">
      <c r="A233" s="5" t="str">
        <f t="shared" si="17"/>
        <v>Bus - SB Rebates -PTA_Pipe Insulation - Steam Med Valve</v>
      </c>
      <c r="B233" s="407">
        <v>230</v>
      </c>
      <c r="C233" s="408" t="s">
        <v>792</v>
      </c>
      <c r="D233" s="407" t="s">
        <v>204</v>
      </c>
      <c r="E233" s="408" t="s">
        <v>150</v>
      </c>
      <c r="F233" s="408">
        <v>1</v>
      </c>
      <c r="G233" s="409">
        <v>0.92</v>
      </c>
      <c r="H233" s="470">
        <v>15</v>
      </c>
      <c r="I233" s="463">
        <v>15</v>
      </c>
      <c r="J233" s="408">
        <v>22</v>
      </c>
      <c r="K233" s="408">
        <v>22</v>
      </c>
      <c r="L233" s="408">
        <v>22</v>
      </c>
      <c r="M233" s="408">
        <v>22</v>
      </c>
      <c r="N233" s="208">
        <f t="shared" si="22"/>
        <v>37.423389683572815</v>
      </c>
      <c r="O233" s="208">
        <f t="shared" si="22"/>
        <v>37.423389683572815</v>
      </c>
      <c r="P233" s="208">
        <f t="shared" si="22"/>
        <v>37.423389683572815</v>
      </c>
      <c r="Q233" s="208">
        <f t="shared" si="22"/>
        <v>37.423389683572815</v>
      </c>
      <c r="R233" s="208"/>
      <c r="S233" s="208" t="s">
        <v>1046</v>
      </c>
      <c r="T233" s="411" t="s">
        <v>201</v>
      </c>
      <c r="U233" s="411" t="s">
        <v>200</v>
      </c>
      <c r="V233" s="439" t="s">
        <v>825</v>
      </c>
      <c r="W233" s="158"/>
      <c r="X233" s="158"/>
      <c r="Y233" s="158"/>
      <c r="Z233" s="158"/>
      <c r="AA233" s="150"/>
      <c r="AB233" s="158"/>
      <c r="AC233" s="150"/>
      <c r="AD233" s="158"/>
      <c r="AE233" s="150"/>
      <c r="AF233" s="158"/>
      <c r="AG233" s="158"/>
      <c r="AH233" s="158"/>
      <c r="AI233" s="158"/>
      <c r="AJ233" s="158"/>
      <c r="AK233" s="158"/>
      <c r="AL233" s="158"/>
      <c r="AM233" s="158"/>
      <c r="AN233" s="158"/>
      <c r="AO233" s="158"/>
      <c r="AP233" s="158"/>
      <c r="AQ233" s="158"/>
      <c r="AR233" s="158"/>
      <c r="AS233" s="158"/>
      <c r="AT233" s="158"/>
    </row>
    <row r="234" spans="1:52">
      <c r="A234" s="5" t="str">
        <f t="shared" si="17"/>
        <v>Bus - SB Rebates -PTA_Pipe Insulation - Steam Large Valve</v>
      </c>
      <c r="B234" s="407">
        <v>231</v>
      </c>
      <c r="C234" s="408" t="s">
        <v>792</v>
      </c>
      <c r="D234" s="407" t="s">
        <v>203</v>
      </c>
      <c r="E234" s="408" t="s">
        <v>150</v>
      </c>
      <c r="F234" s="408">
        <v>1</v>
      </c>
      <c r="G234" s="409">
        <v>0.92</v>
      </c>
      <c r="H234" s="470">
        <v>15</v>
      </c>
      <c r="I234" s="463">
        <v>15</v>
      </c>
      <c r="J234" s="408">
        <v>8</v>
      </c>
      <c r="K234" s="408">
        <v>8</v>
      </c>
      <c r="L234" s="408">
        <v>8</v>
      </c>
      <c r="M234" s="408">
        <v>8</v>
      </c>
      <c r="N234" s="208">
        <f t="shared" si="22"/>
        <v>107.52607289087437</v>
      </c>
      <c r="O234" s="208">
        <f t="shared" si="22"/>
        <v>107.52607289087437</v>
      </c>
      <c r="P234" s="208">
        <f t="shared" si="22"/>
        <v>107.52607289087437</v>
      </c>
      <c r="Q234" s="208">
        <f t="shared" si="22"/>
        <v>107.52607289087437</v>
      </c>
      <c r="R234" s="208"/>
      <c r="S234" s="208" t="s">
        <v>1046</v>
      </c>
      <c r="T234" s="411" t="s">
        <v>201</v>
      </c>
      <c r="U234" s="411" t="s">
        <v>200</v>
      </c>
      <c r="V234" s="439" t="s">
        <v>825</v>
      </c>
      <c r="W234" s="158"/>
      <c r="X234" s="158"/>
      <c r="Y234" s="158"/>
      <c r="Z234" s="158"/>
      <c r="AA234" s="150"/>
      <c r="AB234" s="158"/>
      <c r="AC234" s="150"/>
      <c r="AD234" s="158"/>
      <c r="AE234" s="150"/>
      <c r="AF234" s="158"/>
      <c r="AG234" s="158"/>
      <c r="AH234" s="158"/>
      <c r="AI234" s="158"/>
      <c r="AJ234" s="158"/>
      <c r="AK234" s="158"/>
      <c r="AL234" s="158"/>
      <c r="AM234" s="158"/>
      <c r="AN234" s="158"/>
      <c r="AO234" s="158"/>
      <c r="AP234" s="158"/>
      <c r="AQ234" s="158"/>
      <c r="AR234" s="158"/>
      <c r="AS234" s="158"/>
      <c r="AT234" s="158"/>
    </row>
    <row r="235" spans="1:52">
      <c r="A235" s="5" t="str">
        <f t="shared" si="17"/>
        <v>Bus - SB Rebates -PTA_Pipe Insulation - Steam X-Large Valve</v>
      </c>
      <c r="B235" s="407">
        <v>232</v>
      </c>
      <c r="C235" s="408" t="s">
        <v>792</v>
      </c>
      <c r="D235" s="407" t="s">
        <v>202</v>
      </c>
      <c r="E235" s="408" t="s">
        <v>150</v>
      </c>
      <c r="F235" s="408">
        <v>1</v>
      </c>
      <c r="G235" s="409">
        <v>0.92</v>
      </c>
      <c r="H235" s="470">
        <v>15</v>
      </c>
      <c r="I235" s="463">
        <v>15</v>
      </c>
      <c r="J235" s="408">
        <v>8</v>
      </c>
      <c r="K235" s="408">
        <v>8</v>
      </c>
      <c r="L235" s="408">
        <v>8</v>
      </c>
      <c r="M235" s="408">
        <v>8</v>
      </c>
      <c r="N235" s="208">
        <f t="shared" si="22"/>
        <v>175.06254164158375</v>
      </c>
      <c r="O235" s="208">
        <f t="shared" si="22"/>
        <v>175.06254164158375</v>
      </c>
      <c r="P235" s="208">
        <f t="shared" si="22"/>
        <v>175.06254164158375</v>
      </c>
      <c r="Q235" s="208">
        <f t="shared" si="22"/>
        <v>175.06254164158375</v>
      </c>
      <c r="R235" s="208"/>
      <c r="S235" s="208" t="s">
        <v>1046</v>
      </c>
      <c r="T235" s="411" t="s">
        <v>201</v>
      </c>
      <c r="U235" s="411" t="s">
        <v>200</v>
      </c>
      <c r="V235" s="439" t="s">
        <v>825</v>
      </c>
      <c r="W235" s="158"/>
      <c r="X235" s="158"/>
      <c r="Y235" s="158"/>
      <c r="Z235" s="158"/>
      <c r="AA235" s="150"/>
      <c r="AB235" s="158"/>
      <c r="AC235" s="150"/>
      <c r="AD235" s="158"/>
      <c r="AE235" s="150"/>
      <c r="AF235" s="158"/>
      <c r="AG235" s="158"/>
      <c r="AH235" s="158"/>
      <c r="AI235" s="158"/>
      <c r="AJ235" s="158"/>
      <c r="AK235" s="158"/>
      <c r="AL235" s="158"/>
      <c r="AM235" s="158"/>
      <c r="AN235" s="158"/>
      <c r="AO235" s="158"/>
      <c r="AP235" s="158"/>
      <c r="AQ235" s="158"/>
      <c r="AR235" s="158"/>
      <c r="AS235" s="158"/>
      <c r="AT235" s="158"/>
    </row>
    <row r="236" spans="1:52">
      <c r="A236" s="5" t="str">
        <f t="shared" si="17"/>
        <v>Bus - SB Rebates -PTA_Pre Rinse Sprayer (P)</v>
      </c>
      <c r="B236" s="407">
        <v>233</v>
      </c>
      <c r="C236" s="408" t="s">
        <v>792</v>
      </c>
      <c r="D236" s="407" t="s">
        <v>790</v>
      </c>
      <c r="E236" s="408" t="s">
        <v>150</v>
      </c>
      <c r="F236" s="408">
        <v>1</v>
      </c>
      <c r="G236" s="409">
        <v>0.92</v>
      </c>
      <c r="H236" s="470">
        <v>5</v>
      </c>
      <c r="I236" s="463">
        <v>5</v>
      </c>
      <c r="J236" s="408"/>
      <c r="K236" s="408">
        <v>0</v>
      </c>
      <c r="L236" s="408">
        <v>0</v>
      </c>
      <c r="M236" s="408">
        <v>0</v>
      </c>
      <c r="N236" s="208">
        <f t="shared" si="22"/>
        <v>51.167025000000002</v>
      </c>
      <c r="O236" s="208">
        <f t="shared" si="22"/>
        <v>51.167025000000002</v>
      </c>
      <c r="P236" s="208">
        <f t="shared" si="22"/>
        <v>51.167025000000002</v>
      </c>
      <c r="Q236" s="208">
        <f t="shared" si="22"/>
        <v>51.167025000000002</v>
      </c>
      <c r="R236" s="208"/>
      <c r="S236" s="208" t="s">
        <v>1046</v>
      </c>
      <c r="T236" s="411" t="s">
        <v>351</v>
      </c>
      <c r="U236" s="411" t="s">
        <v>350</v>
      </c>
      <c r="V236" s="436" t="str">
        <f>V198</f>
        <v>ΔTherms = (FLObase - FLOeff)gal/min x 60 min/hr x HOURSday x DAYSyear x 8.33 x 1 x (Tout - Tin) x (1/EFF) /100,000</v>
      </c>
      <c r="W236" s="158"/>
      <c r="X236" s="158"/>
      <c r="Y236" s="158"/>
      <c r="Z236" s="158"/>
      <c r="AA236" s="150"/>
      <c r="AB236" s="158"/>
      <c r="AC236" s="150"/>
      <c r="AD236" s="158"/>
      <c r="AE236" s="150"/>
      <c r="AF236" s="158"/>
      <c r="AG236" s="158"/>
      <c r="AH236" s="158"/>
      <c r="AI236" s="158"/>
      <c r="AJ236" s="158"/>
      <c r="AK236" s="158"/>
      <c r="AL236" s="158"/>
      <c r="AM236" s="158"/>
      <c r="AN236" s="158"/>
      <c r="AO236" s="158"/>
      <c r="AP236" s="158"/>
      <c r="AQ236" s="158"/>
      <c r="AR236" s="158"/>
      <c r="AS236" s="158"/>
      <c r="AT236" s="158"/>
    </row>
    <row r="237" spans="1:52">
      <c r="A237" s="5" t="str">
        <f t="shared" si="17"/>
        <v>Bus - SB Rebates -PTA_Steam Boiler ≥82% AFUE, &gt;300MBh TE (SB)</v>
      </c>
      <c r="B237" s="407">
        <v>234</v>
      </c>
      <c r="C237" s="408" t="s">
        <v>792</v>
      </c>
      <c r="D237" s="407" t="s">
        <v>791</v>
      </c>
      <c r="E237" s="408" t="s">
        <v>240</v>
      </c>
      <c r="F237" s="408">
        <v>450</v>
      </c>
      <c r="G237" s="409">
        <v>0.92</v>
      </c>
      <c r="H237" s="470">
        <v>20</v>
      </c>
      <c r="I237" s="463">
        <v>20</v>
      </c>
      <c r="J237" s="408">
        <v>80</v>
      </c>
      <c r="K237" s="408">
        <v>80</v>
      </c>
      <c r="L237" s="408">
        <v>80</v>
      </c>
      <c r="M237" s="408">
        <v>80</v>
      </c>
      <c r="N237" s="208">
        <f t="shared" si="22"/>
        <v>0.61860759493670714</v>
      </c>
      <c r="O237" s="208">
        <f t="shared" si="22"/>
        <v>0.61860759493670714</v>
      </c>
      <c r="P237" s="208">
        <f t="shared" si="22"/>
        <v>0.61860759493670714</v>
      </c>
      <c r="Q237" s="208">
        <f t="shared" si="22"/>
        <v>0.61860759493670714</v>
      </c>
      <c r="R237" s="208"/>
      <c r="S237" s="208" t="s">
        <v>1046</v>
      </c>
      <c r="T237" s="411" t="s">
        <v>343</v>
      </c>
      <c r="U237" s="411" t="s">
        <v>342</v>
      </c>
      <c r="V237" s="436" t="str">
        <f>V199</f>
        <v>ΔTherms = EFLH * Capacity * ((Eff_actual - Eff_base)/Eff_base)) / 100,000</v>
      </c>
      <c r="W237" s="158"/>
      <c r="X237" s="158"/>
      <c r="Y237" s="158"/>
      <c r="Z237" s="158"/>
      <c r="AA237" s="150"/>
      <c r="AB237" s="158"/>
      <c r="AC237" s="150"/>
      <c r="AD237" s="158"/>
      <c r="AE237" s="150"/>
      <c r="AF237" s="158"/>
      <c r="AG237" s="158"/>
      <c r="AH237" s="158"/>
      <c r="AI237" s="158"/>
      <c r="AJ237" s="158"/>
      <c r="AK237" s="158"/>
      <c r="AL237" s="158"/>
      <c r="AM237" s="158"/>
      <c r="AN237" s="158"/>
      <c r="AO237" s="158"/>
      <c r="AP237" s="158"/>
      <c r="AQ237" s="158"/>
      <c r="AR237" s="158"/>
      <c r="AS237" s="158"/>
      <c r="AT237" s="158"/>
    </row>
    <row r="238" spans="1:52">
      <c r="A238" s="5" t="str">
        <f t="shared" si="17"/>
        <v>Bus - SB Rebates -PTA_Steam Traps - Dry Cleaner/Industrial</v>
      </c>
      <c r="B238" s="407">
        <v>235</v>
      </c>
      <c r="C238" s="408" t="s">
        <v>792</v>
      </c>
      <c r="D238" s="407" t="s">
        <v>269</v>
      </c>
      <c r="E238" s="408" t="s">
        <v>150</v>
      </c>
      <c r="F238" s="408">
        <v>1</v>
      </c>
      <c r="G238" s="409">
        <v>0.92</v>
      </c>
      <c r="H238" s="470">
        <v>6</v>
      </c>
      <c r="I238" s="463">
        <v>6</v>
      </c>
      <c r="J238" s="408">
        <v>325</v>
      </c>
      <c r="K238" s="408">
        <v>325</v>
      </c>
      <c r="L238" s="408">
        <v>325</v>
      </c>
      <c r="M238" s="408">
        <v>325</v>
      </c>
      <c r="N238" s="208">
        <f t="shared" si="22"/>
        <v>137.91939591078068</v>
      </c>
      <c r="O238" s="208">
        <f t="shared" si="22"/>
        <v>137.91939591078068</v>
      </c>
      <c r="P238" s="208">
        <f t="shared" si="22"/>
        <v>137.91939591078068</v>
      </c>
      <c r="Q238" s="208">
        <f t="shared" si="22"/>
        <v>137.91939591078068</v>
      </c>
      <c r="R238" s="208"/>
      <c r="S238" s="208" t="s">
        <v>1046</v>
      </c>
      <c r="T238" s="411" t="s">
        <v>266</v>
      </c>
      <c r="U238" s="411" t="s">
        <v>265</v>
      </c>
      <c r="V238" s="436" t="str">
        <f>V200</f>
        <v>ΔTherm = Sa * (Hv/B) * Hours * A * L / 100,000</v>
      </c>
      <c r="W238" s="158"/>
      <c r="X238" s="158"/>
      <c r="Y238" s="158"/>
      <c r="Z238" s="158"/>
      <c r="AA238" s="150"/>
      <c r="AB238" s="158"/>
      <c r="AC238" s="150"/>
      <c r="AD238" s="158"/>
      <c r="AE238" s="150"/>
      <c r="AF238" s="158"/>
      <c r="AG238" s="158"/>
      <c r="AH238" s="158"/>
      <c r="AI238" s="158"/>
      <c r="AJ238" s="158"/>
      <c r="AK238" s="158"/>
      <c r="AL238" s="158"/>
      <c r="AM238" s="158"/>
      <c r="AN238" s="158"/>
      <c r="AO238" s="158"/>
      <c r="AP238" s="158"/>
      <c r="AQ238" s="158"/>
      <c r="AR238" s="158"/>
      <c r="AS238" s="158"/>
      <c r="AT238" s="158"/>
    </row>
    <row r="239" spans="1:52">
      <c r="A239" s="5" t="str">
        <f t="shared" si="17"/>
        <v>Bus - SB Rebates -PTA_Steam Traps - HVAC Repair/Rep - Audit</v>
      </c>
      <c r="B239" s="407">
        <v>236</v>
      </c>
      <c r="C239" s="408" t="s">
        <v>792</v>
      </c>
      <c r="D239" s="407" t="s">
        <v>268</v>
      </c>
      <c r="E239" s="408" t="s">
        <v>150</v>
      </c>
      <c r="F239" s="408">
        <v>1</v>
      </c>
      <c r="G239" s="409">
        <v>0.92</v>
      </c>
      <c r="H239" s="470">
        <v>6</v>
      </c>
      <c r="I239" s="463">
        <v>6</v>
      </c>
      <c r="J239" s="408">
        <v>625</v>
      </c>
      <c r="K239" s="408">
        <v>625</v>
      </c>
      <c r="L239" s="408">
        <v>625</v>
      </c>
      <c r="M239" s="408">
        <v>625</v>
      </c>
      <c r="N239" s="208">
        <f t="shared" si="22"/>
        <v>88.453924126394057</v>
      </c>
      <c r="O239" s="208">
        <f t="shared" si="22"/>
        <v>88.453924126394057</v>
      </c>
      <c r="P239" s="208">
        <f t="shared" si="22"/>
        <v>88.453924126394057</v>
      </c>
      <c r="Q239" s="208">
        <f t="shared" si="22"/>
        <v>88.453924126394057</v>
      </c>
      <c r="R239" s="208"/>
      <c r="S239" s="208" t="s">
        <v>1046</v>
      </c>
      <c r="T239" s="411" t="s">
        <v>266</v>
      </c>
      <c r="U239" s="411" t="s">
        <v>265</v>
      </c>
      <c r="V239" s="436" t="str">
        <f>V201</f>
        <v>ΔTherm = Sa * (Hv/B) * Hours * A * L / 100,000</v>
      </c>
      <c r="W239" s="158"/>
      <c r="X239" s="158"/>
      <c r="Y239" s="158"/>
      <c r="Z239" s="158"/>
      <c r="AA239" s="150"/>
      <c r="AB239" s="158"/>
      <c r="AC239" s="150"/>
      <c r="AD239" s="158"/>
      <c r="AE239" s="150"/>
      <c r="AF239" s="158"/>
      <c r="AG239" s="158"/>
      <c r="AH239" s="158"/>
      <c r="AI239" s="158"/>
      <c r="AJ239" s="158"/>
      <c r="AK239" s="158"/>
      <c r="AL239" s="158"/>
      <c r="AM239" s="158"/>
      <c r="AN239" s="158"/>
      <c r="AO239" s="158"/>
      <c r="AP239" s="158"/>
      <c r="AQ239" s="158"/>
      <c r="AR239" s="158"/>
      <c r="AS239" s="158"/>
      <c r="AT239" s="158"/>
    </row>
    <row r="240" spans="1:52">
      <c r="A240" s="5" t="str">
        <f t="shared" si="17"/>
        <v>Bus - SB Rebates -PTA_Steam Traps - HVAC Repair/Rep - No Audit</v>
      </c>
      <c r="B240" s="407">
        <v>237</v>
      </c>
      <c r="C240" s="408" t="s">
        <v>792</v>
      </c>
      <c r="D240" s="407" t="s">
        <v>267</v>
      </c>
      <c r="E240" s="408" t="s">
        <v>150</v>
      </c>
      <c r="F240" s="408">
        <v>1</v>
      </c>
      <c r="G240" s="409">
        <v>0.92</v>
      </c>
      <c r="H240" s="470">
        <v>6</v>
      </c>
      <c r="I240" s="463">
        <v>6</v>
      </c>
      <c r="J240" s="408">
        <v>50</v>
      </c>
      <c r="K240" s="408">
        <v>50</v>
      </c>
      <c r="L240" s="408">
        <v>50</v>
      </c>
      <c r="M240" s="408">
        <v>50</v>
      </c>
      <c r="N240" s="208">
        <f t="shared" si="22"/>
        <v>88.453924126394057</v>
      </c>
      <c r="O240" s="208">
        <f t="shared" si="22"/>
        <v>88.453924126394057</v>
      </c>
      <c r="P240" s="208">
        <f t="shared" si="22"/>
        <v>88.453924126394057</v>
      </c>
      <c r="Q240" s="208">
        <f t="shared" si="22"/>
        <v>88.453924126394057</v>
      </c>
      <c r="R240" s="208"/>
      <c r="S240" s="208" t="s">
        <v>1046</v>
      </c>
      <c r="T240" s="411" t="s">
        <v>266</v>
      </c>
      <c r="U240" s="411" t="s">
        <v>265</v>
      </c>
      <c r="V240" s="436" t="str">
        <f>V202</f>
        <v>ΔTherm = Sa * (Hv/B) * Hours * A * L / 100,000</v>
      </c>
      <c r="W240" s="158"/>
      <c r="X240" s="158"/>
      <c r="Y240" s="158"/>
      <c r="Z240" s="158"/>
      <c r="AA240" s="150"/>
      <c r="AB240" s="158"/>
      <c r="AC240" s="150"/>
      <c r="AD240" s="158"/>
      <c r="AE240" s="150"/>
      <c r="AF240" s="158"/>
      <c r="AG240" s="158"/>
      <c r="AH240" s="158"/>
      <c r="AI240" s="158"/>
      <c r="AJ240" s="158"/>
      <c r="AK240" s="158"/>
      <c r="AL240" s="158"/>
      <c r="AM240" s="158"/>
      <c r="AN240" s="158"/>
      <c r="AO240" s="158"/>
      <c r="AP240" s="158"/>
      <c r="AQ240" s="158"/>
      <c r="AR240" s="158"/>
      <c r="AS240" s="158"/>
      <c r="AT240" s="158"/>
    </row>
    <row r="241" spans="1:53">
      <c r="A241" s="5" t="str">
        <f t="shared" si="17"/>
        <v>Bus - SB Rebates -PTA_Steam Traps - Test</v>
      </c>
      <c r="B241" s="407">
        <v>238</v>
      </c>
      <c r="C241" s="408" t="s">
        <v>792</v>
      </c>
      <c r="D241" s="407" t="s">
        <v>258</v>
      </c>
      <c r="E241" s="408" t="s">
        <v>150</v>
      </c>
      <c r="F241" s="408">
        <v>1</v>
      </c>
      <c r="G241" s="409">
        <v>0.92</v>
      </c>
      <c r="H241" s="470">
        <v>3</v>
      </c>
      <c r="I241" s="463">
        <v>3</v>
      </c>
      <c r="J241" s="408">
        <v>525</v>
      </c>
      <c r="K241" s="408">
        <v>525</v>
      </c>
      <c r="L241" s="408">
        <v>525</v>
      </c>
      <c r="M241" s="408">
        <v>525</v>
      </c>
      <c r="N241" s="208">
        <f t="shared" si="22"/>
        <v>0</v>
      </c>
      <c r="O241" s="208">
        <f t="shared" si="22"/>
        <v>0</v>
      </c>
      <c r="P241" s="208">
        <f t="shared" si="22"/>
        <v>0</v>
      </c>
      <c r="Q241" s="208">
        <f t="shared" si="22"/>
        <v>0</v>
      </c>
      <c r="R241" s="208"/>
      <c r="S241" s="208" t="str">
        <f>S203</f>
        <v>Custom</v>
      </c>
      <c r="T241" s="411" t="str">
        <f>T203</f>
        <v>Custom</v>
      </c>
      <c r="U241" s="411" t="s">
        <v>140</v>
      </c>
      <c r="V241" s="412" t="s">
        <v>140</v>
      </c>
      <c r="W241" s="158"/>
      <c r="X241" s="158"/>
      <c r="Y241" s="158"/>
      <c r="Z241" s="158"/>
      <c r="AA241" s="150"/>
      <c r="AB241" s="158"/>
      <c r="AC241" s="150"/>
      <c r="AD241" s="158"/>
      <c r="AE241" s="150"/>
      <c r="AF241" s="158"/>
      <c r="AG241" s="158"/>
      <c r="AH241" s="158"/>
      <c r="AI241" s="158"/>
      <c r="AJ241" s="158"/>
      <c r="AK241" s="158"/>
      <c r="AL241" s="158"/>
      <c r="AM241" s="158"/>
      <c r="AN241" s="158"/>
      <c r="AO241" s="158"/>
      <c r="AP241" s="158"/>
      <c r="AQ241" s="158"/>
      <c r="AR241" s="158"/>
      <c r="AS241" s="158"/>
      <c r="AT241" s="158"/>
    </row>
    <row r="242" spans="1:53">
      <c r="A242" s="5" t="str">
        <f t="shared" si="17"/>
        <v>Bus - SB Rebates -PTA_Thermostat - Programmable</v>
      </c>
      <c r="B242" s="407">
        <v>239</v>
      </c>
      <c r="C242" s="408" t="s">
        <v>792</v>
      </c>
      <c r="D242" s="407" t="s">
        <v>226</v>
      </c>
      <c r="E242" s="408" t="s">
        <v>150</v>
      </c>
      <c r="F242" s="408">
        <v>1</v>
      </c>
      <c r="G242" s="409">
        <v>0.92</v>
      </c>
      <c r="H242" s="470">
        <v>4</v>
      </c>
      <c r="I242" s="463">
        <v>4</v>
      </c>
      <c r="J242" s="408">
        <v>125</v>
      </c>
      <c r="K242" s="408">
        <v>125</v>
      </c>
      <c r="L242" s="408">
        <v>125</v>
      </c>
      <c r="M242" s="408">
        <v>125</v>
      </c>
      <c r="N242" s="208">
        <f t="shared" si="22"/>
        <v>124.68584320000001</v>
      </c>
      <c r="O242" s="208">
        <f t="shared" si="22"/>
        <v>124.68584320000001</v>
      </c>
      <c r="P242" s="208">
        <f t="shared" si="22"/>
        <v>124.68584320000001</v>
      </c>
      <c r="Q242" s="208">
        <f t="shared" si="22"/>
        <v>124.68584320000001</v>
      </c>
      <c r="R242" s="208"/>
      <c r="S242" s="208" t="s">
        <v>1046</v>
      </c>
      <c r="T242" s="411" t="s">
        <v>225</v>
      </c>
      <c r="U242" s="411" t="s">
        <v>224</v>
      </c>
      <c r="V242" s="439" t="s">
        <v>824</v>
      </c>
      <c r="W242" s="158"/>
      <c r="X242" s="158"/>
      <c r="Y242" s="158"/>
      <c r="Z242" s="158"/>
      <c r="AA242" s="150"/>
      <c r="AB242" s="158"/>
      <c r="AC242" s="150"/>
      <c r="AD242" s="158"/>
      <c r="AE242" s="150"/>
      <c r="AF242" s="158"/>
      <c r="AG242" s="158"/>
      <c r="AH242" s="158"/>
      <c r="AI242" s="158"/>
      <c r="AJ242" s="158"/>
      <c r="AK242" s="158"/>
      <c r="AL242" s="158"/>
      <c r="AM242" s="158"/>
      <c r="AN242" s="158"/>
      <c r="AO242" s="158"/>
      <c r="AP242" s="158"/>
      <c r="AQ242" s="158"/>
      <c r="AR242" s="158"/>
      <c r="AS242" s="158"/>
      <c r="AT242" s="158"/>
    </row>
    <row r="243" spans="1:53" ht="28.5" customHeight="1">
      <c r="A243" s="5" t="str">
        <f t="shared" si="17"/>
        <v>Bus - SB Rebates -PTA_Water Heater - Storage 88% TE ≥75MBh</v>
      </c>
      <c r="B243" s="407">
        <v>240</v>
      </c>
      <c r="C243" s="408" t="s">
        <v>792</v>
      </c>
      <c r="D243" s="407" t="s">
        <v>254</v>
      </c>
      <c r="E243" s="408" t="s">
        <v>150</v>
      </c>
      <c r="F243" s="408">
        <v>1</v>
      </c>
      <c r="G243" s="409">
        <v>0.92</v>
      </c>
      <c r="H243" s="470">
        <v>15</v>
      </c>
      <c r="I243" s="463">
        <v>15</v>
      </c>
      <c r="J243" s="408"/>
      <c r="K243" s="408">
        <v>0</v>
      </c>
      <c r="L243" s="408">
        <v>0</v>
      </c>
      <c r="M243" s="408">
        <v>0</v>
      </c>
      <c r="N243" s="208">
        <f t="shared" si="22"/>
        <v>1514.573584976577</v>
      </c>
      <c r="O243" s="208">
        <f t="shared" si="22"/>
        <v>1514.573584976577</v>
      </c>
      <c r="P243" s="208">
        <f t="shared" si="22"/>
        <v>1514.573584976577</v>
      </c>
      <c r="Q243" s="208">
        <f t="shared" si="22"/>
        <v>1514.573584976577</v>
      </c>
      <c r="R243" s="208"/>
      <c r="S243" s="208" t="s">
        <v>1046</v>
      </c>
      <c r="T243" s="411" t="s">
        <v>253</v>
      </c>
      <c r="U243" s="411" t="s">
        <v>252</v>
      </c>
      <c r="V243" s="436" t="str">
        <f>V205</f>
        <v>ΔTherms = ((T_out - T_in) * HotWaterUse_Gal * γWater * 1 * (1/EF_gasbase - 1/EF_Eff))/100000 + ((SL_gasbase - SL_eff) * 8766)/100000</v>
      </c>
      <c r="W243" s="158"/>
      <c r="X243" s="158"/>
      <c r="Y243" s="158"/>
      <c r="Z243" s="158"/>
      <c r="AA243" s="150"/>
      <c r="AB243" s="158"/>
      <c r="AC243" s="150"/>
      <c r="AD243" s="158"/>
      <c r="AE243" s="150"/>
      <c r="AF243" s="158"/>
      <c r="AG243" s="158"/>
      <c r="AH243" s="158"/>
      <c r="AI243" s="158"/>
      <c r="AJ243" s="158"/>
      <c r="AK243" s="158"/>
      <c r="AL243" s="158"/>
      <c r="AM243" s="158"/>
      <c r="AN243" s="158"/>
      <c r="AO243" s="158"/>
      <c r="AP243" s="158"/>
      <c r="AQ243" s="158"/>
      <c r="AR243" s="158"/>
      <c r="AS243" s="158"/>
      <c r="AT243" s="158"/>
    </row>
    <row r="244" spans="1:53">
      <c r="A244" s="5" t="str">
        <f t="shared" si="17"/>
        <v>Bus - SB Rebates -PTA_Water Heater 88% TE - Laundromat</v>
      </c>
      <c r="B244" s="407">
        <v>241</v>
      </c>
      <c r="C244" s="408" t="s">
        <v>792</v>
      </c>
      <c r="D244" s="407" t="s">
        <v>242</v>
      </c>
      <c r="E244" s="408" t="s">
        <v>240</v>
      </c>
      <c r="F244" s="408">
        <v>75</v>
      </c>
      <c r="G244" s="409">
        <v>0.92</v>
      </c>
      <c r="H244" s="470">
        <v>15</v>
      </c>
      <c r="I244" s="463">
        <v>15</v>
      </c>
      <c r="J244" s="408">
        <v>20</v>
      </c>
      <c r="K244" s="408">
        <v>20</v>
      </c>
      <c r="L244" s="408">
        <v>20</v>
      </c>
      <c r="M244" s="408">
        <v>20</v>
      </c>
      <c r="N244" s="208">
        <f t="shared" si="22"/>
        <v>1.0567132867132856</v>
      </c>
      <c r="O244" s="208">
        <f t="shared" si="22"/>
        <v>1.0567132867132856</v>
      </c>
      <c r="P244" s="208">
        <f t="shared" si="22"/>
        <v>1.0567132867132856</v>
      </c>
      <c r="Q244" s="208">
        <f t="shared" si="22"/>
        <v>1.0567132867132856</v>
      </c>
      <c r="R244" s="208"/>
      <c r="S244" s="208" t="str">
        <f>S206</f>
        <v>Custom</v>
      </c>
      <c r="T244" s="411" t="s">
        <v>140</v>
      </c>
      <c r="U244" s="411" t="s">
        <v>140</v>
      </c>
      <c r="V244" s="436" t="s">
        <v>823</v>
      </c>
      <c r="W244" s="158"/>
      <c r="X244" s="158"/>
      <c r="Y244" s="158"/>
      <c r="Z244" s="158"/>
      <c r="AA244" s="150"/>
      <c r="AB244" s="158"/>
      <c r="AC244" s="150"/>
      <c r="AD244" s="158"/>
      <c r="AE244" s="150"/>
      <c r="AF244" s="158"/>
      <c r="AG244" s="158"/>
      <c r="AH244" s="158"/>
      <c r="AI244" s="158"/>
      <c r="AJ244" s="158"/>
      <c r="AK244" s="158"/>
      <c r="AL244" s="158"/>
      <c r="AM244" s="158"/>
      <c r="AN244" s="158"/>
      <c r="AO244" s="158"/>
      <c r="AP244" s="158"/>
      <c r="AQ244" s="158"/>
      <c r="AR244" s="158"/>
      <c r="AS244" s="158"/>
      <c r="AT244" s="158"/>
    </row>
    <row r="245" spans="1:53">
      <c r="A245" s="5" t="str">
        <f t="shared" si="17"/>
        <v>Bus - SB Rebates -PTA_Water Heater 95% TE - Laundromat</v>
      </c>
      <c r="B245" s="407">
        <v>242</v>
      </c>
      <c r="C245" s="408" t="s">
        <v>792</v>
      </c>
      <c r="D245" s="407" t="s">
        <v>241</v>
      </c>
      <c r="E245" s="408" t="s">
        <v>240</v>
      </c>
      <c r="F245" s="408">
        <v>75</v>
      </c>
      <c r="G245" s="409">
        <v>0.92</v>
      </c>
      <c r="H245" s="470">
        <v>15</v>
      </c>
      <c r="I245" s="463">
        <v>15</v>
      </c>
      <c r="J245" s="408">
        <v>5</v>
      </c>
      <c r="K245" s="408">
        <v>5</v>
      </c>
      <c r="L245" s="408">
        <v>5</v>
      </c>
      <c r="M245" s="408">
        <v>5</v>
      </c>
      <c r="N245" s="208">
        <f t="shared" si="22"/>
        <v>1.8353441295546562</v>
      </c>
      <c r="O245" s="208">
        <f t="shared" si="22"/>
        <v>1.8353441295546562</v>
      </c>
      <c r="P245" s="208">
        <f t="shared" si="22"/>
        <v>1.8353441295546562</v>
      </c>
      <c r="Q245" s="208">
        <f t="shared" si="22"/>
        <v>1.8353441295546562</v>
      </c>
      <c r="R245" s="208"/>
      <c r="S245" s="208" t="str">
        <f>S207</f>
        <v>Custom</v>
      </c>
      <c r="T245" s="411" t="s">
        <v>140</v>
      </c>
      <c r="U245" s="411" t="s">
        <v>140</v>
      </c>
      <c r="V245" s="436" t="str">
        <f>V207</f>
        <v>See 'Laudromat Broiler Detail' Tab</v>
      </c>
      <c r="W245" s="158"/>
      <c r="X245" s="158"/>
      <c r="Y245" s="158"/>
      <c r="Z245" s="158"/>
      <c r="AA245" s="150"/>
      <c r="AB245" s="158"/>
      <c r="AC245" s="150"/>
      <c r="AD245" s="158"/>
      <c r="AE245" s="150"/>
      <c r="AF245" s="158"/>
      <c r="AG245" s="158"/>
      <c r="AH245" s="158"/>
      <c r="AI245" s="158"/>
      <c r="AJ245" s="158"/>
      <c r="AK245" s="158"/>
      <c r="AL245" s="158"/>
      <c r="AM245" s="158"/>
      <c r="AN245" s="158"/>
      <c r="AO245" s="158"/>
      <c r="AP245" s="158"/>
      <c r="AQ245" s="158"/>
      <c r="AR245" s="158"/>
      <c r="AS245" s="158"/>
      <c r="AT245" s="158"/>
    </row>
    <row r="246" spans="1:53">
      <c r="A246" s="5" t="str">
        <f t="shared" si="17"/>
        <v>Bus - CI Rebates_Boiler ≥88% AFUE, &lt;300MBh</v>
      </c>
      <c r="B246" s="407">
        <v>243</v>
      </c>
      <c r="C246" s="407" t="s">
        <v>711</v>
      </c>
      <c r="D246" s="407" t="s">
        <v>718</v>
      </c>
      <c r="E246" s="408" t="s">
        <v>240</v>
      </c>
      <c r="F246" s="408">
        <v>200</v>
      </c>
      <c r="G246" s="409">
        <v>0.79</v>
      </c>
      <c r="H246" s="470">
        <v>20</v>
      </c>
      <c r="I246" s="463">
        <v>20</v>
      </c>
      <c r="J246" s="408"/>
      <c r="K246" s="408">
        <v>0</v>
      </c>
      <c r="L246" s="408">
        <v>0</v>
      </c>
      <c r="M246" s="408">
        <v>0</v>
      </c>
      <c r="N246" s="208">
        <f>X246*Z246*((AB246-AD246)/AD246)/100000/F246</f>
        <v>1.2278048780487816</v>
      </c>
      <c r="O246" s="461">
        <f t="shared" ref="O246:Q265" si="23">N246</f>
        <v>1.2278048780487816</v>
      </c>
      <c r="P246" s="461">
        <f t="shared" si="23"/>
        <v>1.2278048780487816</v>
      </c>
      <c r="Q246" s="461">
        <f t="shared" si="23"/>
        <v>1.2278048780487816</v>
      </c>
      <c r="R246" s="411"/>
      <c r="S246" s="411" t="s">
        <v>1046</v>
      </c>
      <c r="T246" s="411" t="s">
        <v>343</v>
      </c>
      <c r="U246" s="411" t="s">
        <v>342</v>
      </c>
      <c r="V246" s="158" t="s">
        <v>340</v>
      </c>
      <c r="W246" s="496" t="s">
        <v>271</v>
      </c>
      <c r="X246" s="495">
        <v>1678</v>
      </c>
      <c r="Y246" s="150" t="s">
        <v>273</v>
      </c>
      <c r="Z246" s="424">
        <v>200000</v>
      </c>
      <c r="AA246" s="150" t="s">
        <v>341</v>
      </c>
      <c r="AB246" s="423">
        <v>0.88</v>
      </c>
      <c r="AC246" s="158" t="s">
        <v>248</v>
      </c>
      <c r="AD246" s="423">
        <v>0.82</v>
      </c>
      <c r="AE246" s="158"/>
      <c r="AF246" s="158"/>
      <c r="AG246" s="158"/>
      <c r="AH246" s="158"/>
      <c r="AI246" s="158"/>
      <c r="AJ246" s="158"/>
      <c r="AK246" s="158"/>
      <c r="AL246" s="158"/>
      <c r="AM246" s="158"/>
      <c r="AN246" s="158"/>
      <c r="AO246" s="158"/>
      <c r="AP246" s="158"/>
      <c r="AQ246" s="158"/>
      <c r="AR246" s="158"/>
      <c r="AS246" s="158"/>
      <c r="AT246" s="158"/>
      <c r="AV246" s="413"/>
      <c r="AW246" s="413"/>
      <c r="AX246" s="414"/>
      <c r="AY246" s="415"/>
      <c r="AZ246" s="416"/>
      <c r="BA246" s="448"/>
    </row>
    <row r="247" spans="1:53">
      <c r="A247" s="5" t="str">
        <f t="shared" si="17"/>
        <v>Bus - CI Rebates_Boiler ≥88% AFUE, ≥300MBh TE</v>
      </c>
      <c r="B247" s="407">
        <v>244</v>
      </c>
      <c r="C247" s="407" t="s">
        <v>711</v>
      </c>
      <c r="D247" s="407" t="s">
        <v>719</v>
      </c>
      <c r="E247" s="408" t="s">
        <v>240</v>
      </c>
      <c r="F247" s="408">
        <v>400</v>
      </c>
      <c r="G247" s="409">
        <v>0.79</v>
      </c>
      <c r="H247" s="470">
        <v>20</v>
      </c>
      <c r="I247" s="463">
        <v>20</v>
      </c>
      <c r="J247" s="408">
        <v>7</v>
      </c>
      <c r="K247" s="408">
        <v>7</v>
      </c>
      <c r="L247" s="408">
        <v>7</v>
      </c>
      <c r="M247" s="408">
        <v>7</v>
      </c>
      <c r="N247" s="208">
        <f>X247*Z247*((AB247-AD247)/AD247)/100000/F247</f>
        <v>1.6779999999999993</v>
      </c>
      <c r="O247" s="461">
        <f t="shared" si="23"/>
        <v>1.6779999999999993</v>
      </c>
      <c r="P247" s="461">
        <f t="shared" si="23"/>
        <v>1.6779999999999993</v>
      </c>
      <c r="Q247" s="461">
        <f t="shared" si="23"/>
        <v>1.6779999999999993</v>
      </c>
      <c r="R247" s="411"/>
      <c r="S247" s="411" t="s">
        <v>1046</v>
      </c>
      <c r="T247" s="411" t="s">
        <v>343</v>
      </c>
      <c r="U247" s="411" t="s">
        <v>342</v>
      </c>
      <c r="V247" s="158" t="s">
        <v>340</v>
      </c>
      <c r="W247" s="496" t="s">
        <v>271</v>
      </c>
      <c r="X247" s="495">
        <v>1678</v>
      </c>
      <c r="Y247" s="150" t="s">
        <v>273</v>
      </c>
      <c r="Z247" s="424">
        <v>400000</v>
      </c>
      <c r="AA247" s="150" t="s">
        <v>341</v>
      </c>
      <c r="AB247" s="423">
        <v>0.88</v>
      </c>
      <c r="AC247" s="158" t="s">
        <v>248</v>
      </c>
      <c r="AD247" s="423">
        <v>0.8</v>
      </c>
      <c r="AE247" s="158"/>
      <c r="AF247" s="158"/>
      <c r="AG247" s="158"/>
      <c r="AH247" s="158"/>
      <c r="AI247" s="158"/>
      <c r="AJ247" s="158"/>
      <c r="AK247" s="158"/>
      <c r="AL247" s="158"/>
      <c r="AM247" s="158"/>
      <c r="AN247" s="158"/>
      <c r="AO247" s="158"/>
      <c r="AP247" s="158"/>
      <c r="AQ247" s="158"/>
      <c r="AR247" s="158"/>
      <c r="AS247" s="158"/>
      <c r="AT247" s="158"/>
      <c r="AV247" s="413"/>
      <c r="AW247" s="413"/>
      <c r="AX247" s="414"/>
      <c r="AY247" s="415"/>
      <c r="AZ247" s="416"/>
      <c r="BA247" s="448"/>
    </row>
    <row r="248" spans="1:53">
      <c r="A248" s="5" t="str">
        <f t="shared" si="17"/>
        <v>Bus - CI Rebates_Boiler Reset Controls</v>
      </c>
      <c r="B248" s="407">
        <v>245</v>
      </c>
      <c r="C248" s="407" t="s">
        <v>711</v>
      </c>
      <c r="D248" s="407" t="s">
        <v>1065</v>
      </c>
      <c r="E248" s="408" t="s">
        <v>150</v>
      </c>
      <c r="F248" s="408">
        <v>200</v>
      </c>
      <c r="G248" s="409">
        <v>0.79</v>
      </c>
      <c r="H248" s="470">
        <v>20</v>
      </c>
      <c r="I248" s="463">
        <v>20</v>
      </c>
      <c r="J248" s="408">
        <v>12</v>
      </c>
      <c r="K248" s="408">
        <v>12</v>
      </c>
      <c r="L248" s="408">
        <v>12</v>
      </c>
      <c r="M248" s="408">
        <v>12</v>
      </c>
      <c r="N248" s="208">
        <f>X248*Z248/100</f>
        <v>1.3424</v>
      </c>
      <c r="O248" s="461">
        <f t="shared" si="23"/>
        <v>1.3424</v>
      </c>
      <c r="P248" s="461">
        <f t="shared" si="23"/>
        <v>1.3424</v>
      </c>
      <c r="Q248" s="461">
        <f t="shared" si="23"/>
        <v>1.3424</v>
      </c>
      <c r="R248" s="411"/>
      <c r="S248" s="411" t="s">
        <v>1046</v>
      </c>
      <c r="T248" s="411" t="s">
        <v>339</v>
      </c>
      <c r="U248" s="411" t="s">
        <v>338</v>
      </c>
      <c r="V248" s="158" t="s">
        <v>336</v>
      </c>
      <c r="W248" s="496" t="s">
        <v>271</v>
      </c>
      <c r="X248" s="495">
        <v>1678</v>
      </c>
      <c r="Y248" s="150" t="s">
        <v>337</v>
      </c>
      <c r="Z248" s="425">
        <v>0.08</v>
      </c>
      <c r="AA248" s="150"/>
      <c r="AB248" s="150"/>
      <c r="AC248" s="150"/>
      <c r="AD248" s="150"/>
      <c r="AE248" s="150"/>
      <c r="AF248" s="158"/>
      <c r="AG248" s="158"/>
      <c r="AH248" s="158"/>
      <c r="AI248" s="158"/>
      <c r="AJ248" s="158"/>
      <c r="AK248" s="158"/>
      <c r="AL248" s="158"/>
      <c r="AM248" s="158"/>
      <c r="AN248" s="158"/>
      <c r="AO248" s="158"/>
      <c r="AP248" s="158"/>
      <c r="AQ248" s="158"/>
      <c r="AR248" s="158"/>
      <c r="AS248" s="158"/>
      <c r="AT248" s="158"/>
      <c r="AV248" s="413"/>
      <c r="AW248" s="413"/>
      <c r="AX248" s="414"/>
      <c r="AY248" s="415"/>
      <c r="AZ248" s="416"/>
      <c r="BA248" s="448"/>
    </row>
    <row r="249" spans="1:53">
      <c r="A249" s="5" t="str">
        <f t="shared" si="17"/>
        <v>Bus - CI Rebates_Boiler Tune Up - Process</v>
      </c>
      <c r="B249" s="407">
        <v>246</v>
      </c>
      <c r="C249" s="407" t="s">
        <v>711</v>
      </c>
      <c r="D249" s="407" t="s">
        <v>335</v>
      </c>
      <c r="E249" s="408" t="s">
        <v>240</v>
      </c>
      <c r="F249" s="408">
        <v>2500</v>
      </c>
      <c r="G249" s="409">
        <v>0.79</v>
      </c>
      <c r="H249" s="470">
        <v>3</v>
      </c>
      <c r="I249" s="463">
        <v>3</v>
      </c>
      <c r="J249" s="408">
        <v>20</v>
      </c>
      <c r="K249" s="408">
        <v>20</v>
      </c>
      <c r="L249" s="408">
        <v>20</v>
      </c>
      <c r="M249" s="408">
        <v>20</v>
      </c>
      <c r="N249" s="208">
        <f>(X249*8766*Z249)/100*(1-AB249/AD249)</f>
        <v>0.83823507428978783</v>
      </c>
      <c r="O249" s="461">
        <f t="shared" si="23"/>
        <v>0.83823507428978783</v>
      </c>
      <c r="P249" s="461">
        <f t="shared" si="23"/>
        <v>0.83823507428978783</v>
      </c>
      <c r="Q249" s="461">
        <f t="shared" si="23"/>
        <v>0.83823507428978783</v>
      </c>
      <c r="R249" s="411"/>
      <c r="S249" s="411" t="s">
        <v>1046</v>
      </c>
      <c r="T249" s="411" t="s">
        <v>334</v>
      </c>
      <c r="U249" s="411" t="s">
        <v>333</v>
      </c>
      <c r="V249" s="158" t="s">
        <v>328</v>
      </c>
      <c r="W249" s="158" t="s">
        <v>332</v>
      </c>
      <c r="X249" s="424">
        <v>1</v>
      </c>
      <c r="Y249" s="158" t="s">
        <v>331</v>
      </c>
      <c r="Z249" s="431">
        <v>0.41899999999999998</v>
      </c>
      <c r="AA249" s="150" t="s">
        <v>330</v>
      </c>
      <c r="AB249" s="432">
        <v>0.82210000000000005</v>
      </c>
      <c r="AC249" s="150" t="s">
        <v>329</v>
      </c>
      <c r="AD249" s="432">
        <v>0.84130000000000005</v>
      </c>
      <c r="AE249" s="150"/>
      <c r="AF249" s="158"/>
      <c r="AG249" s="158"/>
      <c r="AH249" s="158"/>
      <c r="AI249" s="158"/>
      <c r="AJ249" s="158"/>
      <c r="AK249" s="158"/>
      <c r="AL249" s="158"/>
      <c r="AM249" s="158"/>
      <c r="AN249" s="158"/>
      <c r="AO249" s="158"/>
      <c r="AP249" s="158"/>
      <c r="AQ249" s="158"/>
      <c r="AR249" s="158"/>
      <c r="AS249" s="158"/>
      <c r="AT249" s="158"/>
      <c r="AV249" s="413"/>
      <c r="AW249" s="413"/>
      <c r="AX249" s="414"/>
      <c r="AY249" s="415"/>
      <c r="AZ249" s="416"/>
      <c r="BA249" s="448"/>
    </row>
    <row r="250" spans="1:53">
      <c r="A250" s="5" t="str">
        <f t="shared" si="17"/>
        <v>Bus - CI Rebates_Boiler Tune Up - Space Heating</v>
      </c>
      <c r="B250" s="407">
        <v>247</v>
      </c>
      <c r="C250" s="407" t="s">
        <v>711</v>
      </c>
      <c r="D250" s="407" t="s">
        <v>724</v>
      </c>
      <c r="E250" s="408" t="s">
        <v>240</v>
      </c>
      <c r="F250" s="408">
        <v>2500</v>
      </c>
      <c r="G250" s="409">
        <v>0.79</v>
      </c>
      <c r="H250" s="470">
        <v>3</v>
      </c>
      <c r="I250" s="463">
        <v>3</v>
      </c>
      <c r="J250" s="408"/>
      <c r="K250" s="408">
        <v>0</v>
      </c>
      <c r="L250" s="408">
        <v>0</v>
      </c>
      <c r="M250" s="408">
        <v>0</v>
      </c>
      <c r="N250" s="208">
        <f>AD250*(X250*((AB250/Z250)-1))/100000</f>
        <v>0.3918939301788088</v>
      </c>
      <c r="O250" s="461">
        <f t="shared" si="23"/>
        <v>0.3918939301788088</v>
      </c>
      <c r="P250" s="461">
        <f t="shared" si="23"/>
        <v>0.3918939301788088</v>
      </c>
      <c r="Q250" s="461">
        <f t="shared" si="23"/>
        <v>0.3918939301788088</v>
      </c>
      <c r="R250" s="411"/>
      <c r="S250" s="411" t="s">
        <v>1046</v>
      </c>
      <c r="T250" s="411" t="s">
        <v>327</v>
      </c>
      <c r="U250" s="411" t="s">
        <v>326</v>
      </c>
      <c r="V250" s="158" t="s">
        <v>322</v>
      </c>
      <c r="W250" s="496" t="s">
        <v>271</v>
      </c>
      <c r="X250" s="495">
        <v>1678</v>
      </c>
      <c r="Y250" s="150" t="s">
        <v>325</v>
      </c>
      <c r="Z250" s="432">
        <v>0.82210000000000005</v>
      </c>
      <c r="AA250" s="150" t="s">
        <v>324</v>
      </c>
      <c r="AB250" s="432">
        <v>0.84130000000000005</v>
      </c>
      <c r="AC250" s="158" t="s">
        <v>323</v>
      </c>
      <c r="AD250" s="433">
        <v>1000</v>
      </c>
      <c r="AE250" s="158"/>
      <c r="AF250" s="158"/>
      <c r="AG250" s="158"/>
      <c r="AH250" s="158"/>
      <c r="AI250" s="158"/>
      <c r="AJ250" s="158"/>
      <c r="AK250" s="158"/>
      <c r="AL250" s="158"/>
      <c r="AM250" s="158"/>
      <c r="AN250" s="158"/>
      <c r="AO250" s="158"/>
      <c r="AP250" s="158"/>
      <c r="AQ250" s="158"/>
      <c r="AR250" s="158"/>
      <c r="AS250" s="158"/>
      <c r="AT250" s="158"/>
      <c r="AV250" s="413"/>
      <c r="AW250" s="413"/>
      <c r="AX250" s="414"/>
      <c r="AY250" s="415"/>
      <c r="AZ250" s="416"/>
      <c r="BA250" s="448"/>
    </row>
    <row r="251" spans="1:53">
      <c r="A251" s="5" t="str">
        <f t="shared" si="17"/>
        <v>Bus - CI Rebates_Condensing Unit Heater</v>
      </c>
      <c r="B251" s="407">
        <v>248</v>
      </c>
      <c r="C251" s="407" t="s">
        <v>711</v>
      </c>
      <c r="D251" s="407" t="s">
        <v>321</v>
      </c>
      <c r="E251" s="408" t="s">
        <v>240</v>
      </c>
      <c r="F251" s="408">
        <v>150</v>
      </c>
      <c r="G251" s="409">
        <v>0.79</v>
      </c>
      <c r="H251" s="470">
        <v>12</v>
      </c>
      <c r="I251" s="463">
        <v>12</v>
      </c>
      <c r="J251" s="408"/>
      <c r="K251" s="408">
        <v>0</v>
      </c>
      <c r="L251" s="408">
        <v>0</v>
      </c>
      <c r="M251" s="408">
        <v>0</v>
      </c>
      <c r="N251" s="208">
        <f>266/F251</f>
        <v>1.7733333333333334</v>
      </c>
      <c r="O251" s="461">
        <f t="shared" si="23"/>
        <v>1.7733333333333334</v>
      </c>
      <c r="P251" s="461">
        <f t="shared" si="23"/>
        <v>1.7733333333333334</v>
      </c>
      <c r="Q251" s="461">
        <f t="shared" si="23"/>
        <v>1.7733333333333334</v>
      </c>
      <c r="R251" s="411"/>
      <c r="S251" s="411" t="s">
        <v>1046</v>
      </c>
      <c r="T251" s="411" t="s">
        <v>320</v>
      </c>
      <c r="U251" s="411" t="s">
        <v>319</v>
      </c>
      <c r="V251" s="158" t="s">
        <v>318</v>
      </c>
      <c r="W251" s="158"/>
      <c r="X251" s="158"/>
      <c r="Y251" s="158"/>
      <c r="Z251" s="158"/>
      <c r="AA251" s="150"/>
      <c r="AB251" s="158"/>
      <c r="AC251" s="150"/>
      <c r="AD251" s="158"/>
      <c r="AE251" s="150"/>
      <c r="AF251" s="158"/>
      <c r="AG251" s="158"/>
      <c r="AH251" s="158"/>
      <c r="AI251" s="158"/>
      <c r="AJ251" s="158"/>
      <c r="AK251" s="158"/>
      <c r="AL251" s="158"/>
      <c r="AM251" s="158"/>
      <c r="AN251" s="158"/>
      <c r="AO251" s="158"/>
      <c r="AP251" s="158"/>
      <c r="AQ251" s="158"/>
      <c r="AR251" s="158"/>
      <c r="AS251" s="158"/>
      <c r="AT251" s="158"/>
      <c r="AV251" s="413"/>
      <c r="AW251" s="413"/>
      <c r="AX251" s="414"/>
      <c r="AY251" s="415"/>
      <c r="AZ251" s="416"/>
      <c r="BA251" s="448"/>
    </row>
    <row r="252" spans="1:53">
      <c r="A252" s="5" t="str">
        <f t="shared" si="17"/>
        <v>Bus - CI Rebates_DCV - Kitchen</v>
      </c>
      <c r="B252" s="407">
        <v>249</v>
      </c>
      <c r="C252" s="407" t="s">
        <v>711</v>
      </c>
      <c r="D252" s="407" t="s">
        <v>312</v>
      </c>
      <c r="E252" s="408" t="s">
        <v>150</v>
      </c>
      <c r="F252" s="408">
        <v>1</v>
      </c>
      <c r="G252" s="409">
        <v>0.79</v>
      </c>
      <c r="H252" s="470">
        <v>15</v>
      </c>
      <c r="I252" s="463">
        <v>15</v>
      </c>
      <c r="J252" s="408">
        <v>5</v>
      </c>
      <c r="K252" s="408">
        <v>5</v>
      </c>
      <c r="L252" s="408">
        <v>5</v>
      </c>
      <c r="M252" s="408">
        <v>5</v>
      </c>
      <c r="N252" s="208">
        <f>X252*Z252*AB252/(AD252*100000)</f>
        <v>5998.5</v>
      </c>
      <c r="O252" s="461">
        <f t="shared" si="23"/>
        <v>5998.5</v>
      </c>
      <c r="P252" s="461">
        <f t="shared" si="23"/>
        <v>5998.5</v>
      </c>
      <c r="Q252" s="461">
        <f t="shared" si="23"/>
        <v>5998.5</v>
      </c>
      <c r="R252" s="411"/>
      <c r="S252" s="411" t="s">
        <v>1046</v>
      </c>
      <c r="T252" s="411" t="s">
        <v>311</v>
      </c>
      <c r="U252" s="411" t="s">
        <v>310</v>
      </c>
      <c r="V252" s="158" t="s">
        <v>306</v>
      </c>
      <c r="W252" s="158" t="s">
        <v>305</v>
      </c>
      <c r="X252" s="158">
        <v>430</v>
      </c>
      <c r="Y252" s="158" t="s">
        <v>309</v>
      </c>
      <c r="Z252" s="158">
        <v>7.75</v>
      </c>
      <c r="AA252" s="150" t="s">
        <v>308</v>
      </c>
      <c r="AB252" s="437">
        <v>144000</v>
      </c>
      <c r="AC252" s="150" t="s">
        <v>307</v>
      </c>
      <c r="AD252" s="423">
        <v>0.8</v>
      </c>
      <c r="AE252" s="150"/>
      <c r="AF252" s="158"/>
      <c r="AG252" s="158"/>
      <c r="AH252" s="158"/>
      <c r="AI252" s="158"/>
      <c r="AJ252" s="158"/>
      <c r="AK252" s="158"/>
      <c r="AL252" s="158"/>
      <c r="AM252" s="158"/>
      <c r="AN252" s="158"/>
      <c r="AO252" s="158"/>
      <c r="AP252" s="158"/>
      <c r="AQ252" s="158"/>
      <c r="AR252" s="158"/>
      <c r="AS252" s="158"/>
      <c r="AT252" s="158"/>
      <c r="AV252" s="413"/>
      <c r="AW252" s="413"/>
      <c r="AX252" s="414"/>
      <c r="AY252" s="415"/>
      <c r="AZ252" s="416"/>
      <c r="BA252" s="448"/>
    </row>
    <row r="253" spans="1:53">
      <c r="A253" s="5" t="str">
        <f t="shared" si="17"/>
        <v>Bus - CI Rebates_Direct Fired Heaters</v>
      </c>
      <c r="B253" s="407">
        <v>250</v>
      </c>
      <c r="C253" s="407" t="s">
        <v>711</v>
      </c>
      <c r="D253" s="407" t="s">
        <v>317</v>
      </c>
      <c r="E253" s="408" t="s">
        <v>240</v>
      </c>
      <c r="F253" s="408">
        <v>150</v>
      </c>
      <c r="G253" s="409">
        <v>0.79</v>
      </c>
      <c r="H253" s="470">
        <v>20</v>
      </c>
      <c r="I253" s="463">
        <v>20</v>
      </c>
      <c r="J253" s="408"/>
      <c r="K253" s="408">
        <v>0</v>
      </c>
      <c r="L253" s="408">
        <v>0</v>
      </c>
      <c r="M253" s="408">
        <v>0</v>
      </c>
      <c r="N253" s="208">
        <f>AF253*X253*(Z253/AB253-1)/100000</f>
        <v>2.5169999999999986</v>
      </c>
      <c r="O253" s="461">
        <f t="shared" si="23"/>
        <v>2.5169999999999986</v>
      </c>
      <c r="P253" s="461">
        <f t="shared" si="23"/>
        <v>2.5169999999999986</v>
      </c>
      <c r="Q253" s="461">
        <f t="shared" si="23"/>
        <v>2.5169999999999986</v>
      </c>
      <c r="R253" s="411"/>
      <c r="S253" s="411" t="s">
        <v>140</v>
      </c>
      <c r="T253" s="411" t="s">
        <v>140</v>
      </c>
      <c r="U253" s="411" t="s">
        <v>140</v>
      </c>
      <c r="V253" s="158" t="s">
        <v>313</v>
      </c>
      <c r="W253" s="158" t="s">
        <v>273</v>
      </c>
      <c r="X253" s="158">
        <v>1000</v>
      </c>
      <c r="Y253" s="158" t="s">
        <v>316</v>
      </c>
      <c r="Z253" s="423">
        <v>0.92</v>
      </c>
      <c r="AA253" s="150" t="s">
        <v>315</v>
      </c>
      <c r="AB253" s="423">
        <v>0.8</v>
      </c>
      <c r="AC253" s="494" t="s">
        <v>302</v>
      </c>
      <c r="AD253" s="496">
        <f>(1540+1782)/2</f>
        <v>1661</v>
      </c>
      <c r="AE253" s="494" t="s">
        <v>314</v>
      </c>
      <c r="AF253" s="496">
        <v>1678</v>
      </c>
      <c r="AG253" s="158"/>
      <c r="AH253" s="158"/>
      <c r="AI253" s="158"/>
      <c r="AJ253" s="158"/>
      <c r="AK253" s="158"/>
      <c r="AL253" s="158"/>
      <c r="AM253" s="158"/>
      <c r="AN253" s="158"/>
      <c r="AO253" s="158"/>
      <c r="AP253" s="158"/>
      <c r="AQ253" s="158"/>
      <c r="AR253" s="158"/>
      <c r="AS253" s="158"/>
      <c r="AT253" s="158"/>
      <c r="AV253" s="413"/>
      <c r="AW253" s="413"/>
      <c r="AX253" s="414"/>
      <c r="AY253" s="415"/>
      <c r="AZ253" s="416"/>
      <c r="BA253" s="448"/>
    </row>
    <row r="254" spans="1:53">
      <c r="A254" s="5" t="str">
        <f t="shared" si="17"/>
        <v>Bus - CI Rebates_High Speed Washer - Hotel/Motel/Hospital</v>
      </c>
      <c r="B254" s="407">
        <v>251</v>
      </c>
      <c r="C254" s="407" t="s">
        <v>711</v>
      </c>
      <c r="D254" s="407" t="s">
        <v>238</v>
      </c>
      <c r="E254" s="408" t="s">
        <v>237</v>
      </c>
      <c r="F254" s="408">
        <v>250</v>
      </c>
      <c r="G254" s="409">
        <v>0.79</v>
      </c>
      <c r="H254" s="470">
        <v>7</v>
      </c>
      <c r="I254" s="463">
        <v>7</v>
      </c>
      <c r="J254" s="408">
        <v>4</v>
      </c>
      <c r="K254" s="408">
        <v>4</v>
      </c>
      <c r="L254" s="408">
        <v>4</v>
      </c>
      <c r="M254" s="408">
        <v>4</v>
      </c>
      <c r="N254" s="208">
        <f>X254*Z254*AB254*AD254*AF254/AH254/100000*AJ254*AL254/F254</f>
        <v>11.243232000000003</v>
      </c>
      <c r="O254" s="461">
        <f t="shared" si="23"/>
        <v>11.243232000000003</v>
      </c>
      <c r="P254" s="461">
        <f t="shared" si="23"/>
        <v>11.243232000000003</v>
      </c>
      <c r="Q254" s="461">
        <f t="shared" si="23"/>
        <v>11.243232000000003</v>
      </c>
      <c r="R254" s="411"/>
      <c r="S254" s="411" t="s">
        <v>1046</v>
      </c>
      <c r="T254" s="411" t="s">
        <v>236</v>
      </c>
      <c r="U254" s="411" t="s">
        <v>235</v>
      </c>
      <c r="V254" s="436"/>
      <c r="W254" s="158" t="s">
        <v>234</v>
      </c>
      <c r="X254" s="158">
        <v>10.4</v>
      </c>
      <c r="Y254" s="158" t="s">
        <v>233</v>
      </c>
      <c r="Z254" s="158">
        <v>360</v>
      </c>
      <c r="AA254" s="150" t="s">
        <v>232</v>
      </c>
      <c r="AB254" s="424">
        <v>250</v>
      </c>
      <c r="AC254" s="150" t="s">
        <v>231</v>
      </c>
      <c r="AD254" s="429">
        <v>0.25</v>
      </c>
      <c r="AE254" s="150" t="s">
        <v>230</v>
      </c>
      <c r="AF254" s="424">
        <v>1200</v>
      </c>
      <c r="AG254" s="423" t="s">
        <v>229</v>
      </c>
      <c r="AH254" s="423">
        <v>0.6</v>
      </c>
      <c r="AI254" s="158" t="s">
        <v>228</v>
      </c>
      <c r="AJ254" s="423">
        <v>0.91</v>
      </c>
      <c r="AK254" s="158" t="s">
        <v>227</v>
      </c>
      <c r="AL254" s="429">
        <v>0.66</v>
      </c>
      <c r="AM254" s="158"/>
      <c r="AN254" s="158"/>
      <c r="AO254" s="158"/>
      <c r="AP254" s="158"/>
      <c r="AQ254" s="158"/>
      <c r="AR254" s="158"/>
      <c r="AS254" s="158"/>
      <c r="AT254" s="158"/>
      <c r="AV254" s="413"/>
      <c r="AW254" s="413"/>
      <c r="AX254" s="414"/>
      <c r="AY254" s="415"/>
      <c r="AZ254" s="416"/>
      <c r="BA254" s="448"/>
    </row>
    <row r="255" spans="1:53">
      <c r="A255" s="5" t="str">
        <f t="shared" si="17"/>
        <v>Bus - CI Rebates_Infrared Heater</v>
      </c>
      <c r="B255" s="407">
        <v>252</v>
      </c>
      <c r="C255" s="407" t="s">
        <v>711</v>
      </c>
      <c r="D255" s="407" t="s">
        <v>295</v>
      </c>
      <c r="E255" s="408" t="s">
        <v>240</v>
      </c>
      <c r="F255" s="408">
        <v>150</v>
      </c>
      <c r="G255" s="409">
        <v>0.79</v>
      </c>
      <c r="H255" s="470">
        <v>12</v>
      </c>
      <c r="I255" s="463">
        <v>12</v>
      </c>
      <c r="J255" s="408"/>
      <c r="K255" s="408">
        <v>0</v>
      </c>
      <c r="L255" s="408">
        <v>0</v>
      </c>
      <c r="M255" s="408">
        <v>0</v>
      </c>
      <c r="N255" s="208">
        <f>451/F255</f>
        <v>3.0066666666666668</v>
      </c>
      <c r="O255" s="461">
        <f t="shared" si="23"/>
        <v>3.0066666666666668</v>
      </c>
      <c r="P255" s="461">
        <f t="shared" si="23"/>
        <v>3.0066666666666668</v>
      </c>
      <c r="Q255" s="461">
        <f t="shared" si="23"/>
        <v>3.0066666666666668</v>
      </c>
      <c r="R255" s="411"/>
      <c r="S255" s="411" t="s">
        <v>1046</v>
      </c>
      <c r="T255" s="411" t="s">
        <v>294</v>
      </c>
      <c r="U255" s="411" t="s">
        <v>293</v>
      </c>
      <c r="V255" s="158" t="s">
        <v>291</v>
      </c>
      <c r="W255" s="158" t="s">
        <v>292</v>
      </c>
      <c r="X255" s="437">
        <v>150</v>
      </c>
      <c r="Y255" s="158"/>
      <c r="Z255" s="158"/>
      <c r="AA255" s="150"/>
      <c r="AB255" s="158"/>
      <c r="AC255" s="150"/>
      <c r="AD255" s="158"/>
      <c r="AE255" s="150"/>
      <c r="AF255" s="158"/>
      <c r="AG255" s="158"/>
      <c r="AH255" s="158"/>
      <c r="AI255" s="158"/>
      <c r="AJ255" s="158"/>
      <c r="AK255" s="158"/>
      <c r="AL255" s="158"/>
      <c r="AM255" s="158"/>
      <c r="AN255" s="158"/>
      <c r="AO255" s="158"/>
      <c r="AP255" s="158"/>
      <c r="AQ255" s="158"/>
      <c r="AR255" s="158"/>
      <c r="AS255" s="158"/>
      <c r="AT255" s="158"/>
      <c r="AV255" s="413"/>
      <c r="AW255" s="413"/>
      <c r="AX255" s="414"/>
      <c r="AY255" s="415"/>
      <c r="AZ255" s="416"/>
      <c r="BA255" s="448"/>
    </row>
    <row r="256" spans="1:53">
      <c r="A256" s="5" t="str">
        <f t="shared" si="17"/>
        <v>Bus - CI Rebates_Modulating Commercial Gas Clothes Dryer</v>
      </c>
      <c r="B256" s="407">
        <v>253</v>
      </c>
      <c r="C256" s="407" t="s">
        <v>711</v>
      </c>
      <c r="D256" s="407" t="s">
        <v>290</v>
      </c>
      <c r="E256" s="408" t="s">
        <v>150</v>
      </c>
      <c r="F256" s="408">
        <v>1</v>
      </c>
      <c r="G256" s="409">
        <v>0.79</v>
      </c>
      <c r="H256" s="470">
        <v>14</v>
      </c>
      <c r="I256" s="463">
        <v>14</v>
      </c>
      <c r="J256" s="408"/>
      <c r="K256" s="408">
        <v>0</v>
      </c>
      <c r="L256" s="408">
        <v>0</v>
      </c>
      <c r="M256" s="408">
        <v>0</v>
      </c>
      <c r="N256" s="208">
        <f>1483*0.18</f>
        <v>266.94</v>
      </c>
      <c r="O256" s="461">
        <f t="shared" si="23"/>
        <v>266.94</v>
      </c>
      <c r="P256" s="461">
        <f t="shared" si="23"/>
        <v>266.94</v>
      </c>
      <c r="Q256" s="461">
        <f t="shared" si="23"/>
        <v>266.94</v>
      </c>
      <c r="R256" s="411"/>
      <c r="S256" s="411" t="s">
        <v>1046</v>
      </c>
      <c r="T256" s="411" t="s">
        <v>289</v>
      </c>
      <c r="U256" s="411" t="s">
        <v>288</v>
      </c>
      <c r="V256" s="158" t="s">
        <v>187</v>
      </c>
      <c r="W256" s="158"/>
      <c r="X256" s="158"/>
      <c r="Y256" s="158"/>
      <c r="Z256" s="158"/>
      <c r="AA256" s="150"/>
      <c r="AB256" s="158"/>
      <c r="AC256" s="150"/>
      <c r="AD256" s="158"/>
      <c r="AE256" s="150"/>
      <c r="AF256" s="158"/>
      <c r="AG256" s="158"/>
      <c r="AH256" s="158"/>
      <c r="AI256" s="158"/>
      <c r="AJ256" s="158"/>
      <c r="AK256" s="158"/>
      <c r="AL256" s="158"/>
      <c r="AM256" s="158"/>
      <c r="AN256" s="158"/>
      <c r="AO256" s="158"/>
      <c r="AP256" s="158"/>
      <c r="AQ256" s="158"/>
      <c r="AR256" s="158"/>
      <c r="AS256" s="158"/>
      <c r="AT256" s="158"/>
      <c r="AV256" s="413"/>
      <c r="AW256" s="413"/>
      <c r="AX256" s="414"/>
      <c r="AY256" s="415"/>
      <c r="AZ256" s="416"/>
      <c r="BA256" s="448"/>
    </row>
    <row r="257" spans="1:53">
      <c r="A257" s="5" t="str">
        <f t="shared" si="17"/>
        <v>Bus - CI Rebates_Ozone Laundry</v>
      </c>
      <c r="B257" s="407">
        <v>254</v>
      </c>
      <c r="C257" s="407" t="s">
        <v>711</v>
      </c>
      <c r="D257" s="407" t="s">
        <v>287</v>
      </c>
      <c r="E257" s="408" t="s">
        <v>237</v>
      </c>
      <c r="F257" s="408">
        <v>250</v>
      </c>
      <c r="G257" s="409">
        <v>0.79</v>
      </c>
      <c r="H257" s="470">
        <v>10</v>
      </c>
      <c r="I257" s="463">
        <v>10</v>
      </c>
      <c r="J257" s="408"/>
      <c r="K257" s="408">
        <v>0</v>
      </c>
      <c r="L257" s="408">
        <v>0</v>
      </c>
      <c r="M257" s="408">
        <v>0</v>
      </c>
      <c r="N257" s="208">
        <f>X257*Z257*AB257*AD257/AF257</f>
        <v>30.722664192350027</v>
      </c>
      <c r="O257" s="461">
        <f t="shared" si="23"/>
        <v>30.722664192350027</v>
      </c>
      <c r="P257" s="461">
        <f t="shared" si="23"/>
        <v>30.722664192350027</v>
      </c>
      <c r="Q257" s="461">
        <f t="shared" si="23"/>
        <v>30.722664192350027</v>
      </c>
      <c r="R257" s="411"/>
      <c r="S257" s="411" t="s">
        <v>1046</v>
      </c>
      <c r="T257" s="411" t="s">
        <v>286</v>
      </c>
      <c r="U257" s="411" t="s">
        <v>285</v>
      </c>
      <c r="V257" s="158" t="s">
        <v>278</v>
      </c>
      <c r="W257" s="158" t="s">
        <v>284</v>
      </c>
      <c r="X257" s="438">
        <v>8.8500000000000002E-3</v>
      </c>
      <c r="Y257" s="158" t="s">
        <v>283</v>
      </c>
      <c r="Z257" s="424">
        <v>916150</v>
      </c>
      <c r="AA257" s="150" t="s">
        <v>282</v>
      </c>
      <c r="AB257" s="158">
        <v>1.19</v>
      </c>
      <c r="AC257" s="150" t="s">
        <v>281</v>
      </c>
      <c r="AD257" s="423">
        <v>0.81</v>
      </c>
      <c r="AE257" s="150" t="s">
        <v>237</v>
      </c>
      <c r="AF257" s="158">
        <v>254.38</v>
      </c>
      <c r="AG257" s="158" t="s">
        <v>280</v>
      </c>
      <c r="AH257" s="429">
        <v>0.25</v>
      </c>
      <c r="AI257" s="158" t="s">
        <v>279</v>
      </c>
      <c r="AJ257" s="158">
        <v>2.0299999999999998</v>
      </c>
      <c r="AK257" s="158"/>
      <c r="AL257" s="158"/>
      <c r="AM257" s="158"/>
      <c r="AN257" s="158"/>
      <c r="AO257" s="158"/>
      <c r="AP257" s="158"/>
      <c r="AQ257" s="158"/>
      <c r="AR257" s="158"/>
      <c r="AS257" s="158"/>
      <c r="AT257" s="158"/>
      <c r="AV257" s="413"/>
      <c r="AW257" s="413"/>
      <c r="AX257" s="414"/>
      <c r="AY257" s="415"/>
      <c r="AZ257" s="416"/>
      <c r="BA257" s="448"/>
    </row>
    <row r="258" spans="1:53">
      <c r="A258" s="5" t="str">
        <f t="shared" si="17"/>
        <v>Bus - CI Rebates_Pipe Insulation - HW Small 1" to 2"</v>
      </c>
      <c r="B258" s="407">
        <v>255</v>
      </c>
      <c r="C258" s="407" t="s">
        <v>711</v>
      </c>
      <c r="D258" s="407" t="s">
        <v>217</v>
      </c>
      <c r="E258" s="408" t="s">
        <v>210</v>
      </c>
      <c r="F258" s="408">
        <v>75</v>
      </c>
      <c r="G258" s="409">
        <v>0.79</v>
      </c>
      <c r="H258" s="470">
        <v>15</v>
      </c>
      <c r="I258" s="463">
        <v>15</v>
      </c>
      <c r="J258" s="408">
        <v>8</v>
      </c>
      <c r="K258" s="408">
        <v>8</v>
      </c>
      <c r="L258" s="408">
        <v>8</v>
      </c>
      <c r="M258" s="408">
        <v>8</v>
      </c>
      <c r="N258" s="208">
        <f>'Pipe Insulation Detail'!$B$47</f>
        <v>2.6588140926267867</v>
      </c>
      <c r="O258" s="461">
        <f t="shared" si="23"/>
        <v>2.6588140926267867</v>
      </c>
      <c r="P258" s="461">
        <f t="shared" si="23"/>
        <v>2.6588140926267867</v>
      </c>
      <c r="Q258" s="461">
        <f t="shared" si="23"/>
        <v>2.6588140926267867</v>
      </c>
      <c r="R258" s="411"/>
      <c r="S258" s="411" t="s">
        <v>1046</v>
      </c>
      <c r="T258" s="411" t="s">
        <v>201</v>
      </c>
      <c r="U258" s="411" t="s">
        <v>200</v>
      </c>
      <c r="V258" s="439" t="s">
        <v>825</v>
      </c>
      <c r="W258" s="158"/>
      <c r="X258" s="158"/>
      <c r="Y258" s="158"/>
      <c r="Z258" s="158"/>
      <c r="AA258" s="150"/>
      <c r="AB258" s="158"/>
      <c r="AC258" s="150"/>
      <c r="AD258" s="158"/>
      <c r="AE258" s="150"/>
      <c r="AF258" s="158"/>
      <c r="AG258" s="158"/>
      <c r="AH258" s="158"/>
      <c r="AI258" s="158"/>
      <c r="AJ258" s="158"/>
      <c r="AK258" s="158"/>
      <c r="AL258" s="158"/>
      <c r="AM258" s="158"/>
      <c r="AN258" s="158"/>
      <c r="AO258" s="158"/>
      <c r="AP258" s="158"/>
      <c r="AQ258" s="158"/>
      <c r="AR258" s="158"/>
      <c r="AS258" s="158"/>
      <c r="AT258" s="158"/>
      <c r="AV258" s="413"/>
      <c r="AW258" s="413"/>
      <c r="AX258" s="414"/>
      <c r="AY258" s="415"/>
      <c r="AZ258" s="416"/>
      <c r="BA258" s="448"/>
    </row>
    <row r="259" spans="1:53">
      <c r="A259" s="5" t="str">
        <f t="shared" si="17"/>
        <v>Bus - CI Rebates_Pipe Insulation - HW Medium 2.1" to 4"</v>
      </c>
      <c r="B259" s="407">
        <v>256</v>
      </c>
      <c r="C259" s="407" t="s">
        <v>711</v>
      </c>
      <c r="D259" s="407" t="s">
        <v>216</v>
      </c>
      <c r="E259" s="408" t="s">
        <v>210</v>
      </c>
      <c r="F259" s="408">
        <v>75</v>
      </c>
      <c r="G259" s="409">
        <v>0.79</v>
      </c>
      <c r="H259" s="470">
        <v>15</v>
      </c>
      <c r="I259" s="463">
        <v>15</v>
      </c>
      <c r="J259" s="408">
        <v>12</v>
      </c>
      <c r="K259" s="408">
        <v>12</v>
      </c>
      <c r="L259" s="408">
        <v>12</v>
      </c>
      <c r="M259" s="408">
        <v>12</v>
      </c>
      <c r="N259" s="208">
        <f>'Pipe Insulation Detail'!$B$48</f>
        <v>5.2492031493764015</v>
      </c>
      <c r="O259" s="461">
        <f t="shared" si="23"/>
        <v>5.2492031493764015</v>
      </c>
      <c r="P259" s="461">
        <f t="shared" si="23"/>
        <v>5.2492031493764015</v>
      </c>
      <c r="Q259" s="461">
        <f t="shared" si="23"/>
        <v>5.2492031493764015</v>
      </c>
      <c r="R259" s="411"/>
      <c r="S259" s="411" t="s">
        <v>1046</v>
      </c>
      <c r="T259" s="411" t="s">
        <v>201</v>
      </c>
      <c r="U259" s="411" t="s">
        <v>200</v>
      </c>
      <c r="V259" s="439" t="s">
        <v>825</v>
      </c>
      <c r="W259" s="158"/>
      <c r="X259" s="158"/>
      <c r="Y259" s="158"/>
      <c r="Z259" s="158"/>
      <c r="AA259" s="150"/>
      <c r="AB259" s="158"/>
      <c r="AC259" s="150"/>
      <c r="AD259" s="158"/>
      <c r="AE259" s="150"/>
      <c r="AF259" s="158"/>
      <c r="AG259" s="158"/>
      <c r="AH259" s="158"/>
      <c r="AI259" s="158"/>
      <c r="AJ259" s="158"/>
      <c r="AK259" s="158"/>
      <c r="AL259" s="158"/>
      <c r="AM259" s="158"/>
      <c r="AN259" s="158"/>
      <c r="AO259" s="158"/>
      <c r="AP259" s="158"/>
      <c r="AQ259" s="158"/>
      <c r="AR259" s="158"/>
      <c r="AS259" s="158"/>
      <c r="AT259" s="158"/>
      <c r="AV259" s="413"/>
      <c r="AW259" s="413"/>
      <c r="AX259" s="414"/>
      <c r="AY259" s="415"/>
      <c r="AZ259" s="416"/>
      <c r="BA259" s="448"/>
    </row>
    <row r="260" spans="1:53">
      <c r="A260" s="5" t="str">
        <f t="shared" si="17"/>
        <v>Bus - CI Rebates_Pipe Insulation - HW Large &gt;4"</v>
      </c>
      <c r="B260" s="407">
        <v>257</v>
      </c>
      <c r="C260" s="407" t="s">
        <v>711</v>
      </c>
      <c r="D260" s="407" t="s">
        <v>215</v>
      </c>
      <c r="E260" s="408" t="s">
        <v>210</v>
      </c>
      <c r="F260" s="408">
        <v>75</v>
      </c>
      <c r="G260" s="409">
        <v>0.79</v>
      </c>
      <c r="H260" s="470">
        <v>15</v>
      </c>
      <c r="I260" s="463">
        <v>15</v>
      </c>
      <c r="J260" s="408">
        <v>14</v>
      </c>
      <c r="K260" s="408">
        <v>14</v>
      </c>
      <c r="L260" s="408">
        <v>14</v>
      </c>
      <c r="M260" s="408">
        <v>14</v>
      </c>
      <c r="N260" s="208">
        <f>'Pipe Insulation Detail'!$B$49</f>
        <v>9.0407613085908682</v>
      </c>
      <c r="O260" s="461">
        <f t="shared" si="23"/>
        <v>9.0407613085908682</v>
      </c>
      <c r="P260" s="461">
        <f t="shared" si="23"/>
        <v>9.0407613085908682</v>
      </c>
      <c r="Q260" s="461">
        <f t="shared" si="23"/>
        <v>9.0407613085908682</v>
      </c>
      <c r="R260" s="411"/>
      <c r="S260" s="411" t="s">
        <v>1046</v>
      </c>
      <c r="T260" s="411" t="s">
        <v>201</v>
      </c>
      <c r="U260" s="411" t="s">
        <v>200</v>
      </c>
      <c r="V260" s="439" t="s">
        <v>825</v>
      </c>
      <c r="W260" s="158"/>
      <c r="X260" s="158"/>
      <c r="Y260" s="158"/>
      <c r="Z260" s="158"/>
      <c r="AA260" s="150"/>
      <c r="AB260" s="158"/>
      <c r="AC260" s="150"/>
      <c r="AD260" s="158"/>
      <c r="AE260" s="150"/>
      <c r="AF260" s="158"/>
      <c r="AG260" s="158"/>
      <c r="AH260" s="158"/>
      <c r="AI260" s="158"/>
      <c r="AJ260" s="158"/>
      <c r="AK260" s="158"/>
      <c r="AL260" s="158"/>
      <c r="AM260" s="158"/>
      <c r="AN260" s="158"/>
      <c r="AO260" s="158"/>
      <c r="AP260" s="158"/>
      <c r="AQ260" s="158"/>
      <c r="AR260" s="158"/>
      <c r="AS260" s="158"/>
      <c r="AT260" s="158"/>
      <c r="AV260" s="413"/>
      <c r="AW260" s="413"/>
      <c r="AX260" s="414"/>
      <c r="AY260" s="415"/>
      <c r="AZ260" s="416"/>
      <c r="BA260" s="448"/>
    </row>
    <row r="261" spans="1:53">
      <c r="A261" s="5" t="str">
        <f t="shared" si="17"/>
        <v>Bus - CI Rebates_Pipe Insulation - Steam - Small 1" to 2"</v>
      </c>
      <c r="B261" s="407">
        <v>258</v>
      </c>
      <c r="C261" s="407" t="s">
        <v>711</v>
      </c>
      <c r="D261" s="407" t="s">
        <v>214</v>
      </c>
      <c r="E261" s="408" t="s">
        <v>210</v>
      </c>
      <c r="F261" s="408">
        <v>75</v>
      </c>
      <c r="G261" s="409">
        <v>0.79</v>
      </c>
      <c r="H261" s="470">
        <v>15</v>
      </c>
      <c r="I261" s="463">
        <v>15</v>
      </c>
      <c r="J261" s="408"/>
      <c r="K261" s="408">
        <v>0</v>
      </c>
      <c r="L261" s="408">
        <v>0</v>
      </c>
      <c r="M261" s="408">
        <v>0</v>
      </c>
      <c r="N261" s="208">
        <f>'Pipe Insulation Detail'!$B$50</f>
        <v>3.1854757047967208</v>
      </c>
      <c r="O261" s="461">
        <f t="shared" si="23"/>
        <v>3.1854757047967208</v>
      </c>
      <c r="P261" s="461">
        <f t="shared" si="23"/>
        <v>3.1854757047967208</v>
      </c>
      <c r="Q261" s="461">
        <f t="shared" si="23"/>
        <v>3.1854757047967208</v>
      </c>
      <c r="R261" s="411"/>
      <c r="S261" s="411" t="s">
        <v>1046</v>
      </c>
      <c r="T261" s="411" t="s">
        <v>201</v>
      </c>
      <c r="U261" s="411" t="s">
        <v>200</v>
      </c>
      <c r="V261" s="439" t="s">
        <v>825</v>
      </c>
      <c r="W261" s="158"/>
      <c r="X261" s="158"/>
      <c r="Y261" s="158"/>
      <c r="Z261" s="158"/>
      <c r="AA261" s="150"/>
      <c r="AB261" s="158"/>
      <c r="AC261" s="150"/>
      <c r="AD261" s="158"/>
      <c r="AE261" s="150"/>
      <c r="AF261" s="158"/>
      <c r="AG261" s="158"/>
      <c r="AH261" s="158"/>
      <c r="AI261" s="158"/>
      <c r="AJ261" s="158"/>
      <c r="AK261" s="158"/>
      <c r="AL261" s="158"/>
      <c r="AM261" s="158"/>
      <c r="AN261" s="158"/>
      <c r="AO261" s="158"/>
      <c r="AP261" s="158"/>
      <c r="AQ261" s="158"/>
      <c r="AR261" s="158"/>
      <c r="AS261" s="158"/>
      <c r="AT261" s="158"/>
      <c r="AV261" s="413"/>
      <c r="AW261" s="413"/>
      <c r="AX261" s="414"/>
      <c r="AY261" s="415"/>
      <c r="AZ261" s="416"/>
      <c r="BA261" s="448"/>
    </row>
    <row r="262" spans="1:53">
      <c r="A262" s="5" t="str">
        <f t="shared" si="17"/>
        <v>Bus - CI Rebates_Pipe Insulation - Steam - Med 2.1" to 5"</v>
      </c>
      <c r="B262" s="407">
        <v>259</v>
      </c>
      <c r="C262" s="407" t="s">
        <v>711</v>
      </c>
      <c r="D262" s="407" t="s">
        <v>213</v>
      </c>
      <c r="E262" s="408" t="s">
        <v>210</v>
      </c>
      <c r="F262" s="408">
        <v>75</v>
      </c>
      <c r="G262" s="409">
        <v>0.79</v>
      </c>
      <c r="H262" s="470">
        <v>15</v>
      </c>
      <c r="I262" s="463">
        <v>15</v>
      </c>
      <c r="J262" s="408"/>
      <c r="K262" s="408">
        <v>0</v>
      </c>
      <c r="L262" s="408">
        <v>0</v>
      </c>
      <c r="M262" s="408">
        <v>0</v>
      </c>
      <c r="N262" s="208">
        <f>'Pipe Insulation Detail'!$B$51</f>
        <v>13.148126788517139</v>
      </c>
      <c r="O262" s="461">
        <f t="shared" si="23"/>
        <v>13.148126788517139</v>
      </c>
      <c r="P262" s="461">
        <f t="shared" si="23"/>
        <v>13.148126788517139</v>
      </c>
      <c r="Q262" s="461">
        <f t="shared" si="23"/>
        <v>13.148126788517139</v>
      </c>
      <c r="R262" s="411"/>
      <c r="S262" s="411" t="s">
        <v>1046</v>
      </c>
      <c r="T262" s="411" t="s">
        <v>201</v>
      </c>
      <c r="U262" s="411" t="s">
        <v>200</v>
      </c>
      <c r="V262" s="439" t="s">
        <v>825</v>
      </c>
      <c r="W262" s="158"/>
      <c r="X262" s="158"/>
      <c r="Y262" s="158"/>
      <c r="Z262" s="158"/>
      <c r="AA262" s="150"/>
      <c r="AB262" s="158"/>
      <c r="AC262" s="150"/>
      <c r="AD262" s="158"/>
      <c r="AE262" s="150"/>
      <c r="AF262" s="158"/>
      <c r="AG262" s="158"/>
      <c r="AH262" s="158"/>
      <c r="AI262" s="158"/>
      <c r="AJ262" s="158"/>
      <c r="AK262" s="158"/>
      <c r="AL262" s="158"/>
      <c r="AM262" s="158"/>
      <c r="AN262" s="158"/>
      <c r="AO262" s="158"/>
      <c r="AP262" s="158"/>
      <c r="AQ262" s="158"/>
      <c r="AR262" s="158"/>
      <c r="AS262" s="158"/>
      <c r="AT262" s="158"/>
      <c r="AV262" s="413"/>
      <c r="AW262" s="413"/>
      <c r="AX262" s="414"/>
      <c r="AY262" s="415"/>
      <c r="AZ262" s="416"/>
      <c r="BA262" s="448"/>
    </row>
    <row r="263" spans="1:53">
      <c r="A263" s="5" t="str">
        <f t="shared" ref="A263:A326" si="24">C263&amp;"_"&amp;D263</f>
        <v>Bus - CI Rebates_Pipe Insulation - Steam - Large 5.1" to 8"</v>
      </c>
      <c r="B263" s="407">
        <v>260</v>
      </c>
      <c r="C263" s="407" t="s">
        <v>711</v>
      </c>
      <c r="D263" s="407" t="s">
        <v>212</v>
      </c>
      <c r="E263" s="408" t="s">
        <v>210</v>
      </c>
      <c r="F263" s="408">
        <v>75</v>
      </c>
      <c r="G263" s="409">
        <v>0.79</v>
      </c>
      <c r="H263" s="470">
        <v>15</v>
      </c>
      <c r="I263" s="463">
        <v>15</v>
      </c>
      <c r="J263" s="408">
        <v>8</v>
      </c>
      <c r="K263" s="408">
        <v>8</v>
      </c>
      <c r="L263" s="408">
        <v>8</v>
      </c>
      <c r="M263" s="408">
        <v>8</v>
      </c>
      <c r="N263" s="208">
        <f>'Pipe Insulation Detail'!$B$52</f>
        <v>24.25563238537794</v>
      </c>
      <c r="O263" s="461">
        <f t="shared" si="23"/>
        <v>24.25563238537794</v>
      </c>
      <c r="P263" s="461">
        <f t="shared" si="23"/>
        <v>24.25563238537794</v>
      </c>
      <c r="Q263" s="461">
        <f t="shared" si="23"/>
        <v>24.25563238537794</v>
      </c>
      <c r="R263" s="411"/>
      <c r="S263" s="411" t="s">
        <v>1046</v>
      </c>
      <c r="T263" s="411" t="s">
        <v>201</v>
      </c>
      <c r="U263" s="411" t="s">
        <v>200</v>
      </c>
      <c r="V263" s="439" t="s">
        <v>825</v>
      </c>
      <c r="W263" s="158"/>
      <c r="X263" s="158"/>
      <c r="Y263" s="158"/>
      <c r="Z263" s="158"/>
      <c r="AA263" s="150"/>
      <c r="AB263" s="158"/>
      <c r="AC263" s="150"/>
      <c r="AD263" s="158"/>
      <c r="AE263" s="150"/>
      <c r="AF263" s="158"/>
      <c r="AG263" s="158"/>
      <c r="AH263" s="158"/>
      <c r="AI263" s="158"/>
      <c r="AJ263" s="158"/>
      <c r="AK263" s="158"/>
      <c r="AL263" s="158"/>
      <c r="AM263" s="158"/>
      <c r="AN263" s="158"/>
      <c r="AO263" s="158"/>
      <c r="AP263" s="158"/>
      <c r="AQ263" s="158"/>
      <c r="AR263" s="158"/>
      <c r="AS263" s="158"/>
      <c r="AT263" s="158"/>
      <c r="AV263" s="413"/>
      <c r="AW263" s="413"/>
      <c r="AX263" s="414"/>
      <c r="AY263" s="415"/>
      <c r="AZ263" s="416"/>
      <c r="BA263" s="448"/>
    </row>
    <row r="264" spans="1:53">
      <c r="A264" s="5" t="str">
        <f t="shared" si="24"/>
        <v>Bus - CI Rebates_Pipe Insulation - Steam - X-Large &gt;8"</v>
      </c>
      <c r="B264" s="407">
        <v>261</v>
      </c>
      <c r="C264" s="407" t="s">
        <v>711</v>
      </c>
      <c r="D264" s="407" t="s">
        <v>211</v>
      </c>
      <c r="E264" s="408" t="s">
        <v>210</v>
      </c>
      <c r="F264" s="408">
        <v>75</v>
      </c>
      <c r="G264" s="409">
        <v>0.79</v>
      </c>
      <c r="H264" s="470">
        <v>15</v>
      </c>
      <c r="I264" s="463">
        <v>15</v>
      </c>
      <c r="J264" s="408"/>
      <c r="K264" s="408">
        <v>0</v>
      </c>
      <c r="L264" s="408">
        <v>0</v>
      </c>
      <c r="M264" s="408">
        <v>0</v>
      </c>
      <c r="N264" s="208">
        <f>'Pipe Insulation Detail'!$B$53</f>
        <v>35.984797966765058</v>
      </c>
      <c r="O264" s="461">
        <f t="shared" si="23"/>
        <v>35.984797966765058</v>
      </c>
      <c r="P264" s="461">
        <f t="shared" si="23"/>
        <v>35.984797966765058</v>
      </c>
      <c r="Q264" s="461">
        <f t="shared" si="23"/>
        <v>35.984797966765058</v>
      </c>
      <c r="R264" s="411"/>
      <c r="S264" s="411" t="s">
        <v>1046</v>
      </c>
      <c r="T264" s="411" t="s">
        <v>201</v>
      </c>
      <c r="U264" s="411" t="s">
        <v>200</v>
      </c>
      <c r="V264" s="439" t="s">
        <v>825</v>
      </c>
      <c r="W264" s="158"/>
      <c r="X264" s="158"/>
      <c r="Y264" s="158"/>
      <c r="Z264" s="158"/>
      <c r="AA264" s="150"/>
      <c r="AB264" s="158"/>
      <c r="AC264" s="150"/>
      <c r="AD264" s="158"/>
      <c r="AE264" s="150"/>
      <c r="AF264" s="158"/>
      <c r="AG264" s="158"/>
      <c r="AH264" s="158"/>
      <c r="AI264" s="158"/>
      <c r="AJ264" s="158"/>
      <c r="AK264" s="158"/>
      <c r="AL264" s="158"/>
      <c r="AM264" s="158"/>
      <c r="AN264" s="158"/>
      <c r="AO264" s="158"/>
      <c r="AP264" s="158"/>
      <c r="AQ264" s="158"/>
      <c r="AR264" s="158"/>
      <c r="AS264" s="158"/>
      <c r="AT264" s="158"/>
      <c r="AV264" s="413"/>
      <c r="AW264" s="413"/>
      <c r="AX264" s="414"/>
      <c r="AY264" s="415"/>
      <c r="AZ264" s="416"/>
      <c r="BA264" s="448"/>
    </row>
    <row r="265" spans="1:53">
      <c r="A265" s="5" t="str">
        <f t="shared" si="24"/>
        <v>Bus - CI Rebates_Pipe Insulation - Steam Med Fitting</v>
      </c>
      <c r="B265" s="407">
        <v>262</v>
      </c>
      <c r="C265" s="407" t="s">
        <v>711</v>
      </c>
      <c r="D265" s="407" t="s">
        <v>208</v>
      </c>
      <c r="E265" s="408" t="s">
        <v>150</v>
      </c>
      <c r="F265" s="408">
        <v>1</v>
      </c>
      <c r="G265" s="409">
        <v>0.79</v>
      </c>
      <c r="H265" s="470">
        <v>15</v>
      </c>
      <c r="I265" s="463">
        <v>15</v>
      </c>
      <c r="J265" s="408"/>
      <c r="K265" s="408">
        <v>0</v>
      </c>
      <c r="L265" s="408">
        <v>0</v>
      </c>
      <c r="M265" s="408">
        <v>0</v>
      </c>
      <c r="N265" s="208">
        <f>'Pipe Insulation Detail'!$B$55</f>
        <v>12.515179237984789</v>
      </c>
      <c r="O265" s="461">
        <f t="shared" si="23"/>
        <v>12.515179237984789</v>
      </c>
      <c r="P265" s="461">
        <f t="shared" si="23"/>
        <v>12.515179237984789</v>
      </c>
      <c r="Q265" s="461">
        <f t="shared" si="23"/>
        <v>12.515179237984789</v>
      </c>
      <c r="R265" s="411"/>
      <c r="S265" s="411" t="s">
        <v>1046</v>
      </c>
      <c r="T265" s="411" t="s">
        <v>201</v>
      </c>
      <c r="U265" s="411" t="s">
        <v>200</v>
      </c>
      <c r="V265" s="439" t="s">
        <v>825</v>
      </c>
      <c r="W265" s="158"/>
      <c r="X265" s="158"/>
      <c r="Y265" s="158"/>
      <c r="Z265" s="158"/>
      <c r="AA265" s="150"/>
      <c r="AB265" s="158"/>
      <c r="AC265" s="150"/>
      <c r="AD265" s="158"/>
      <c r="AE265" s="150"/>
      <c r="AF265" s="158"/>
      <c r="AG265" s="158"/>
      <c r="AH265" s="158"/>
      <c r="AI265" s="158"/>
      <c r="AJ265" s="158"/>
      <c r="AK265" s="158"/>
      <c r="AL265" s="158"/>
      <c r="AM265" s="158"/>
      <c r="AN265" s="158"/>
      <c r="AO265" s="158"/>
      <c r="AP265" s="158"/>
      <c r="AQ265" s="158"/>
      <c r="AR265" s="158"/>
      <c r="AS265" s="158"/>
      <c r="AT265" s="158"/>
      <c r="AV265" s="413"/>
      <c r="AW265" s="413"/>
      <c r="AX265" s="414"/>
      <c r="AY265" s="415"/>
      <c r="AZ265" s="416"/>
      <c r="BA265" s="448"/>
    </row>
    <row r="266" spans="1:53">
      <c r="A266" s="5" t="str">
        <f t="shared" si="24"/>
        <v>Bus - CI Rebates_Pipe Insulation - Steam Large Fitting</v>
      </c>
      <c r="B266" s="407">
        <v>263</v>
      </c>
      <c r="C266" s="407" t="s">
        <v>711</v>
      </c>
      <c r="D266" s="407" t="s">
        <v>207</v>
      </c>
      <c r="E266" s="408" t="s">
        <v>150</v>
      </c>
      <c r="F266" s="408">
        <v>1</v>
      </c>
      <c r="G266" s="409">
        <v>0.79</v>
      </c>
      <c r="H266" s="470">
        <v>15</v>
      </c>
      <c r="I266" s="463">
        <v>15</v>
      </c>
      <c r="J266" s="408">
        <v>20</v>
      </c>
      <c r="K266" s="408">
        <v>20</v>
      </c>
      <c r="L266" s="408">
        <v>20</v>
      </c>
      <c r="M266" s="408">
        <v>20</v>
      </c>
      <c r="N266" s="208">
        <f>'Pipe Insulation Detail'!$B$56</f>
        <v>51.249515380658096</v>
      </c>
      <c r="O266" s="461">
        <f t="shared" ref="O266:Q285" si="25">N266</f>
        <v>51.249515380658096</v>
      </c>
      <c r="P266" s="461">
        <f t="shared" si="25"/>
        <v>51.249515380658096</v>
      </c>
      <c r="Q266" s="461">
        <f t="shared" si="25"/>
        <v>51.249515380658096</v>
      </c>
      <c r="R266" s="411"/>
      <c r="S266" s="411" t="s">
        <v>1046</v>
      </c>
      <c r="T266" s="411" t="s">
        <v>201</v>
      </c>
      <c r="U266" s="411" t="s">
        <v>200</v>
      </c>
      <c r="V266" s="439" t="s">
        <v>825</v>
      </c>
      <c r="W266" s="158"/>
      <c r="X266" s="158"/>
      <c r="Y266" s="158"/>
      <c r="Z266" s="158"/>
      <c r="AA266" s="150"/>
      <c r="AB266" s="158"/>
      <c r="AC266" s="150"/>
      <c r="AD266" s="158"/>
      <c r="AE266" s="150"/>
      <c r="AF266" s="158"/>
      <c r="AG266" s="158"/>
      <c r="AH266" s="158"/>
      <c r="AI266" s="158"/>
      <c r="AJ266" s="158"/>
      <c r="AK266" s="158"/>
      <c r="AL266" s="158"/>
      <c r="AM266" s="158"/>
      <c r="AN266" s="158"/>
      <c r="AO266" s="158"/>
      <c r="AP266" s="158"/>
      <c r="AQ266" s="158"/>
      <c r="AR266" s="158"/>
      <c r="AS266" s="158"/>
      <c r="AT266" s="158"/>
      <c r="AV266" s="413"/>
      <c r="AW266" s="413"/>
      <c r="AX266" s="414"/>
      <c r="AY266" s="415"/>
      <c r="AZ266" s="416"/>
      <c r="BA266" s="448"/>
    </row>
    <row r="267" spans="1:53">
      <c r="A267" s="5" t="str">
        <f t="shared" si="24"/>
        <v>Bus - CI Rebates_Pipe Insulation - Steam X-Large Fitting</v>
      </c>
      <c r="B267" s="407">
        <v>264</v>
      </c>
      <c r="C267" s="407" t="s">
        <v>711</v>
      </c>
      <c r="D267" s="407" t="s">
        <v>206</v>
      </c>
      <c r="E267" s="408" t="s">
        <v>150</v>
      </c>
      <c r="F267" s="408">
        <v>1</v>
      </c>
      <c r="G267" s="409">
        <v>0.79</v>
      </c>
      <c r="H267" s="470">
        <v>15</v>
      </c>
      <c r="I267" s="463">
        <v>15</v>
      </c>
      <c r="J267" s="408"/>
      <c r="K267" s="408">
        <v>0</v>
      </c>
      <c r="L267" s="408">
        <v>0</v>
      </c>
      <c r="M267" s="408">
        <v>0</v>
      </c>
      <c r="N267" s="208">
        <f>'Pipe Insulation Detail'!$B$57</f>
        <v>99.138118398437726</v>
      </c>
      <c r="O267" s="461">
        <f t="shared" si="25"/>
        <v>99.138118398437726</v>
      </c>
      <c r="P267" s="461">
        <f t="shared" si="25"/>
        <v>99.138118398437726</v>
      </c>
      <c r="Q267" s="461">
        <f t="shared" si="25"/>
        <v>99.138118398437726</v>
      </c>
      <c r="R267" s="411"/>
      <c r="S267" s="411" t="s">
        <v>1046</v>
      </c>
      <c r="T267" s="411" t="s">
        <v>201</v>
      </c>
      <c r="U267" s="411" t="s">
        <v>200</v>
      </c>
      <c r="V267" s="439" t="s">
        <v>825</v>
      </c>
      <c r="W267" s="158"/>
      <c r="X267" s="158"/>
      <c r="Y267" s="158"/>
      <c r="Z267" s="158"/>
      <c r="AA267" s="150"/>
      <c r="AB267" s="158"/>
      <c r="AC267" s="150"/>
      <c r="AD267" s="158"/>
      <c r="AE267" s="150"/>
      <c r="AF267" s="158"/>
      <c r="AG267" s="158"/>
      <c r="AH267" s="158"/>
      <c r="AI267" s="158"/>
      <c r="AJ267" s="158"/>
      <c r="AK267" s="158"/>
      <c r="AL267" s="158"/>
      <c r="AM267" s="158"/>
      <c r="AN267" s="158"/>
      <c r="AO267" s="158"/>
      <c r="AP267" s="158"/>
      <c r="AQ267" s="158"/>
      <c r="AR267" s="158"/>
      <c r="AS267" s="158"/>
      <c r="AT267" s="158"/>
      <c r="AV267" s="413"/>
      <c r="AW267" s="413"/>
      <c r="AX267" s="414"/>
      <c r="AY267" s="415"/>
      <c r="AZ267" s="416"/>
      <c r="BA267" s="448"/>
    </row>
    <row r="268" spans="1:53">
      <c r="A268" s="5" t="str">
        <f t="shared" si="24"/>
        <v>Bus - CI Rebates_Pipe Insulation - Steam Med Valve</v>
      </c>
      <c r="B268" s="407">
        <v>265</v>
      </c>
      <c r="C268" s="407" t="s">
        <v>711</v>
      </c>
      <c r="D268" s="407" t="s">
        <v>204</v>
      </c>
      <c r="E268" s="408" t="s">
        <v>150</v>
      </c>
      <c r="F268" s="408">
        <v>1</v>
      </c>
      <c r="G268" s="409">
        <v>0.79</v>
      </c>
      <c r="H268" s="470">
        <v>15</v>
      </c>
      <c r="I268" s="463">
        <v>15</v>
      </c>
      <c r="J268" s="408"/>
      <c r="K268" s="408">
        <v>0</v>
      </c>
      <c r="L268" s="408">
        <v>0</v>
      </c>
      <c r="M268" s="408">
        <v>0</v>
      </c>
      <c r="N268" s="208">
        <f>'Pipe Insulation Detail'!$B$59</f>
        <v>37.423389683572815</v>
      </c>
      <c r="O268" s="461">
        <f t="shared" si="25"/>
        <v>37.423389683572815</v>
      </c>
      <c r="P268" s="461">
        <f t="shared" si="25"/>
        <v>37.423389683572815</v>
      </c>
      <c r="Q268" s="461">
        <f t="shared" si="25"/>
        <v>37.423389683572815</v>
      </c>
      <c r="R268" s="411"/>
      <c r="S268" s="411" t="s">
        <v>1046</v>
      </c>
      <c r="T268" s="411" t="s">
        <v>201</v>
      </c>
      <c r="U268" s="411" t="s">
        <v>200</v>
      </c>
      <c r="V268" s="439" t="s">
        <v>825</v>
      </c>
      <c r="W268" s="158"/>
      <c r="X268" s="158"/>
      <c r="Y268" s="158"/>
      <c r="Z268" s="158"/>
      <c r="AA268" s="150"/>
      <c r="AB268" s="158"/>
      <c r="AC268" s="150"/>
      <c r="AD268" s="158"/>
      <c r="AE268" s="150"/>
      <c r="AF268" s="158"/>
      <c r="AG268" s="158"/>
      <c r="AH268" s="158"/>
      <c r="AI268" s="158"/>
      <c r="AJ268" s="158"/>
      <c r="AK268" s="158"/>
      <c r="AL268" s="158"/>
      <c r="AM268" s="158"/>
      <c r="AN268" s="158"/>
      <c r="AO268" s="158"/>
      <c r="AP268" s="158"/>
      <c r="AQ268" s="158"/>
      <c r="AR268" s="158"/>
      <c r="AS268" s="158"/>
      <c r="AT268" s="158"/>
      <c r="AV268" s="413"/>
      <c r="AW268" s="413"/>
      <c r="AX268" s="414"/>
      <c r="AY268" s="415"/>
      <c r="AZ268" s="416"/>
      <c r="BA268" s="448"/>
    </row>
    <row r="269" spans="1:53">
      <c r="A269" s="5" t="str">
        <f t="shared" si="24"/>
        <v>Bus - CI Rebates_Pipe Insulation - Steam Large Valve</v>
      </c>
      <c r="B269" s="407">
        <v>266</v>
      </c>
      <c r="C269" s="407" t="s">
        <v>711</v>
      </c>
      <c r="D269" s="407" t="s">
        <v>203</v>
      </c>
      <c r="E269" s="408" t="s">
        <v>150</v>
      </c>
      <c r="F269" s="408">
        <v>1</v>
      </c>
      <c r="G269" s="409">
        <v>0.79</v>
      </c>
      <c r="H269" s="470">
        <v>15</v>
      </c>
      <c r="I269" s="463">
        <v>15</v>
      </c>
      <c r="J269" s="408">
        <v>20</v>
      </c>
      <c r="K269" s="408">
        <v>20</v>
      </c>
      <c r="L269" s="408">
        <v>20</v>
      </c>
      <c r="M269" s="408">
        <v>20</v>
      </c>
      <c r="N269" s="208">
        <f>'Pipe Insulation Detail'!$B$60</f>
        <v>107.52607289087437</v>
      </c>
      <c r="O269" s="461">
        <f t="shared" si="25"/>
        <v>107.52607289087437</v>
      </c>
      <c r="P269" s="461">
        <f t="shared" si="25"/>
        <v>107.52607289087437</v>
      </c>
      <c r="Q269" s="461">
        <f t="shared" si="25"/>
        <v>107.52607289087437</v>
      </c>
      <c r="R269" s="411"/>
      <c r="S269" s="411" t="s">
        <v>1046</v>
      </c>
      <c r="T269" s="411" t="s">
        <v>201</v>
      </c>
      <c r="U269" s="411" t="s">
        <v>200</v>
      </c>
      <c r="V269" s="439" t="s">
        <v>825</v>
      </c>
      <c r="W269" s="158"/>
      <c r="X269" s="158"/>
      <c r="Y269" s="158"/>
      <c r="Z269" s="158"/>
      <c r="AA269" s="150"/>
      <c r="AB269" s="158"/>
      <c r="AC269" s="150"/>
      <c r="AD269" s="158"/>
      <c r="AE269" s="150"/>
      <c r="AF269" s="158"/>
      <c r="AG269" s="158"/>
      <c r="AH269" s="158"/>
      <c r="AI269" s="158"/>
      <c r="AJ269" s="158"/>
      <c r="AK269" s="158"/>
      <c r="AL269" s="158"/>
      <c r="AM269" s="158"/>
      <c r="AN269" s="158"/>
      <c r="AO269" s="158"/>
      <c r="AP269" s="158"/>
      <c r="AQ269" s="158"/>
      <c r="AR269" s="158"/>
      <c r="AS269" s="158"/>
      <c r="AT269" s="158"/>
      <c r="AV269" s="413"/>
      <c r="AW269" s="413"/>
      <c r="AX269" s="414"/>
      <c r="AY269" s="415"/>
      <c r="AZ269" s="416"/>
      <c r="BA269" s="448"/>
    </row>
    <row r="270" spans="1:53">
      <c r="A270" s="5" t="str">
        <f t="shared" si="24"/>
        <v>Bus - CI Rebates_Pipe Insulation - Steam X-Large Valve</v>
      </c>
      <c r="B270" s="407">
        <v>267</v>
      </c>
      <c r="C270" s="407" t="s">
        <v>711</v>
      </c>
      <c r="D270" s="407" t="s">
        <v>202</v>
      </c>
      <c r="E270" s="408" t="s">
        <v>150</v>
      </c>
      <c r="F270" s="408">
        <v>1</v>
      </c>
      <c r="G270" s="409">
        <v>0.79</v>
      </c>
      <c r="H270" s="470">
        <v>15</v>
      </c>
      <c r="I270" s="463">
        <v>15</v>
      </c>
      <c r="J270" s="408"/>
      <c r="K270" s="408">
        <v>0</v>
      </c>
      <c r="L270" s="408">
        <v>0</v>
      </c>
      <c r="M270" s="408">
        <v>0</v>
      </c>
      <c r="N270" s="208">
        <f>'Pipe Insulation Detail'!$B$61</f>
        <v>175.06254164158375</v>
      </c>
      <c r="O270" s="461">
        <f t="shared" si="25"/>
        <v>175.06254164158375</v>
      </c>
      <c r="P270" s="461">
        <f t="shared" si="25"/>
        <v>175.06254164158375</v>
      </c>
      <c r="Q270" s="461">
        <f t="shared" si="25"/>
        <v>175.06254164158375</v>
      </c>
      <c r="R270" s="411"/>
      <c r="S270" s="411" t="s">
        <v>1046</v>
      </c>
      <c r="T270" s="411" t="s">
        <v>201</v>
      </c>
      <c r="U270" s="411" t="s">
        <v>200</v>
      </c>
      <c r="V270" s="439" t="s">
        <v>825</v>
      </c>
      <c r="W270" s="158"/>
      <c r="X270" s="158"/>
      <c r="Y270" s="158"/>
      <c r="Z270" s="158"/>
      <c r="AA270" s="150"/>
      <c r="AB270" s="158"/>
      <c r="AC270" s="150"/>
      <c r="AD270" s="158"/>
      <c r="AE270" s="150"/>
      <c r="AF270" s="158"/>
      <c r="AG270" s="158"/>
      <c r="AH270" s="158"/>
      <c r="AI270" s="158"/>
      <c r="AJ270" s="158"/>
      <c r="AK270" s="158"/>
      <c r="AL270" s="158"/>
      <c r="AM270" s="158"/>
      <c r="AN270" s="158"/>
      <c r="AO270" s="158"/>
      <c r="AP270" s="158"/>
      <c r="AQ270" s="158"/>
      <c r="AR270" s="158"/>
      <c r="AS270" s="158"/>
      <c r="AT270" s="158"/>
      <c r="AV270" s="413"/>
      <c r="AW270" s="413"/>
      <c r="AX270" s="414"/>
      <c r="AY270" s="415"/>
      <c r="AZ270" s="416"/>
      <c r="BA270" s="448"/>
    </row>
    <row r="271" spans="1:53">
      <c r="A271" s="5" t="str">
        <f t="shared" si="24"/>
        <v>Bus - CI Rebates_Pre Rinse Sprayer</v>
      </c>
      <c r="B271" s="407">
        <v>268</v>
      </c>
      <c r="C271" s="407" t="s">
        <v>711</v>
      </c>
      <c r="D271" s="407" t="s">
        <v>710</v>
      </c>
      <c r="E271" s="408" t="s">
        <v>150</v>
      </c>
      <c r="F271" s="408">
        <v>1</v>
      </c>
      <c r="G271" s="409">
        <v>0.79</v>
      </c>
      <c r="H271" s="470">
        <v>5</v>
      </c>
      <c r="I271" s="463">
        <v>5</v>
      </c>
      <c r="J271" s="408"/>
      <c r="K271" s="408">
        <v>0</v>
      </c>
      <c r="L271" s="408">
        <v>0</v>
      </c>
      <c r="M271" s="408">
        <v>0</v>
      </c>
      <c r="N271" s="461">
        <f>(X271-Z271)*60*AB271*AD271*8.33*1*(AF271-AH271)*(1/AJ271)/100000</f>
        <v>102.33405</v>
      </c>
      <c r="O271" s="461">
        <f t="shared" si="25"/>
        <v>102.33405</v>
      </c>
      <c r="P271" s="461">
        <f t="shared" si="25"/>
        <v>102.33405</v>
      </c>
      <c r="Q271" s="461">
        <f t="shared" si="25"/>
        <v>102.33405</v>
      </c>
      <c r="R271" s="411"/>
      <c r="S271" s="411" t="s">
        <v>1046</v>
      </c>
      <c r="T271" s="411" t="s">
        <v>351</v>
      </c>
      <c r="U271" s="411" t="s">
        <v>350</v>
      </c>
      <c r="V271" s="149" t="s">
        <v>344</v>
      </c>
      <c r="W271" s="412" t="s">
        <v>349</v>
      </c>
      <c r="X271" s="491">
        <v>1.23</v>
      </c>
      <c r="Y271" s="412" t="s">
        <v>348</v>
      </c>
      <c r="Z271" s="492">
        <v>0.98</v>
      </c>
      <c r="AA271" s="412" t="s">
        <v>347</v>
      </c>
      <c r="AB271" s="444">
        <v>3</v>
      </c>
      <c r="AC271" s="412" t="s">
        <v>346</v>
      </c>
      <c r="AD271" s="412">
        <v>312</v>
      </c>
      <c r="AE271" s="412" t="s">
        <v>251</v>
      </c>
      <c r="AF271" s="445">
        <f>70+AH271</f>
        <v>124.1</v>
      </c>
      <c r="AG271" s="412" t="s">
        <v>250</v>
      </c>
      <c r="AH271" s="490">
        <v>54.1</v>
      </c>
      <c r="AI271" s="412" t="s">
        <v>345</v>
      </c>
      <c r="AJ271" s="418">
        <v>0.8</v>
      </c>
      <c r="AK271" s="158"/>
      <c r="AL271" s="158"/>
      <c r="AM271" s="158"/>
      <c r="AN271" s="158"/>
      <c r="AO271" s="158"/>
      <c r="AP271" s="158"/>
      <c r="AQ271" s="158"/>
      <c r="AR271" s="158"/>
      <c r="AS271" s="158"/>
      <c r="AT271" s="158"/>
      <c r="AV271" s="413"/>
      <c r="AW271" s="413"/>
      <c r="AX271" s="414"/>
      <c r="AY271" s="415"/>
      <c r="AZ271" s="416"/>
      <c r="BA271" s="448"/>
    </row>
    <row r="272" spans="1:53">
      <c r="A272" s="5" t="str">
        <f t="shared" si="24"/>
        <v>Bus - CI Rebates_Steam Boiler ≥82% AFUE, &gt;300MBh TE</v>
      </c>
      <c r="B272" s="407">
        <v>269</v>
      </c>
      <c r="C272" s="407" t="s">
        <v>711</v>
      </c>
      <c r="D272" s="407" t="s">
        <v>723</v>
      </c>
      <c r="E272" s="408" t="s">
        <v>240</v>
      </c>
      <c r="F272" s="408">
        <v>500</v>
      </c>
      <c r="G272" s="409">
        <v>0.79</v>
      </c>
      <c r="H272" s="470">
        <v>20</v>
      </c>
      <c r="I272" s="463">
        <v>20</v>
      </c>
      <c r="J272" s="408">
        <v>5</v>
      </c>
      <c r="K272" s="408">
        <v>5</v>
      </c>
      <c r="L272" s="408">
        <v>5</v>
      </c>
      <c r="M272" s="408">
        <v>5</v>
      </c>
      <c r="N272" s="208">
        <f>X272*Z272*((AB272-AD272)/AD272)/100000/F272</f>
        <v>0.63721518987341585</v>
      </c>
      <c r="O272" s="461">
        <f t="shared" si="25"/>
        <v>0.63721518987341585</v>
      </c>
      <c r="P272" s="461">
        <f t="shared" si="25"/>
        <v>0.63721518987341585</v>
      </c>
      <c r="Q272" s="461">
        <f t="shared" si="25"/>
        <v>0.63721518987341585</v>
      </c>
      <c r="R272" s="411"/>
      <c r="S272" s="411" t="s">
        <v>1046</v>
      </c>
      <c r="T272" s="411" t="s">
        <v>343</v>
      </c>
      <c r="U272" s="411" t="s">
        <v>342</v>
      </c>
      <c r="V272" s="158" t="s">
        <v>340</v>
      </c>
      <c r="W272" s="496" t="s">
        <v>271</v>
      </c>
      <c r="X272" s="495">
        <v>1678</v>
      </c>
      <c r="Y272" s="150" t="s">
        <v>273</v>
      </c>
      <c r="Z272" s="424">
        <v>500000</v>
      </c>
      <c r="AA272" s="150" t="s">
        <v>341</v>
      </c>
      <c r="AB272" s="434">
        <v>0.82</v>
      </c>
      <c r="AC272" s="158" t="s">
        <v>248</v>
      </c>
      <c r="AD272" s="423">
        <v>0.79</v>
      </c>
      <c r="AE272" s="158"/>
      <c r="AF272" s="158"/>
      <c r="AG272" s="158"/>
      <c r="AH272" s="158"/>
      <c r="AI272" s="440"/>
      <c r="AJ272" s="441"/>
      <c r="AK272" s="440"/>
      <c r="AL272" s="423"/>
      <c r="AM272" s="158"/>
      <c r="AN272" s="158"/>
      <c r="AO272" s="158"/>
      <c r="AP272" s="158"/>
      <c r="AQ272" s="158"/>
      <c r="AR272" s="158"/>
      <c r="AS272" s="158"/>
      <c r="AT272" s="158"/>
      <c r="AV272" s="413"/>
      <c r="AW272" s="413"/>
      <c r="AX272" s="414"/>
      <c r="AY272" s="415"/>
      <c r="AZ272" s="416"/>
      <c r="BA272" s="448"/>
    </row>
    <row r="273" spans="1:53">
      <c r="A273" s="5" t="str">
        <f t="shared" si="24"/>
        <v>Bus - CI Rebates_Steam Traps - Dry Cleaner/Industrial</v>
      </c>
      <c r="B273" s="407">
        <v>270</v>
      </c>
      <c r="C273" s="407" t="s">
        <v>711</v>
      </c>
      <c r="D273" s="407" t="s">
        <v>269</v>
      </c>
      <c r="E273" s="408" t="s">
        <v>150</v>
      </c>
      <c r="F273" s="408">
        <v>1</v>
      </c>
      <c r="G273" s="409">
        <v>0.79</v>
      </c>
      <c r="H273" s="470">
        <v>6</v>
      </c>
      <c r="I273" s="463">
        <v>6</v>
      </c>
      <c r="J273" s="408">
        <v>175</v>
      </c>
      <c r="K273" s="408">
        <v>175</v>
      </c>
      <c r="L273" s="408">
        <v>175</v>
      </c>
      <c r="M273" s="408">
        <v>175</v>
      </c>
      <c r="N273" s="208">
        <f>X273*(Z273/AB273)*AD273*AF273/100000</f>
        <v>137.91939591078068</v>
      </c>
      <c r="O273" s="461">
        <f t="shared" si="25"/>
        <v>137.91939591078068</v>
      </c>
      <c r="P273" s="461">
        <f t="shared" si="25"/>
        <v>137.91939591078068</v>
      </c>
      <c r="Q273" s="461">
        <f t="shared" si="25"/>
        <v>137.91939591078068</v>
      </c>
      <c r="R273" s="411"/>
      <c r="S273" s="411" t="s">
        <v>1046</v>
      </c>
      <c r="T273" s="411" t="s">
        <v>266</v>
      </c>
      <c r="U273" s="411" t="s">
        <v>265</v>
      </c>
      <c r="V273" s="158" t="s">
        <v>259</v>
      </c>
      <c r="W273" s="158" t="s">
        <v>264</v>
      </c>
      <c r="X273" s="158">
        <v>19.100000000000001</v>
      </c>
      <c r="Y273" s="158" t="s">
        <v>263</v>
      </c>
      <c r="Z273" s="158">
        <v>890</v>
      </c>
      <c r="AA273" s="150" t="s">
        <v>262</v>
      </c>
      <c r="AB273" s="425">
        <v>0.80700000000000005</v>
      </c>
      <c r="AC273" s="150" t="s">
        <v>153</v>
      </c>
      <c r="AD273" s="158">
        <v>2425</v>
      </c>
      <c r="AE273" s="158" t="s">
        <v>260</v>
      </c>
      <c r="AF273" s="423">
        <v>0.27</v>
      </c>
      <c r="AG273" s="158"/>
      <c r="AH273" s="158"/>
      <c r="AI273" s="158"/>
      <c r="AJ273" s="158"/>
      <c r="AK273" s="158"/>
      <c r="AL273" s="158"/>
      <c r="AM273" s="158"/>
      <c r="AN273" s="158"/>
      <c r="AO273" s="158"/>
      <c r="AP273" s="158"/>
      <c r="AQ273" s="158"/>
      <c r="AR273" s="158"/>
      <c r="AS273" s="158"/>
      <c r="AT273" s="158"/>
      <c r="AV273" s="413"/>
      <c r="AW273" s="413"/>
      <c r="AX273" s="414"/>
      <c r="AY273" s="415"/>
      <c r="AZ273" s="416"/>
      <c r="BA273" s="448"/>
    </row>
    <row r="274" spans="1:53">
      <c r="A274" s="5" t="str">
        <f t="shared" si="24"/>
        <v>Bus - CI Rebates_Steam Traps - HVAC Repair/Rep - Audit</v>
      </c>
      <c r="B274" s="407">
        <v>271</v>
      </c>
      <c r="C274" s="407" t="s">
        <v>711</v>
      </c>
      <c r="D274" s="407" t="s">
        <v>268</v>
      </c>
      <c r="E274" s="408" t="s">
        <v>150</v>
      </c>
      <c r="F274" s="408">
        <v>1</v>
      </c>
      <c r="G274" s="409">
        <v>0.79</v>
      </c>
      <c r="H274" s="470">
        <v>6</v>
      </c>
      <c r="I274" s="463">
        <v>6</v>
      </c>
      <c r="J274" s="408">
        <v>150</v>
      </c>
      <c r="K274" s="408">
        <v>150</v>
      </c>
      <c r="L274" s="408">
        <v>150</v>
      </c>
      <c r="M274" s="408">
        <v>150</v>
      </c>
      <c r="N274" s="208">
        <f>X274*(Z274/AB274)*AD274*AF274/100000</f>
        <v>88.453924126394057</v>
      </c>
      <c r="O274" s="461">
        <f t="shared" si="25"/>
        <v>88.453924126394057</v>
      </c>
      <c r="P274" s="461">
        <f t="shared" si="25"/>
        <v>88.453924126394057</v>
      </c>
      <c r="Q274" s="461">
        <f t="shared" si="25"/>
        <v>88.453924126394057</v>
      </c>
      <c r="R274" s="411"/>
      <c r="S274" s="411" t="s">
        <v>1046</v>
      </c>
      <c r="T274" s="411" t="s">
        <v>266</v>
      </c>
      <c r="U274" s="411" t="s">
        <v>265</v>
      </c>
      <c r="V274" s="158" t="s">
        <v>259</v>
      </c>
      <c r="W274" s="158" t="s">
        <v>264</v>
      </c>
      <c r="X274" s="158">
        <v>6.9</v>
      </c>
      <c r="Y274" s="158" t="s">
        <v>263</v>
      </c>
      <c r="Z274" s="158">
        <v>951</v>
      </c>
      <c r="AA274" s="150" t="s">
        <v>262</v>
      </c>
      <c r="AB274" s="425">
        <v>0.80700000000000005</v>
      </c>
      <c r="AC274" s="150" t="s">
        <v>261</v>
      </c>
      <c r="AD274" s="158">
        <v>4029</v>
      </c>
      <c r="AE274" s="158" t="s">
        <v>260</v>
      </c>
      <c r="AF274" s="423">
        <v>0.27</v>
      </c>
      <c r="AG274" s="158"/>
      <c r="AH274" s="158"/>
      <c r="AI274" s="158"/>
      <c r="AJ274" s="158"/>
      <c r="AK274" s="158"/>
      <c r="AL274" s="158"/>
      <c r="AM274" s="158"/>
      <c r="AN274" s="158"/>
      <c r="AO274" s="158"/>
      <c r="AP274" s="158"/>
      <c r="AQ274" s="158"/>
      <c r="AR274" s="158"/>
      <c r="AS274" s="158"/>
      <c r="AT274" s="158"/>
      <c r="AV274" s="413"/>
      <c r="AW274" s="413"/>
      <c r="AX274" s="414"/>
      <c r="AY274" s="415"/>
      <c r="AZ274" s="416"/>
      <c r="BA274" s="448"/>
    </row>
    <row r="275" spans="1:53">
      <c r="A275" s="5" t="str">
        <f t="shared" si="24"/>
        <v>Bus - CI Rebates_Steam Traps - HVAC Repair/Rep - No Audit</v>
      </c>
      <c r="B275" s="407">
        <v>272</v>
      </c>
      <c r="C275" s="407" t="s">
        <v>711</v>
      </c>
      <c r="D275" s="407" t="s">
        <v>267</v>
      </c>
      <c r="E275" s="408" t="s">
        <v>150</v>
      </c>
      <c r="F275" s="408">
        <v>1</v>
      </c>
      <c r="G275" s="409">
        <v>0.79</v>
      </c>
      <c r="H275" s="470">
        <v>6</v>
      </c>
      <c r="I275" s="463">
        <v>6</v>
      </c>
      <c r="J275" s="408">
        <v>100</v>
      </c>
      <c r="K275" s="408">
        <v>100</v>
      </c>
      <c r="L275" s="408">
        <v>100</v>
      </c>
      <c r="M275" s="408">
        <v>100</v>
      </c>
      <c r="N275" s="208">
        <f>X275*(Z275/AB275)*AD275*AF275/100000</f>
        <v>88.453924126394057</v>
      </c>
      <c r="O275" s="461">
        <f t="shared" si="25"/>
        <v>88.453924126394057</v>
      </c>
      <c r="P275" s="461">
        <f t="shared" si="25"/>
        <v>88.453924126394057</v>
      </c>
      <c r="Q275" s="461">
        <f t="shared" si="25"/>
        <v>88.453924126394057</v>
      </c>
      <c r="R275" s="411"/>
      <c r="S275" s="411" t="s">
        <v>1046</v>
      </c>
      <c r="T275" s="411" t="s">
        <v>266</v>
      </c>
      <c r="U275" s="411" t="s">
        <v>265</v>
      </c>
      <c r="V275" s="158" t="s">
        <v>259</v>
      </c>
      <c r="W275" s="158" t="s">
        <v>264</v>
      </c>
      <c r="X275" s="158">
        <v>6.9</v>
      </c>
      <c r="Y275" s="158" t="s">
        <v>263</v>
      </c>
      <c r="Z275" s="158">
        <v>951</v>
      </c>
      <c r="AA275" s="150" t="s">
        <v>262</v>
      </c>
      <c r="AB275" s="425">
        <v>0.80700000000000005</v>
      </c>
      <c r="AC275" s="150" t="s">
        <v>261</v>
      </c>
      <c r="AD275" s="158">
        <v>4029</v>
      </c>
      <c r="AE275" s="158" t="s">
        <v>260</v>
      </c>
      <c r="AF275" s="423">
        <v>0.27</v>
      </c>
      <c r="AG275" s="158"/>
      <c r="AH275" s="158"/>
      <c r="AI275" s="158"/>
      <c r="AJ275" s="425"/>
      <c r="AK275" s="158"/>
      <c r="AL275" s="158"/>
      <c r="AM275" s="158"/>
      <c r="AN275" s="158"/>
      <c r="AO275" s="158"/>
      <c r="AP275" s="158"/>
      <c r="AQ275" s="158"/>
      <c r="AR275" s="158"/>
      <c r="AS275" s="158"/>
      <c r="AT275" s="158"/>
      <c r="AV275" s="413"/>
      <c r="AW275" s="413"/>
      <c r="AX275" s="414"/>
      <c r="AY275" s="415"/>
      <c r="AZ275" s="416"/>
      <c r="BA275" s="448"/>
    </row>
    <row r="276" spans="1:53">
      <c r="A276" s="5" t="str">
        <f t="shared" si="24"/>
        <v>Bus - CI Rebates_Steam Traps - Test</v>
      </c>
      <c r="B276" s="407">
        <v>273</v>
      </c>
      <c r="C276" s="407" t="s">
        <v>711</v>
      </c>
      <c r="D276" s="407" t="s">
        <v>258</v>
      </c>
      <c r="E276" s="408" t="s">
        <v>150</v>
      </c>
      <c r="F276" s="408">
        <v>1</v>
      </c>
      <c r="G276" s="409">
        <v>0.79</v>
      </c>
      <c r="H276" s="470">
        <v>3</v>
      </c>
      <c r="I276" s="463">
        <v>3</v>
      </c>
      <c r="J276" s="408">
        <v>100</v>
      </c>
      <c r="K276" s="408">
        <v>100</v>
      </c>
      <c r="L276" s="408">
        <v>100</v>
      </c>
      <c r="M276" s="408">
        <v>100</v>
      </c>
      <c r="N276" s="208">
        <v>0</v>
      </c>
      <c r="O276" s="461">
        <f t="shared" si="25"/>
        <v>0</v>
      </c>
      <c r="P276" s="461">
        <f t="shared" si="25"/>
        <v>0</v>
      </c>
      <c r="Q276" s="461">
        <f t="shared" si="25"/>
        <v>0</v>
      </c>
      <c r="R276" s="411"/>
      <c r="S276" s="411" t="s">
        <v>140</v>
      </c>
      <c r="T276" s="411" t="s">
        <v>140</v>
      </c>
      <c r="U276" s="411" t="s">
        <v>140</v>
      </c>
      <c r="V276" s="412" t="s">
        <v>140</v>
      </c>
      <c r="W276" s="158"/>
      <c r="X276" s="158"/>
      <c r="Y276" s="158"/>
      <c r="Z276" s="158"/>
      <c r="AA276" s="150"/>
      <c r="AB276" s="423"/>
      <c r="AC276" s="150"/>
      <c r="AD276" s="158"/>
      <c r="AE276" s="150"/>
      <c r="AF276" s="423"/>
      <c r="AG276" s="158"/>
      <c r="AH276" s="423"/>
      <c r="AI276" s="158"/>
      <c r="AJ276" s="423"/>
      <c r="AK276" s="158"/>
      <c r="AL276" s="158"/>
      <c r="AM276" s="158"/>
      <c r="AN276" s="158"/>
      <c r="AO276" s="158"/>
      <c r="AP276" s="158"/>
      <c r="AQ276" s="158"/>
      <c r="AR276" s="158"/>
      <c r="AS276" s="158"/>
      <c r="AT276" s="158"/>
      <c r="AV276" s="413"/>
      <c r="AW276" s="413"/>
      <c r="AX276" s="414"/>
      <c r="AY276" s="415"/>
      <c r="AZ276" s="416"/>
      <c r="BA276" s="448"/>
    </row>
    <row r="277" spans="1:53">
      <c r="A277" s="5" t="str">
        <f t="shared" si="24"/>
        <v>Bus - CI Rebates_Thermostat - Programmable</v>
      </c>
      <c r="B277" s="407">
        <v>274</v>
      </c>
      <c r="C277" s="407" t="s">
        <v>711</v>
      </c>
      <c r="D277" s="407" t="s">
        <v>226</v>
      </c>
      <c r="E277" s="408" t="s">
        <v>150</v>
      </c>
      <c r="F277" s="408">
        <v>1</v>
      </c>
      <c r="G277" s="409">
        <v>0.79</v>
      </c>
      <c r="H277" s="470">
        <v>4</v>
      </c>
      <c r="I277" s="463">
        <v>4</v>
      </c>
      <c r="J277" s="408">
        <v>15</v>
      </c>
      <c r="K277" s="408">
        <v>15</v>
      </c>
      <c r="L277" s="408">
        <v>15</v>
      </c>
      <c r="M277" s="408">
        <v>15</v>
      </c>
      <c r="N277" s="354">
        <f>'Thermostat Detail'!$L$13</f>
        <v>124.68584320000001</v>
      </c>
      <c r="O277" s="461">
        <f t="shared" si="25"/>
        <v>124.68584320000001</v>
      </c>
      <c r="P277" s="461">
        <f t="shared" si="25"/>
        <v>124.68584320000001</v>
      </c>
      <c r="Q277" s="461">
        <f t="shared" si="25"/>
        <v>124.68584320000001</v>
      </c>
      <c r="R277" s="411"/>
      <c r="S277" s="411" t="s">
        <v>1046</v>
      </c>
      <c r="T277" s="411" t="s">
        <v>225</v>
      </c>
      <c r="U277" s="411" t="s">
        <v>224</v>
      </c>
      <c r="V277" s="439" t="s">
        <v>824</v>
      </c>
      <c r="W277" s="158"/>
      <c r="X277" s="158"/>
      <c r="Y277" s="158"/>
      <c r="Z277" s="158"/>
      <c r="AA277" s="150"/>
      <c r="AB277" s="423"/>
      <c r="AC277" s="150"/>
      <c r="AD277" s="158"/>
      <c r="AE277" s="150"/>
      <c r="AF277" s="423"/>
      <c r="AG277" s="158"/>
      <c r="AH277" s="423"/>
      <c r="AI277" s="158"/>
      <c r="AJ277" s="423"/>
      <c r="AK277" s="158"/>
      <c r="AL277" s="158"/>
      <c r="AM277" s="158"/>
      <c r="AN277" s="158"/>
      <c r="AO277" s="158"/>
      <c r="AP277" s="158"/>
      <c r="AQ277" s="158"/>
      <c r="AR277" s="158"/>
      <c r="AS277" s="158"/>
      <c r="AT277" s="158"/>
      <c r="AV277" s="413"/>
      <c r="AW277" s="413"/>
      <c r="AX277" s="414"/>
      <c r="AY277" s="415"/>
      <c r="AZ277" s="416"/>
      <c r="BA277" s="448"/>
    </row>
    <row r="278" spans="1:53">
      <c r="A278" s="5" t="str">
        <f t="shared" si="24"/>
        <v>Bus - CI Rebates_Water Heater - Storage 88% TE ≥75MBh</v>
      </c>
      <c r="B278" s="407">
        <v>275</v>
      </c>
      <c r="C278" s="407" t="s">
        <v>711</v>
      </c>
      <c r="D278" s="407" t="s">
        <v>254</v>
      </c>
      <c r="E278" s="408" t="s">
        <v>150</v>
      </c>
      <c r="F278" s="408">
        <v>1</v>
      </c>
      <c r="G278" s="409">
        <v>0.79</v>
      </c>
      <c r="H278" s="470">
        <v>15</v>
      </c>
      <c r="I278" s="463">
        <v>15</v>
      </c>
      <c r="J278" s="408"/>
      <c r="K278" s="408">
        <v>0</v>
      </c>
      <c r="L278" s="408">
        <v>0</v>
      </c>
      <c r="M278" s="408">
        <v>0</v>
      </c>
      <c r="N278" s="208">
        <f>(X278-Z278)*AB278*8.33*(1/AD278-1/AF278)/100000+((AJ278-AL278)*8766/100000)</f>
        <v>1514.573584976577</v>
      </c>
      <c r="O278" s="461">
        <f t="shared" si="25"/>
        <v>1514.573584976577</v>
      </c>
      <c r="P278" s="461">
        <f t="shared" si="25"/>
        <v>1514.573584976577</v>
      </c>
      <c r="Q278" s="461">
        <f t="shared" si="25"/>
        <v>1514.573584976577</v>
      </c>
      <c r="R278" s="411"/>
      <c r="S278" s="411" t="s">
        <v>1046</v>
      </c>
      <c r="T278" s="411" t="s">
        <v>253</v>
      </c>
      <c r="U278" s="411" t="s">
        <v>252</v>
      </c>
      <c r="V278" s="158" t="s">
        <v>243</v>
      </c>
      <c r="W278" s="158" t="s">
        <v>251</v>
      </c>
      <c r="X278" s="158">
        <v>125</v>
      </c>
      <c r="Y278" s="158" t="s">
        <v>250</v>
      </c>
      <c r="Z278" s="158">
        <v>54</v>
      </c>
      <c r="AA278" s="150" t="s">
        <v>249</v>
      </c>
      <c r="AB278" s="424">
        <f>511*AH278</f>
        <v>127750</v>
      </c>
      <c r="AC278" s="391" t="s">
        <v>248</v>
      </c>
      <c r="AD278" s="430">
        <f xml:space="preserve"> 0.6002 - (0.0011 * AH278)</f>
        <v>0.32519999999999993</v>
      </c>
      <c r="AE278" s="421" t="s">
        <v>247</v>
      </c>
      <c r="AF278" s="158">
        <v>0.88</v>
      </c>
      <c r="AG278" s="158" t="s">
        <v>246</v>
      </c>
      <c r="AH278" s="158">
        <v>250</v>
      </c>
      <c r="AI278" s="158" t="s">
        <v>245</v>
      </c>
      <c r="AJ278" s="424">
        <f>200000/800+110*SQRT(150)</f>
        <v>1597.219358530748</v>
      </c>
      <c r="AK278" s="158" t="s">
        <v>244</v>
      </c>
      <c r="AL278" s="158">
        <v>1029</v>
      </c>
      <c r="AM278" s="158"/>
      <c r="AN278" s="158"/>
      <c r="AO278" s="158"/>
      <c r="AP278" s="158"/>
      <c r="AQ278" s="158"/>
      <c r="AR278" s="158"/>
      <c r="AS278" s="158"/>
      <c r="AT278" s="158"/>
      <c r="AV278" s="413"/>
      <c r="AW278" s="413"/>
      <c r="AX278" s="414"/>
      <c r="AY278" s="415"/>
      <c r="AZ278" s="416"/>
      <c r="BA278" s="448"/>
    </row>
    <row r="279" spans="1:53">
      <c r="A279" s="5" t="str">
        <f t="shared" si="24"/>
        <v>Bus - CI Rebates_Double Rack Oven</v>
      </c>
      <c r="B279" s="407">
        <v>276</v>
      </c>
      <c r="C279" s="407" t="s">
        <v>711</v>
      </c>
      <c r="D279" s="407" t="s">
        <v>186</v>
      </c>
      <c r="E279" s="408" t="s">
        <v>150</v>
      </c>
      <c r="F279" s="408">
        <v>1</v>
      </c>
      <c r="G279" s="409">
        <v>0.79</v>
      </c>
      <c r="H279" s="470">
        <v>12</v>
      </c>
      <c r="I279" s="463">
        <v>12</v>
      </c>
      <c r="J279" s="408"/>
      <c r="K279" s="408">
        <v>0</v>
      </c>
      <c r="L279" s="408">
        <v>0</v>
      </c>
      <c r="M279" s="408">
        <v>0</v>
      </c>
      <c r="N279" s="208">
        <v>1930</v>
      </c>
      <c r="O279" s="461">
        <f t="shared" si="25"/>
        <v>1930</v>
      </c>
      <c r="P279" s="461">
        <f t="shared" si="25"/>
        <v>1930</v>
      </c>
      <c r="Q279" s="461">
        <f t="shared" si="25"/>
        <v>1930</v>
      </c>
      <c r="R279" s="411"/>
      <c r="S279" s="411" t="s">
        <v>1046</v>
      </c>
      <c r="T279" s="411" t="s">
        <v>185</v>
      </c>
      <c r="U279" s="411" t="s">
        <v>184</v>
      </c>
      <c r="V279" s="158"/>
      <c r="W279" s="158"/>
      <c r="X279" s="158"/>
      <c r="Y279" s="158"/>
      <c r="Z279" s="158"/>
      <c r="AA279" s="150"/>
      <c r="AB279" s="158"/>
      <c r="AC279" s="150"/>
      <c r="AD279" s="158"/>
      <c r="AE279" s="150"/>
      <c r="AF279" s="158"/>
      <c r="AG279" s="158"/>
      <c r="AH279" s="158"/>
      <c r="AI279" s="158"/>
      <c r="AJ279" s="158"/>
      <c r="AK279" s="158"/>
      <c r="AL279" s="158"/>
      <c r="AM279" s="158"/>
      <c r="AN279" s="158"/>
      <c r="AO279" s="158"/>
      <c r="AP279" s="158"/>
      <c r="AQ279" s="158"/>
      <c r="AR279" s="158"/>
      <c r="AS279" s="158"/>
      <c r="AT279" s="158"/>
      <c r="AV279" s="413"/>
      <c r="AW279" s="413"/>
      <c r="AX279" s="414"/>
      <c r="AY279" s="415"/>
      <c r="AZ279" s="416"/>
      <c r="BA279" s="448"/>
    </row>
    <row r="280" spans="1:53">
      <c r="A280" s="5" t="str">
        <f t="shared" si="24"/>
        <v>Bus - CI Rebates_Energy Star Convection Oven</v>
      </c>
      <c r="B280" s="407">
        <v>277</v>
      </c>
      <c r="C280" s="407" t="s">
        <v>711</v>
      </c>
      <c r="D280" s="407" t="s">
        <v>196</v>
      </c>
      <c r="E280" s="408" t="s">
        <v>150</v>
      </c>
      <c r="F280" s="408">
        <v>1</v>
      </c>
      <c r="G280" s="409">
        <v>0.79</v>
      </c>
      <c r="H280" s="470">
        <v>12</v>
      </c>
      <c r="I280" s="463">
        <v>12</v>
      </c>
      <c r="J280" s="408">
        <v>10</v>
      </c>
      <c r="K280" s="408">
        <v>10</v>
      </c>
      <c r="L280" s="408">
        <v>10</v>
      </c>
      <c r="M280" s="408">
        <v>10</v>
      </c>
      <c r="N280" s="208">
        <f>(X280+Z280+AB280)*365.35/100000</f>
        <v>352.14445072463781</v>
      </c>
      <c r="O280" s="461">
        <f t="shared" si="25"/>
        <v>352.14445072463781</v>
      </c>
      <c r="P280" s="461">
        <f t="shared" si="25"/>
        <v>352.14445072463781</v>
      </c>
      <c r="Q280" s="461">
        <f t="shared" si="25"/>
        <v>352.14445072463781</v>
      </c>
      <c r="R280" s="411"/>
      <c r="S280" s="411" t="s">
        <v>1046</v>
      </c>
      <c r="T280" s="411" t="s">
        <v>195</v>
      </c>
      <c r="U280" s="411" t="s">
        <v>194</v>
      </c>
      <c r="V280" s="158" t="s">
        <v>187</v>
      </c>
      <c r="W280" s="158" t="s">
        <v>190</v>
      </c>
      <c r="X280" s="424">
        <f>18000*10.3-12000*10.5</f>
        <v>59400</v>
      </c>
      <c r="Y280" s="158" t="s">
        <v>189</v>
      </c>
      <c r="Z280" s="424">
        <f>1*15/60*76000-1*15/60*44000</f>
        <v>8000</v>
      </c>
      <c r="AA280" s="150" t="s">
        <v>188</v>
      </c>
      <c r="AB280" s="424">
        <f>100*250/30%-100*250/46%</f>
        <v>28985.507246376823</v>
      </c>
      <c r="AC280" s="150"/>
      <c r="AD280" s="158"/>
      <c r="AE280" s="150"/>
      <c r="AF280" s="158"/>
      <c r="AG280" s="158"/>
      <c r="AH280" s="158"/>
      <c r="AI280" s="158"/>
      <c r="AJ280" s="158"/>
      <c r="AK280" s="158"/>
      <c r="AL280" s="158"/>
      <c r="AM280" s="158"/>
      <c r="AN280" s="158"/>
      <c r="AO280" s="158"/>
      <c r="AP280" s="158"/>
      <c r="AQ280" s="158"/>
      <c r="AR280" s="158"/>
      <c r="AS280" s="158"/>
      <c r="AT280" s="158"/>
      <c r="AV280" s="413"/>
      <c r="AW280" s="413"/>
      <c r="AX280" s="414"/>
      <c r="AY280" s="415"/>
      <c r="AZ280" s="416"/>
      <c r="BA280" s="448"/>
    </row>
    <row r="281" spans="1:53">
      <c r="A281" s="5" t="str">
        <f t="shared" si="24"/>
        <v>Bus - CI Rebates_Energy Star Conveyer Oven</v>
      </c>
      <c r="B281" s="407">
        <v>278</v>
      </c>
      <c r="C281" s="407" t="s">
        <v>711</v>
      </c>
      <c r="D281" s="407" t="s">
        <v>199</v>
      </c>
      <c r="E281" s="408" t="s">
        <v>150</v>
      </c>
      <c r="F281" s="408">
        <v>1</v>
      </c>
      <c r="G281" s="409">
        <v>0.79</v>
      </c>
      <c r="H281" s="470">
        <v>17</v>
      </c>
      <c r="I281" s="463">
        <v>17</v>
      </c>
      <c r="J281" s="408"/>
      <c r="K281" s="408">
        <v>0</v>
      </c>
      <c r="L281" s="408">
        <v>0</v>
      </c>
      <c r="M281" s="408">
        <v>0</v>
      </c>
      <c r="N281" s="208">
        <v>884</v>
      </c>
      <c r="O281" s="461">
        <f t="shared" si="25"/>
        <v>884</v>
      </c>
      <c r="P281" s="461">
        <f t="shared" si="25"/>
        <v>884</v>
      </c>
      <c r="Q281" s="461">
        <f t="shared" si="25"/>
        <v>884</v>
      </c>
      <c r="R281" s="411"/>
      <c r="S281" s="411" t="s">
        <v>1046</v>
      </c>
      <c r="T281" s="411" t="s">
        <v>198</v>
      </c>
      <c r="U281" s="411" t="s">
        <v>197</v>
      </c>
      <c r="V281" s="158" t="s">
        <v>187</v>
      </c>
      <c r="W281" s="158"/>
      <c r="X281" s="424"/>
      <c r="Y281" s="158"/>
      <c r="Z281" s="424"/>
      <c r="AA281" s="150"/>
      <c r="AB281" s="424"/>
      <c r="AC281" s="150"/>
      <c r="AD281" s="158"/>
      <c r="AE281" s="150"/>
      <c r="AF281" s="158"/>
      <c r="AG281" s="158"/>
      <c r="AH281" s="158"/>
      <c r="AI281" s="158"/>
      <c r="AJ281" s="158"/>
      <c r="AK281" s="158"/>
      <c r="AL281" s="158"/>
      <c r="AM281" s="158"/>
      <c r="AN281" s="158"/>
      <c r="AO281" s="158"/>
      <c r="AP281" s="158"/>
      <c r="AQ281" s="158"/>
      <c r="AR281" s="158"/>
      <c r="AS281" s="158"/>
      <c r="AT281" s="158"/>
      <c r="AV281" s="413"/>
      <c r="AW281" s="413"/>
      <c r="AX281" s="414"/>
      <c r="AY281" s="415"/>
      <c r="AZ281" s="416"/>
      <c r="BA281" s="448"/>
    </row>
    <row r="282" spans="1:53">
      <c r="A282" s="5" t="str">
        <f t="shared" si="24"/>
        <v>Bus - CI Rebates_Energy Star Fryer</v>
      </c>
      <c r="B282" s="407">
        <v>279</v>
      </c>
      <c r="C282" s="407" t="s">
        <v>711</v>
      </c>
      <c r="D282" s="407" t="s">
        <v>193</v>
      </c>
      <c r="E282" s="408" t="s">
        <v>150</v>
      </c>
      <c r="F282" s="408">
        <v>1</v>
      </c>
      <c r="G282" s="409">
        <v>0.79</v>
      </c>
      <c r="H282" s="470">
        <v>15</v>
      </c>
      <c r="I282" s="467">
        <v>12</v>
      </c>
      <c r="J282" s="408"/>
      <c r="K282" s="408">
        <v>0</v>
      </c>
      <c r="L282" s="408">
        <v>0</v>
      </c>
      <c r="M282" s="408">
        <v>0</v>
      </c>
      <c r="N282" s="208">
        <f>(X282+Z282+AB282)*365.35/100000</f>
        <v>505.37299714285717</v>
      </c>
      <c r="O282" s="461">
        <f t="shared" si="25"/>
        <v>505.37299714285717</v>
      </c>
      <c r="P282" s="461">
        <f t="shared" si="25"/>
        <v>505.37299714285717</v>
      </c>
      <c r="Q282" s="461">
        <f t="shared" si="25"/>
        <v>505.37299714285717</v>
      </c>
      <c r="R282" s="411"/>
      <c r="S282" s="411" t="s">
        <v>1046</v>
      </c>
      <c r="T282" s="411" t="s">
        <v>192</v>
      </c>
      <c r="U282" s="411" t="s">
        <v>191</v>
      </c>
      <c r="V282" s="158" t="s">
        <v>187</v>
      </c>
      <c r="W282" s="158" t="s">
        <v>190</v>
      </c>
      <c r="X282" s="424">
        <f>14000*13.25-9000*13.44</f>
        <v>64540</v>
      </c>
      <c r="Y282" s="158" t="s">
        <v>189</v>
      </c>
      <c r="Z282" s="158">
        <f>1*15/60*64000-1*15/60*62000</f>
        <v>500</v>
      </c>
      <c r="AA282" s="150" t="s">
        <v>188</v>
      </c>
      <c r="AB282" s="424">
        <f>150*570/35%-150*570/50%</f>
        <v>73285.71428571429</v>
      </c>
      <c r="AC282" s="150"/>
      <c r="AD282" s="158"/>
      <c r="AE282" s="150"/>
      <c r="AF282" s="158"/>
      <c r="AG282" s="158"/>
      <c r="AH282" s="158"/>
      <c r="AI282" s="158"/>
      <c r="AJ282" s="158"/>
      <c r="AK282" s="158"/>
      <c r="AL282" s="158"/>
      <c r="AM282" s="158"/>
      <c r="AN282" s="158"/>
      <c r="AO282" s="158"/>
      <c r="AP282" s="158"/>
      <c r="AQ282" s="158"/>
      <c r="AR282" s="158"/>
      <c r="AS282" s="158"/>
      <c r="AT282" s="158"/>
      <c r="AV282" s="413"/>
      <c r="AW282" s="413"/>
      <c r="AX282" s="414"/>
      <c r="AY282" s="415"/>
      <c r="AZ282" s="416"/>
      <c r="BA282" s="448"/>
    </row>
    <row r="283" spans="1:53">
      <c r="A283" s="5" t="str">
        <f t="shared" si="24"/>
        <v>Bus - CI Rebates_Energy Star Steamer - 3 Pans</v>
      </c>
      <c r="B283" s="407">
        <v>280</v>
      </c>
      <c r="C283" s="407" t="s">
        <v>711</v>
      </c>
      <c r="D283" s="407" t="s">
        <v>183</v>
      </c>
      <c r="E283" s="408" t="s">
        <v>150</v>
      </c>
      <c r="F283" s="408">
        <v>1</v>
      </c>
      <c r="G283" s="409">
        <v>0.79</v>
      </c>
      <c r="H283" s="470">
        <v>12</v>
      </c>
      <c r="I283" s="463">
        <v>12</v>
      </c>
      <c r="J283" s="408"/>
      <c r="K283" s="408">
        <v>0</v>
      </c>
      <c r="L283" s="408">
        <v>0</v>
      </c>
      <c r="M283" s="408">
        <v>0</v>
      </c>
      <c r="N283" s="208">
        <f>'Food Equipment Detail'!$C$70</f>
        <v>921.04270586676478</v>
      </c>
      <c r="O283" s="461">
        <f t="shared" si="25"/>
        <v>921.04270586676478</v>
      </c>
      <c r="P283" s="461">
        <f t="shared" si="25"/>
        <v>921.04270586676478</v>
      </c>
      <c r="Q283" s="461">
        <f t="shared" si="25"/>
        <v>921.04270586676478</v>
      </c>
      <c r="R283" s="411"/>
      <c r="S283" s="411" t="s">
        <v>1046</v>
      </c>
      <c r="T283" s="411" t="s">
        <v>179</v>
      </c>
      <c r="U283" s="411" t="s">
        <v>178</v>
      </c>
      <c r="V283" s="447"/>
      <c r="W283" s="158" t="s">
        <v>177</v>
      </c>
      <c r="X283" s="158">
        <v>40</v>
      </c>
      <c r="Y283" s="158" t="s">
        <v>176</v>
      </c>
      <c r="Z283" s="158">
        <v>15</v>
      </c>
      <c r="AA283" s="150" t="s">
        <v>153</v>
      </c>
      <c r="AB283" s="158">
        <v>6</v>
      </c>
      <c r="AC283" s="150" t="s">
        <v>175</v>
      </c>
      <c r="AD283" s="158">
        <v>365.25</v>
      </c>
      <c r="AE283" s="150"/>
      <c r="AF283" s="158"/>
      <c r="AG283" s="158"/>
      <c r="AH283" s="158"/>
      <c r="AI283" s="158"/>
      <c r="AJ283" s="158"/>
      <c r="AK283" s="158"/>
      <c r="AL283" s="158"/>
      <c r="AM283" s="158"/>
      <c r="AN283" s="158"/>
      <c r="AO283" s="158"/>
      <c r="AP283" s="158"/>
      <c r="AQ283" s="158"/>
      <c r="AR283" s="158"/>
      <c r="AS283" s="158"/>
      <c r="AT283" s="158"/>
      <c r="AV283" s="413"/>
      <c r="AW283" s="413"/>
      <c r="AX283" s="414"/>
      <c r="AY283" s="415"/>
      <c r="AZ283" s="416"/>
      <c r="BA283" s="448"/>
    </row>
    <row r="284" spans="1:53">
      <c r="A284" s="5" t="str">
        <f t="shared" si="24"/>
        <v>Bus - CI Rebates_Energy Star Steamer - 4 Pans</v>
      </c>
      <c r="B284" s="407">
        <v>281</v>
      </c>
      <c r="C284" s="407" t="s">
        <v>711</v>
      </c>
      <c r="D284" s="407" t="s">
        <v>182</v>
      </c>
      <c r="E284" s="408" t="s">
        <v>150</v>
      </c>
      <c r="F284" s="408">
        <v>1</v>
      </c>
      <c r="G284" s="409">
        <v>0.79</v>
      </c>
      <c r="H284" s="470">
        <v>12</v>
      </c>
      <c r="I284" s="463">
        <v>12</v>
      </c>
      <c r="J284" s="408">
        <v>15</v>
      </c>
      <c r="K284" s="408">
        <v>15</v>
      </c>
      <c r="L284" s="408">
        <v>15</v>
      </c>
      <c r="M284" s="408">
        <v>15</v>
      </c>
      <c r="N284" s="208">
        <f>'Food Equipment Detail'!$D$70</f>
        <v>1176.2945737965733</v>
      </c>
      <c r="O284" s="461">
        <f t="shared" si="25"/>
        <v>1176.2945737965733</v>
      </c>
      <c r="P284" s="461">
        <f t="shared" si="25"/>
        <v>1176.2945737965733</v>
      </c>
      <c r="Q284" s="461">
        <f t="shared" si="25"/>
        <v>1176.2945737965733</v>
      </c>
      <c r="R284" s="411"/>
      <c r="S284" s="411" t="s">
        <v>1046</v>
      </c>
      <c r="T284" s="411" t="s">
        <v>179</v>
      </c>
      <c r="U284" s="411" t="s">
        <v>178</v>
      </c>
      <c r="V284" s="447"/>
      <c r="W284" s="158" t="s">
        <v>177</v>
      </c>
      <c r="X284" s="158">
        <v>40</v>
      </c>
      <c r="Y284" s="158" t="s">
        <v>176</v>
      </c>
      <c r="Z284" s="158">
        <v>15</v>
      </c>
      <c r="AA284" s="150" t="s">
        <v>153</v>
      </c>
      <c r="AB284" s="158">
        <v>6</v>
      </c>
      <c r="AC284" s="150" t="s">
        <v>175</v>
      </c>
      <c r="AD284" s="158">
        <v>365.25</v>
      </c>
      <c r="AE284" s="150"/>
      <c r="AF284" s="158"/>
      <c r="AG284" s="158"/>
      <c r="AH284" s="158"/>
      <c r="AI284" s="158"/>
      <c r="AJ284" s="158"/>
      <c r="AK284" s="158"/>
      <c r="AL284" s="158"/>
      <c r="AM284" s="158"/>
      <c r="AN284" s="158"/>
      <c r="AO284" s="158"/>
      <c r="AP284" s="158"/>
      <c r="AQ284" s="158"/>
      <c r="AR284" s="158"/>
      <c r="AS284" s="158"/>
      <c r="AT284" s="158"/>
      <c r="AV284" s="413"/>
      <c r="AW284" s="413"/>
      <c r="AX284" s="414"/>
      <c r="AY284" s="415"/>
      <c r="AZ284" s="416"/>
      <c r="BA284" s="448"/>
    </row>
    <row r="285" spans="1:53">
      <c r="A285" s="5" t="str">
        <f t="shared" si="24"/>
        <v>Bus - CI Rebates_Energy Star Steamer - 5 Pans</v>
      </c>
      <c r="B285" s="407">
        <v>282</v>
      </c>
      <c r="C285" s="407" t="s">
        <v>711</v>
      </c>
      <c r="D285" s="407" t="s">
        <v>181</v>
      </c>
      <c r="E285" s="408" t="s">
        <v>150</v>
      </c>
      <c r="F285" s="408">
        <v>1</v>
      </c>
      <c r="G285" s="409">
        <v>0.79</v>
      </c>
      <c r="H285" s="470">
        <v>12</v>
      </c>
      <c r="I285" s="463">
        <v>12</v>
      </c>
      <c r="J285" s="408"/>
      <c r="K285" s="408">
        <v>0</v>
      </c>
      <c r="L285" s="408">
        <v>0</v>
      </c>
      <c r="M285" s="408">
        <v>0</v>
      </c>
      <c r="N285" s="208">
        <f>'Food Equipment Detail'!$E$70</f>
        <v>1417.7013369898457</v>
      </c>
      <c r="O285" s="461">
        <f t="shared" si="25"/>
        <v>1417.7013369898457</v>
      </c>
      <c r="P285" s="461">
        <f t="shared" si="25"/>
        <v>1417.7013369898457</v>
      </c>
      <c r="Q285" s="461">
        <f t="shared" si="25"/>
        <v>1417.7013369898457</v>
      </c>
      <c r="R285" s="411"/>
      <c r="S285" s="411" t="s">
        <v>1046</v>
      </c>
      <c r="T285" s="411" t="s">
        <v>179</v>
      </c>
      <c r="U285" s="411" t="s">
        <v>178</v>
      </c>
      <c r="V285" s="447"/>
      <c r="W285" s="158" t="s">
        <v>177</v>
      </c>
      <c r="X285" s="158">
        <v>40</v>
      </c>
      <c r="Y285" s="158" t="s">
        <v>176</v>
      </c>
      <c r="Z285" s="158">
        <v>15</v>
      </c>
      <c r="AA285" s="150" t="s">
        <v>153</v>
      </c>
      <c r="AB285" s="158">
        <v>6</v>
      </c>
      <c r="AC285" s="150" t="s">
        <v>175</v>
      </c>
      <c r="AD285" s="158">
        <v>365.25</v>
      </c>
      <c r="AE285" s="150"/>
      <c r="AF285" s="158"/>
      <c r="AG285" s="158"/>
      <c r="AH285" s="158"/>
      <c r="AI285" s="158"/>
      <c r="AJ285" s="158"/>
      <c r="AK285" s="158"/>
      <c r="AL285" s="158"/>
      <c r="AM285" s="158"/>
      <c r="AN285" s="158"/>
      <c r="AO285" s="158"/>
      <c r="AP285" s="158"/>
      <c r="AQ285" s="158"/>
      <c r="AR285" s="158"/>
      <c r="AS285" s="158"/>
      <c r="AT285" s="158"/>
      <c r="AV285" s="413"/>
      <c r="AW285" s="413"/>
      <c r="AX285" s="414"/>
      <c r="AY285" s="415"/>
      <c r="AZ285" s="416"/>
      <c r="BA285" s="448"/>
    </row>
    <row r="286" spans="1:53">
      <c r="A286" s="5" t="str">
        <f t="shared" si="24"/>
        <v>Bus - CI Rebates_Energy Star Steamer - 6 Pans</v>
      </c>
      <c r="B286" s="407">
        <v>283</v>
      </c>
      <c r="C286" s="407" t="s">
        <v>711</v>
      </c>
      <c r="D286" s="407" t="s">
        <v>180</v>
      </c>
      <c r="E286" s="408" t="s">
        <v>150</v>
      </c>
      <c r="F286" s="408">
        <v>1</v>
      </c>
      <c r="G286" s="409">
        <v>0.79</v>
      </c>
      <c r="H286" s="470">
        <v>12</v>
      </c>
      <c r="I286" s="463">
        <v>12</v>
      </c>
      <c r="J286" s="408"/>
      <c r="K286" s="408">
        <v>0</v>
      </c>
      <c r="L286" s="408">
        <v>0</v>
      </c>
      <c r="M286" s="408">
        <v>0</v>
      </c>
      <c r="N286" s="208">
        <f>'Food Equipment Detail'!$F$70</f>
        <v>1672.9098308667649</v>
      </c>
      <c r="O286" s="461">
        <f t="shared" ref="O286:Q305" si="26">N286</f>
        <v>1672.9098308667649</v>
      </c>
      <c r="P286" s="461">
        <f t="shared" si="26"/>
        <v>1672.9098308667649</v>
      </c>
      <c r="Q286" s="461">
        <f t="shared" si="26"/>
        <v>1672.9098308667649</v>
      </c>
      <c r="R286" s="411"/>
      <c r="S286" s="411" t="s">
        <v>1046</v>
      </c>
      <c r="T286" s="411" t="s">
        <v>179</v>
      </c>
      <c r="U286" s="411" t="s">
        <v>178</v>
      </c>
      <c r="V286" s="447"/>
      <c r="W286" s="158" t="s">
        <v>177</v>
      </c>
      <c r="X286" s="158">
        <v>40</v>
      </c>
      <c r="Y286" s="158" t="s">
        <v>176</v>
      </c>
      <c r="Z286" s="158">
        <v>15</v>
      </c>
      <c r="AA286" s="150" t="s">
        <v>153</v>
      </c>
      <c r="AB286" s="158">
        <v>6</v>
      </c>
      <c r="AC286" s="150" t="s">
        <v>175</v>
      </c>
      <c r="AD286" s="158">
        <v>365.25</v>
      </c>
      <c r="AE286" s="150"/>
      <c r="AF286" s="158"/>
      <c r="AG286" s="158"/>
      <c r="AH286" s="158"/>
      <c r="AI286" s="158"/>
      <c r="AJ286" s="158"/>
      <c r="AK286" s="158"/>
      <c r="AL286" s="158"/>
      <c r="AM286" s="158"/>
      <c r="AN286" s="158"/>
      <c r="AO286" s="158"/>
      <c r="AP286" s="158"/>
      <c r="AQ286" s="158"/>
      <c r="AR286" s="158"/>
      <c r="AS286" s="158"/>
      <c r="AT286" s="158"/>
      <c r="AV286" s="413"/>
      <c r="AW286" s="413"/>
      <c r="AX286" s="414"/>
      <c r="AY286" s="415"/>
      <c r="AZ286" s="416"/>
      <c r="BA286" s="448"/>
    </row>
    <row r="287" spans="1:53">
      <c r="A287" s="5" t="str">
        <f t="shared" si="24"/>
        <v>Bus - CI Rebates_Heat Recovery Grease Trap Filter</v>
      </c>
      <c r="B287" s="407">
        <v>284</v>
      </c>
      <c r="C287" s="407" t="s">
        <v>711</v>
      </c>
      <c r="D287" s="407" t="s">
        <v>151</v>
      </c>
      <c r="E287" s="408" t="s">
        <v>150</v>
      </c>
      <c r="F287" s="408">
        <v>1</v>
      </c>
      <c r="G287" s="409">
        <v>0.79</v>
      </c>
      <c r="H287" s="470">
        <v>15</v>
      </c>
      <c r="I287" s="463">
        <v>15</v>
      </c>
      <c r="J287" s="408">
        <v>4</v>
      </c>
      <c r="K287" s="408">
        <v>4</v>
      </c>
      <c r="L287" s="408">
        <v>4</v>
      </c>
      <c r="M287" s="408">
        <v>4</v>
      </c>
      <c r="N287" s="208">
        <f>((X287*Z287*AB287)*8.3*1*(AD287*AF287))/(AH287*100000)</f>
        <v>1757.3025600000001</v>
      </c>
      <c r="O287" s="461">
        <f t="shared" si="26"/>
        <v>1757.3025600000001</v>
      </c>
      <c r="P287" s="461">
        <f t="shared" si="26"/>
        <v>1757.3025600000001</v>
      </c>
      <c r="Q287" s="461">
        <f t="shared" si="26"/>
        <v>1757.3025600000001</v>
      </c>
      <c r="R287" s="411"/>
      <c r="S287" s="411" t="s">
        <v>1046</v>
      </c>
      <c r="T287" s="411" t="s">
        <v>149</v>
      </c>
      <c r="U287" s="411" t="s">
        <v>148</v>
      </c>
      <c r="V287" s="158" t="s">
        <v>141</v>
      </c>
      <c r="W287" s="158" t="s">
        <v>147</v>
      </c>
      <c r="X287" s="158">
        <v>780</v>
      </c>
      <c r="Y287" s="158" t="s">
        <v>146</v>
      </c>
      <c r="Z287" s="158">
        <v>3</v>
      </c>
      <c r="AA287" s="150" t="s">
        <v>145</v>
      </c>
      <c r="AB287" s="158">
        <v>312</v>
      </c>
      <c r="AC287" s="150" t="s">
        <v>144</v>
      </c>
      <c r="AD287" s="158">
        <v>5.8</v>
      </c>
      <c r="AE287" s="150" t="s">
        <v>143</v>
      </c>
      <c r="AF287" s="158">
        <v>4</v>
      </c>
      <c r="AG287" s="158" t="s">
        <v>142</v>
      </c>
      <c r="AH287" s="423">
        <v>0.8</v>
      </c>
      <c r="AI287" s="158"/>
      <c r="AJ287" s="158"/>
      <c r="AK287" s="158"/>
      <c r="AL287" s="158"/>
      <c r="AM287" s="158"/>
      <c r="AN287" s="158"/>
      <c r="AO287" s="158"/>
      <c r="AP287" s="158"/>
      <c r="AQ287" s="158"/>
      <c r="AR287" s="158"/>
      <c r="AS287" s="158"/>
      <c r="AT287" s="158"/>
      <c r="AV287" s="413"/>
      <c r="AW287" s="413"/>
      <c r="AX287" s="414"/>
      <c r="AY287" s="415"/>
      <c r="AZ287" s="416"/>
      <c r="BA287" s="448"/>
    </row>
    <row r="288" spans="1:53">
      <c r="A288" s="5" t="str">
        <f t="shared" si="24"/>
        <v>Bus - CI Rebates_Infrared Charbroiler</v>
      </c>
      <c r="B288" s="407">
        <v>285</v>
      </c>
      <c r="C288" s="407" t="s">
        <v>711</v>
      </c>
      <c r="D288" s="407" t="s">
        <v>174</v>
      </c>
      <c r="E288" s="408" t="s">
        <v>150</v>
      </c>
      <c r="F288" s="408">
        <v>1</v>
      </c>
      <c r="G288" s="409">
        <v>0.79</v>
      </c>
      <c r="H288" s="470">
        <v>12</v>
      </c>
      <c r="I288" s="463">
        <v>12</v>
      </c>
      <c r="J288" s="408">
        <v>2</v>
      </c>
      <c r="K288" s="408">
        <v>2</v>
      </c>
      <c r="L288" s="408">
        <v>2</v>
      </c>
      <c r="M288" s="408">
        <v>2</v>
      </c>
      <c r="N288" s="208">
        <f>((X288-Z288)*AB288*AD288/60+((AF288-AH288)*AJ288*AL288))*312/100000</f>
        <v>706.68</v>
      </c>
      <c r="O288" s="461">
        <f t="shared" si="26"/>
        <v>706.68</v>
      </c>
      <c r="P288" s="461">
        <f t="shared" si="26"/>
        <v>706.68</v>
      </c>
      <c r="Q288" s="461">
        <f t="shared" si="26"/>
        <v>706.68</v>
      </c>
      <c r="R288" s="411"/>
      <c r="S288" s="411" t="s">
        <v>1046</v>
      </c>
      <c r="T288" s="411" t="s">
        <v>173</v>
      </c>
      <c r="U288" s="411" t="s">
        <v>172</v>
      </c>
      <c r="V288" s="158" t="s">
        <v>166</v>
      </c>
      <c r="W288" s="158" t="s">
        <v>171</v>
      </c>
      <c r="X288" s="158">
        <v>64000</v>
      </c>
      <c r="Y288" s="158" t="s">
        <v>170</v>
      </c>
      <c r="Z288" s="158">
        <v>54000</v>
      </c>
      <c r="AA288" s="150" t="s">
        <v>169</v>
      </c>
      <c r="AB288" s="158">
        <v>1</v>
      </c>
      <c r="AC288" s="150" t="s">
        <v>168</v>
      </c>
      <c r="AD288" s="158">
        <v>15</v>
      </c>
      <c r="AE288" s="150" t="s">
        <v>167</v>
      </c>
      <c r="AF288" s="158">
        <v>140000</v>
      </c>
      <c r="AG288" s="158" t="s">
        <v>155</v>
      </c>
      <c r="AH288" s="158">
        <v>105000</v>
      </c>
      <c r="AI288" s="158" t="s">
        <v>154</v>
      </c>
      <c r="AJ288" s="429">
        <v>0.8</v>
      </c>
      <c r="AK288" s="158" t="s">
        <v>153</v>
      </c>
      <c r="AL288" s="158">
        <v>8</v>
      </c>
      <c r="AM288" s="158"/>
      <c r="AN288" s="158"/>
      <c r="AO288" s="158"/>
      <c r="AP288" s="158"/>
      <c r="AQ288" s="158"/>
      <c r="AR288" s="158"/>
      <c r="AS288" s="158"/>
      <c r="AT288" s="158"/>
      <c r="AV288" s="413"/>
      <c r="AW288" s="413"/>
      <c r="AX288" s="414"/>
      <c r="AY288" s="415"/>
      <c r="AZ288" s="416"/>
      <c r="BA288" s="448"/>
    </row>
    <row r="289" spans="1:53">
      <c r="A289" s="5" t="str">
        <f t="shared" si="24"/>
        <v>Bus - CI Rebates_Infrared Rotisserie Oven</v>
      </c>
      <c r="B289" s="407">
        <v>286</v>
      </c>
      <c r="C289" s="407" t="s">
        <v>711</v>
      </c>
      <c r="D289" s="407" t="s">
        <v>165</v>
      </c>
      <c r="E289" s="408" t="s">
        <v>150</v>
      </c>
      <c r="F289" s="408">
        <v>1</v>
      </c>
      <c r="G289" s="409">
        <v>0.79</v>
      </c>
      <c r="H289" s="470">
        <v>12</v>
      </c>
      <c r="I289" s="463">
        <v>12</v>
      </c>
      <c r="J289" s="408">
        <v>2</v>
      </c>
      <c r="K289" s="408">
        <v>2</v>
      </c>
      <c r="L289" s="408">
        <v>2</v>
      </c>
      <c r="M289" s="408">
        <v>2</v>
      </c>
      <c r="N289" s="208">
        <f>(X289-Z289)*AB289*AD289/100000</f>
        <v>599.04</v>
      </c>
      <c r="O289" s="461">
        <f t="shared" si="26"/>
        <v>599.04</v>
      </c>
      <c r="P289" s="461">
        <f t="shared" si="26"/>
        <v>599.04</v>
      </c>
      <c r="Q289" s="461">
        <f t="shared" si="26"/>
        <v>599.04</v>
      </c>
      <c r="R289" s="411"/>
      <c r="S289" s="411" t="s">
        <v>1046</v>
      </c>
      <c r="T289" s="411" t="s">
        <v>164</v>
      </c>
      <c r="U289" s="411" t="s">
        <v>163</v>
      </c>
      <c r="V289" s="158" t="s">
        <v>152</v>
      </c>
      <c r="W289" s="158" t="s">
        <v>156</v>
      </c>
      <c r="X289" s="158">
        <v>90000</v>
      </c>
      <c r="Y289" s="158" t="s">
        <v>155</v>
      </c>
      <c r="Z289" s="158">
        <v>50000</v>
      </c>
      <c r="AA289" s="150" t="s">
        <v>154</v>
      </c>
      <c r="AB289" s="429">
        <v>0.6</v>
      </c>
      <c r="AC289" s="150" t="s">
        <v>153</v>
      </c>
      <c r="AD289" s="158">
        <v>2496</v>
      </c>
      <c r="AE289" s="150"/>
      <c r="AF289" s="158"/>
      <c r="AG289" s="158"/>
      <c r="AH289" s="158"/>
      <c r="AI289" s="158"/>
      <c r="AJ289" s="158"/>
      <c r="AK289" s="158"/>
      <c r="AL289" s="158"/>
      <c r="AM289" s="158"/>
      <c r="AN289" s="158"/>
      <c r="AO289" s="158"/>
      <c r="AP289" s="158"/>
      <c r="AQ289" s="158"/>
      <c r="AR289" s="158"/>
      <c r="AS289" s="158"/>
      <c r="AT289" s="158"/>
      <c r="AV289" s="413"/>
      <c r="AW289" s="413"/>
      <c r="AX289" s="414"/>
      <c r="AY289" s="415"/>
      <c r="AZ289" s="416"/>
      <c r="BA289" s="448"/>
    </row>
    <row r="290" spans="1:53">
      <c r="A290" s="5" t="str">
        <f t="shared" si="24"/>
        <v>Bus - CI Rebates_Infrared Salamander Broiler</v>
      </c>
      <c r="B290" s="407">
        <v>287</v>
      </c>
      <c r="C290" s="407" t="s">
        <v>711</v>
      </c>
      <c r="D290" s="407" t="s">
        <v>162</v>
      </c>
      <c r="E290" s="408" t="s">
        <v>150</v>
      </c>
      <c r="F290" s="408">
        <v>1</v>
      </c>
      <c r="G290" s="409">
        <v>0.79</v>
      </c>
      <c r="H290" s="470">
        <v>12</v>
      </c>
      <c r="I290" s="463">
        <v>12</v>
      </c>
      <c r="J290" s="408"/>
      <c r="K290" s="408">
        <v>0</v>
      </c>
      <c r="L290" s="408">
        <v>0</v>
      </c>
      <c r="M290" s="408">
        <v>0</v>
      </c>
      <c r="N290" s="208">
        <f>(X290-Z290)*AB290*AD290/100000</f>
        <v>240.24</v>
      </c>
      <c r="O290" s="461">
        <f t="shared" si="26"/>
        <v>240.24</v>
      </c>
      <c r="P290" s="461">
        <f t="shared" si="26"/>
        <v>240.24</v>
      </c>
      <c r="Q290" s="461">
        <f t="shared" si="26"/>
        <v>240.24</v>
      </c>
      <c r="R290" s="411"/>
      <c r="S290" s="411" t="s">
        <v>1046</v>
      </c>
      <c r="T290" s="411" t="s">
        <v>161</v>
      </c>
      <c r="U290" s="411" t="s">
        <v>160</v>
      </c>
      <c r="V290" s="158" t="s">
        <v>152</v>
      </c>
      <c r="W290" s="158" t="s">
        <v>156</v>
      </c>
      <c r="X290" s="158">
        <v>38500</v>
      </c>
      <c r="Y290" s="158" t="s">
        <v>155</v>
      </c>
      <c r="Z290" s="158">
        <v>24750</v>
      </c>
      <c r="AA290" s="150" t="s">
        <v>154</v>
      </c>
      <c r="AB290" s="429">
        <v>0.7</v>
      </c>
      <c r="AC290" s="150" t="s">
        <v>153</v>
      </c>
      <c r="AD290" s="158">
        <v>2496</v>
      </c>
      <c r="AE290" s="150"/>
      <c r="AF290" s="158"/>
      <c r="AG290" s="158"/>
      <c r="AH290" s="158"/>
      <c r="AI290" s="158"/>
      <c r="AJ290" s="158"/>
      <c r="AK290" s="158"/>
      <c r="AL290" s="158"/>
      <c r="AM290" s="158"/>
      <c r="AN290" s="158"/>
      <c r="AO290" s="158"/>
      <c r="AP290" s="158"/>
      <c r="AQ290" s="158"/>
      <c r="AR290" s="158"/>
      <c r="AS290" s="158"/>
      <c r="AT290" s="158"/>
      <c r="AV290" s="413"/>
      <c r="AW290" s="413"/>
      <c r="AX290" s="414"/>
      <c r="AY290" s="415"/>
      <c r="AZ290" s="416"/>
      <c r="BA290" s="448"/>
    </row>
    <row r="291" spans="1:53">
      <c r="A291" s="5" t="str">
        <f t="shared" si="24"/>
        <v>Bus - CI Rebates_Infrared Upright Broiler</v>
      </c>
      <c r="B291" s="407">
        <v>288</v>
      </c>
      <c r="C291" s="407" t="s">
        <v>711</v>
      </c>
      <c r="D291" s="407" t="s">
        <v>159</v>
      </c>
      <c r="E291" s="408" t="s">
        <v>150</v>
      </c>
      <c r="F291" s="408">
        <v>1</v>
      </c>
      <c r="G291" s="409">
        <v>0.79</v>
      </c>
      <c r="H291" s="470">
        <v>12</v>
      </c>
      <c r="I291" s="463">
        <v>12</v>
      </c>
      <c r="J291" s="408"/>
      <c r="K291" s="408">
        <v>0</v>
      </c>
      <c r="L291" s="408">
        <v>0</v>
      </c>
      <c r="M291" s="408">
        <v>0</v>
      </c>
      <c r="N291" s="208">
        <f>(X291-Z291)*AB291*AD291/100000</f>
        <v>943.48800000000006</v>
      </c>
      <c r="O291" s="461">
        <f t="shared" si="26"/>
        <v>943.48800000000006</v>
      </c>
      <c r="P291" s="461">
        <f t="shared" si="26"/>
        <v>943.48800000000006</v>
      </c>
      <c r="Q291" s="461">
        <f t="shared" si="26"/>
        <v>943.48800000000006</v>
      </c>
      <c r="R291" s="411"/>
      <c r="S291" s="411" t="s">
        <v>1046</v>
      </c>
      <c r="T291" s="411" t="s">
        <v>158</v>
      </c>
      <c r="U291" s="411" t="s">
        <v>157</v>
      </c>
      <c r="V291" s="158" t="s">
        <v>152</v>
      </c>
      <c r="W291" s="158" t="s">
        <v>156</v>
      </c>
      <c r="X291" s="158">
        <v>144000</v>
      </c>
      <c r="Y291" s="158" t="s">
        <v>155</v>
      </c>
      <c r="Z291" s="158">
        <v>90000</v>
      </c>
      <c r="AA291" s="150" t="s">
        <v>154</v>
      </c>
      <c r="AB291" s="429">
        <v>0.7</v>
      </c>
      <c r="AC291" s="150" t="s">
        <v>153</v>
      </c>
      <c r="AD291" s="158">
        <v>2496</v>
      </c>
      <c r="AE291" s="150"/>
      <c r="AF291" s="158"/>
      <c r="AG291" s="158"/>
      <c r="AH291" s="158"/>
      <c r="AI291" s="158"/>
      <c r="AJ291" s="158"/>
      <c r="AK291" s="158"/>
      <c r="AL291" s="158"/>
      <c r="AM291" s="158"/>
      <c r="AN291" s="158"/>
      <c r="AO291" s="158"/>
      <c r="AP291" s="158"/>
      <c r="AQ291" s="158"/>
      <c r="AR291" s="158"/>
      <c r="AS291" s="158"/>
      <c r="AT291" s="158"/>
      <c r="AV291" s="413"/>
      <c r="AW291" s="413"/>
      <c r="AX291" s="414"/>
      <c r="AY291" s="415"/>
      <c r="AZ291" s="416"/>
      <c r="BA291" s="448"/>
    </row>
    <row r="292" spans="1:53">
      <c r="A292" s="5" t="str">
        <f t="shared" si="24"/>
        <v>Bus - SB Rebates_SB Custom</v>
      </c>
      <c r="B292" s="407">
        <v>289</v>
      </c>
      <c r="C292" s="407" t="s">
        <v>712</v>
      </c>
      <c r="D292" s="407" t="s">
        <v>674</v>
      </c>
      <c r="E292" s="408" t="s">
        <v>150</v>
      </c>
      <c r="F292" s="408">
        <v>1</v>
      </c>
      <c r="G292" s="409">
        <v>0.92</v>
      </c>
      <c r="H292" s="470">
        <v>15</v>
      </c>
      <c r="I292" s="463">
        <v>15</v>
      </c>
      <c r="J292" s="408">
        <v>20</v>
      </c>
      <c r="K292" s="408">
        <v>20</v>
      </c>
      <c r="L292" s="408">
        <v>20</v>
      </c>
      <c r="M292" s="408">
        <v>20</v>
      </c>
      <c r="N292" s="208">
        <v>3800</v>
      </c>
      <c r="O292" s="461">
        <f t="shared" si="26"/>
        <v>3800</v>
      </c>
      <c r="P292" s="461">
        <f t="shared" si="26"/>
        <v>3800</v>
      </c>
      <c r="Q292" s="461">
        <f t="shared" si="26"/>
        <v>3800</v>
      </c>
      <c r="R292" s="411"/>
      <c r="S292" s="411" t="s">
        <v>140</v>
      </c>
      <c r="T292" s="411" t="s">
        <v>140</v>
      </c>
      <c r="U292" s="411" t="s">
        <v>140</v>
      </c>
      <c r="V292" s="158"/>
      <c r="W292" s="158"/>
      <c r="X292" s="158"/>
      <c r="Y292" s="158"/>
      <c r="Z292" s="158"/>
      <c r="AA292" s="150"/>
      <c r="AB292" s="429"/>
      <c r="AC292" s="150"/>
      <c r="AD292" s="158"/>
      <c r="AE292" s="150"/>
      <c r="AF292" s="158"/>
      <c r="AG292" s="158"/>
      <c r="AH292" s="158"/>
      <c r="AI292" s="158"/>
      <c r="AJ292" s="158"/>
      <c r="AK292" s="158"/>
      <c r="AL292" s="158"/>
      <c r="AM292" s="158"/>
      <c r="AN292" s="158"/>
      <c r="AO292" s="158"/>
      <c r="AP292" s="158"/>
      <c r="AQ292" s="158"/>
      <c r="AR292" s="158"/>
      <c r="AS292" s="158"/>
      <c r="AT292" s="158"/>
      <c r="AV292" s="413"/>
      <c r="AW292" s="413"/>
      <c r="AX292" s="414"/>
      <c r="AY292" s="415"/>
      <c r="AZ292" s="416"/>
      <c r="BA292" s="448"/>
    </row>
    <row r="293" spans="1:53">
      <c r="A293" s="5" t="str">
        <f t="shared" si="24"/>
        <v>Bus - CI Rebates_CI Custom</v>
      </c>
      <c r="B293" s="407">
        <v>290</v>
      </c>
      <c r="C293" s="407" t="s">
        <v>711</v>
      </c>
      <c r="D293" s="407" t="s">
        <v>675</v>
      </c>
      <c r="E293" s="408" t="s">
        <v>150</v>
      </c>
      <c r="F293" s="408">
        <v>1</v>
      </c>
      <c r="G293" s="409">
        <v>0.69</v>
      </c>
      <c r="H293" s="470">
        <v>15</v>
      </c>
      <c r="I293" s="463">
        <v>15</v>
      </c>
      <c r="J293" s="408">
        <v>36</v>
      </c>
      <c r="K293" s="408">
        <f t="shared" ref="K293:M294" si="27">J293</f>
        <v>36</v>
      </c>
      <c r="L293" s="408">
        <f t="shared" si="27"/>
        <v>36</v>
      </c>
      <c r="M293" s="408">
        <f t="shared" si="27"/>
        <v>36</v>
      </c>
      <c r="N293" s="208">
        <v>43600</v>
      </c>
      <c r="O293" s="461">
        <f t="shared" si="26"/>
        <v>43600</v>
      </c>
      <c r="P293" s="461">
        <f t="shared" si="26"/>
        <v>43600</v>
      </c>
      <c r="Q293" s="461">
        <f t="shared" si="26"/>
        <v>43600</v>
      </c>
      <c r="R293" s="411"/>
      <c r="S293" s="411" t="s">
        <v>140</v>
      </c>
      <c r="T293" s="411" t="s">
        <v>140</v>
      </c>
      <c r="U293" s="411" t="s">
        <v>140</v>
      </c>
      <c r="V293" s="158"/>
      <c r="W293" s="158"/>
      <c r="X293" s="158"/>
      <c r="Y293" s="158"/>
      <c r="Z293" s="158"/>
      <c r="AA293" s="150"/>
      <c r="AB293" s="429"/>
      <c r="AC293" s="150"/>
      <c r="AD293" s="158"/>
      <c r="AE293" s="150"/>
      <c r="AF293" s="158"/>
      <c r="AG293" s="158"/>
      <c r="AH293" s="158"/>
      <c r="AI293" s="158"/>
      <c r="AJ293" s="158"/>
      <c r="AK293" s="158"/>
      <c r="AL293" s="158"/>
      <c r="AM293" s="158"/>
      <c r="AN293" s="158"/>
      <c r="AO293" s="158"/>
      <c r="AP293" s="158"/>
      <c r="AQ293" s="158"/>
      <c r="AR293" s="158"/>
      <c r="AS293" s="158"/>
      <c r="AT293" s="158"/>
      <c r="AV293" s="413"/>
      <c r="AW293" s="413"/>
      <c r="AX293" s="414"/>
      <c r="AY293" s="415"/>
      <c r="AZ293" s="416"/>
      <c r="BA293" s="448"/>
    </row>
    <row r="294" spans="1:53">
      <c r="A294" s="5" t="str">
        <f t="shared" si="24"/>
        <v>Bus - CI Rebates_New Construction</v>
      </c>
      <c r="B294" s="407">
        <v>291</v>
      </c>
      <c r="C294" s="407" t="s">
        <v>711</v>
      </c>
      <c r="D294" s="407" t="s">
        <v>676</v>
      </c>
      <c r="E294" s="408" t="s">
        <v>150</v>
      </c>
      <c r="F294" s="408">
        <v>1</v>
      </c>
      <c r="G294" s="409">
        <v>0.77</v>
      </c>
      <c r="H294" s="470">
        <v>15</v>
      </c>
      <c r="I294" s="463">
        <v>15</v>
      </c>
      <c r="J294" s="408">
        <v>77</v>
      </c>
      <c r="K294" s="408">
        <f t="shared" si="27"/>
        <v>77</v>
      </c>
      <c r="L294" s="408">
        <f t="shared" si="27"/>
        <v>77</v>
      </c>
      <c r="M294" s="408">
        <f t="shared" si="27"/>
        <v>77</v>
      </c>
      <c r="N294" s="208">
        <v>7600</v>
      </c>
      <c r="O294" s="461">
        <f t="shared" si="26"/>
        <v>7600</v>
      </c>
      <c r="P294" s="461">
        <f t="shared" si="26"/>
        <v>7600</v>
      </c>
      <c r="Q294" s="461">
        <f t="shared" si="26"/>
        <v>7600</v>
      </c>
      <c r="R294" s="411"/>
      <c r="S294" s="411" t="s">
        <v>140</v>
      </c>
      <c r="T294" s="411" t="s">
        <v>140</v>
      </c>
      <c r="U294" s="411" t="s">
        <v>140</v>
      </c>
      <c r="V294" s="158"/>
      <c r="W294" s="158"/>
      <c r="X294" s="158"/>
      <c r="Y294" s="158"/>
      <c r="Z294" s="158"/>
      <c r="AA294" s="150"/>
      <c r="AB294" s="429"/>
      <c r="AC294" s="150"/>
      <c r="AD294" s="158"/>
      <c r="AE294" s="150"/>
      <c r="AF294" s="158"/>
      <c r="AG294" s="158"/>
      <c r="AH294" s="158"/>
      <c r="AI294" s="158"/>
      <c r="AJ294" s="158"/>
      <c r="AK294" s="158"/>
      <c r="AL294" s="158"/>
      <c r="AM294" s="158"/>
      <c r="AN294" s="158"/>
      <c r="AO294" s="158"/>
      <c r="AP294" s="158"/>
      <c r="AQ294" s="158"/>
      <c r="AR294" s="158"/>
      <c r="AS294" s="158"/>
      <c r="AT294" s="158"/>
      <c r="AV294" s="413"/>
      <c r="AW294" s="413"/>
      <c r="AX294" s="414"/>
      <c r="AY294" s="415"/>
      <c r="AZ294" s="416"/>
      <c r="BA294" s="448"/>
    </row>
    <row r="295" spans="1:53">
      <c r="A295" s="5" t="str">
        <f t="shared" si="24"/>
        <v>Bus - Public Assessments_Aerator - Bathroom</v>
      </c>
      <c r="B295" s="407">
        <v>292</v>
      </c>
      <c r="C295" s="407" t="s">
        <v>725</v>
      </c>
      <c r="D295" s="407" t="s">
        <v>726</v>
      </c>
      <c r="E295" s="408" t="s">
        <v>150</v>
      </c>
      <c r="F295" s="408">
        <v>1</v>
      </c>
      <c r="G295" s="409">
        <v>0.79</v>
      </c>
      <c r="H295" s="470">
        <v>9</v>
      </c>
      <c r="I295" s="467">
        <v>10</v>
      </c>
      <c r="J295" s="408">
        <v>752</v>
      </c>
      <c r="K295" s="408">
        <v>752</v>
      </c>
      <c r="L295" s="408">
        <v>752</v>
      </c>
      <c r="M295" s="408">
        <v>752</v>
      </c>
      <c r="N295" s="461">
        <f>((X295-Z295)/X295)*AB295*AD295*AF295*AH295*AL295*AJ295</f>
        <v>6.1049460431654667</v>
      </c>
      <c r="O295" s="461">
        <f t="shared" si="26"/>
        <v>6.1049460431654667</v>
      </c>
      <c r="P295" s="461">
        <f t="shared" si="26"/>
        <v>6.1049460431654667</v>
      </c>
      <c r="Q295" s="461">
        <f t="shared" si="26"/>
        <v>6.1049460431654667</v>
      </c>
      <c r="R295" s="411"/>
      <c r="S295" s="411" t="s">
        <v>1046</v>
      </c>
      <c r="T295" s="411" t="s">
        <v>367</v>
      </c>
      <c r="U295" s="411" t="s">
        <v>366</v>
      </c>
      <c r="V295" s="412" t="s">
        <v>362</v>
      </c>
      <c r="W295" s="412" t="s">
        <v>359</v>
      </c>
      <c r="X295" s="412">
        <v>1.39</v>
      </c>
      <c r="Y295" s="412" t="s">
        <v>358</v>
      </c>
      <c r="Z295" s="412">
        <v>0.94</v>
      </c>
      <c r="AA295" s="412" t="s">
        <v>357</v>
      </c>
      <c r="AB295" s="412">
        <v>1</v>
      </c>
      <c r="AC295" s="412" t="s">
        <v>368</v>
      </c>
      <c r="AD295" s="418">
        <v>1</v>
      </c>
      <c r="AE295" s="412" t="s">
        <v>364</v>
      </c>
      <c r="AF295" s="412">
        <v>20</v>
      </c>
      <c r="AG295" s="412" t="s">
        <v>363</v>
      </c>
      <c r="AH295" s="412">
        <v>250</v>
      </c>
      <c r="AI295" s="412" t="s">
        <v>355</v>
      </c>
      <c r="AJ295" s="419">
        <v>3.9699999999999996E-3</v>
      </c>
      <c r="AK295" s="412" t="s">
        <v>354</v>
      </c>
      <c r="AL295" s="418">
        <v>0.95</v>
      </c>
      <c r="AM295" s="412"/>
      <c r="AN295" s="412"/>
      <c r="AO295" s="158"/>
      <c r="AP295" s="158"/>
      <c r="AQ295" s="158"/>
      <c r="AR295" s="158"/>
      <c r="AS295" s="158"/>
      <c r="AT295" s="158"/>
      <c r="AV295" s="413"/>
      <c r="AW295" s="413"/>
      <c r="AX295" s="414"/>
      <c r="AY295" s="415"/>
      <c r="AZ295" s="416"/>
      <c r="BA295" s="448"/>
    </row>
    <row r="296" spans="1:53">
      <c r="A296" s="5" t="str">
        <f t="shared" si="24"/>
        <v>Bus - Public Assessments_Aerator - Kitchen</v>
      </c>
      <c r="B296" s="407">
        <v>293</v>
      </c>
      <c r="C296" s="407" t="s">
        <v>725</v>
      </c>
      <c r="D296" s="407" t="s">
        <v>727</v>
      </c>
      <c r="E296" s="408" t="s">
        <v>150</v>
      </c>
      <c r="F296" s="408">
        <v>1</v>
      </c>
      <c r="G296" s="409">
        <v>0.79</v>
      </c>
      <c r="H296" s="470">
        <v>9</v>
      </c>
      <c r="I296" s="467">
        <v>10</v>
      </c>
      <c r="J296" s="408">
        <v>577</v>
      </c>
      <c r="K296" s="408">
        <v>577</v>
      </c>
      <c r="L296" s="408">
        <v>577</v>
      </c>
      <c r="M296" s="408">
        <v>577</v>
      </c>
      <c r="N296" s="461">
        <f>((X296-Z296)/X296)*AB296*AD296*AF296*AH296*AL296*AJ296</f>
        <v>7.4428057553956819</v>
      </c>
      <c r="O296" s="461">
        <f t="shared" si="26"/>
        <v>7.4428057553956819</v>
      </c>
      <c r="P296" s="461">
        <f t="shared" si="26"/>
        <v>7.4428057553956819</v>
      </c>
      <c r="Q296" s="461">
        <f t="shared" si="26"/>
        <v>7.4428057553956819</v>
      </c>
      <c r="R296" s="411"/>
      <c r="S296" s="411" t="s">
        <v>1046</v>
      </c>
      <c r="T296" s="411" t="s">
        <v>367</v>
      </c>
      <c r="U296" s="411" t="s">
        <v>366</v>
      </c>
      <c r="V296" s="412" t="s">
        <v>362</v>
      </c>
      <c r="W296" s="412" t="s">
        <v>359</v>
      </c>
      <c r="X296" s="412">
        <v>1.39</v>
      </c>
      <c r="Y296" s="412" t="s">
        <v>358</v>
      </c>
      <c r="Z296" s="412">
        <v>0.94</v>
      </c>
      <c r="AA296" s="412" t="s">
        <v>357</v>
      </c>
      <c r="AB296" s="412">
        <v>1</v>
      </c>
      <c r="AC296" s="412" t="s">
        <v>365</v>
      </c>
      <c r="AD296" s="418">
        <v>1</v>
      </c>
      <c r="AE296" s="412" t="s">
        <v>364</v>
      </c>
      <c r="AF296" s="412">
        <v>20</v>
      </c>
      <c r="AG296" s="412" t="s">
        <v>363</v>
      </c>
      <c r="AH296" s="412">
        <v>250</v>
      </c>
      <c r="AI296" s="412" t="s">
        <v>355</v>
      </c>
      <c r="AJ296" s="419">
        <v>4.8399999999999997E-3</v>
      </c>
      <c r="AK296" s="412" t="s">
        <v>354</v>
      </c>
      <c r="AL296" s="418">
        <v>0.95</v>
      </c>
      <c r="AM296" s="412"/>
      <c r="AN296" s="412"/>
      <c r="AO296" s="158"/>
      <c r="AP296" s="158"/>
      <c r="AQ296" s="158"/>
      <c r="AR296" s="158"/>
      <c r="AS296" s="158"/>
      <c r="AT296" s="158"/>
      <c r="AV296" s="413"/>
      <c r="AW296" s="413"/>
      <c r="AX296" s="414"/>
      <c r="AY296" s="415"/>
      <c r="AZ296" s="416"/>
      <c r="BA296" s="448"/>
    </row>
    <row r="297" spans="1:53">
      <c r="A297" s="5" t="str">
        <f t="shared" si="24"/>
        <v>Bus - Public Assessments_Showerhead</v>
      </c>
      <c r="B297" s="407">
        <v>294</v>
      </c>
      <c r="C297" s="407" t="s">
        <v>725</v>
      </c>
      <c r="D297" s="407" t="s">
        <v>731</v>
      </c>
      <c r="E297" s="408" t="s">
        <v>150</v>
      </c>
      <c r="F297" s="408">
        <v>1</v>
      </c>
      <c r="G297" s="409">
        <v>0.79</v>
      </c>
      <c r="H297" s="470">
        <v>10</v>
      </c>
      <c r="I297" s="463">
        <v>10</v>
      </c>
      <c r="J297" s="408">
        <v>670</v>
      </c>
      <c r="K297" s="408">
        <v>670</v>
      </c>
      <c r="L297" s="408">
        <v>670</v>
      </c>
      <c r="M297" s="408">
        <v>670</v>
      </c>
      <c r="N297" s="461">
        <f>100%*((X297*AB297-Z297*AB297)*AD297*365.25)*AF297*AH297</f>
        <v>19.917921113999995</v>
      </c>
      <c r="O297" s="461">
        <f t="shared" si="26"/>
        <v>19.917921113999995</v>
      </c>
      <c r="P297" s="461">
        <f t="shared" si="26"/>
        <v>19.917921113999995</v>
      </c>
      <c r="Q297" s="461">
        <f t="shared" si="26"/>
        <v>19.917921113999995</v>
      </c>
      <c r="R297" s="411"/>
      <c r="S297" s="411" t="s">
        <v>1046</v>
      </c>
      <c r="T297" s="411" t="s">
        <v>361</v>
      </c>
      <c r="U297" s="411" t="s">
        <v>360</v>
      </c>
      <c r="V297" s="412" t="s">
        <v>353</v>
      </c>
      <c r="W297" s="412" t="s">
        <v>359</v>
      </c>
      <c r="X297" s="412">
        <v>2.67</v>
      </c>
      <c r="Y297" s="412" t="s">
        <v>358</v>
      </c>
      <c r="Z297" s="412">
        <v>1.5</v>
      </c>
      <c r="AA297" s="412" t="s">
        <v>357</v>
      </c>
      <c r="AB297" s="412">
        <v>8.1999999999999993</v>
      </c>
      <c r="AC297" s="412" t="s">
        <v>356</v>
      </c>
      <c r="AD297" s="412">
        <v>1</v>
      </c>
      <c r="AE297" s="412" t="s">
        <v>355</v>
      </c>
      <c r="AF297" s="493">
        <v>5.7999999999999996E-3</v>
      </c>
      <c r="AG297" s="412" t="s">
        <v>354</v>
      </c>
      <c r="AH297" s="418">
        <v>0.98</v>
      </c>
      <c r="AI297" s="412"/>
      <c r="AJ297" s="412"/>
      <c r="AK297" s="412"/>
      <c r="AL297" s="412"/>
      <c r="AM297" s="412"/>
      <c r="AN297" s="412"/>
      <c r="AO297" s="158"/>
      <c r="AP297" s="158"/>
      <c r="AQ297" s="158"/>
      <c r="AR297" s="158"/>
      <c r="AS297" s="158"/>
      <c r="AT297" s="158"/>
      <c r="AV297" s="413"/>
      <c r="AW297" s="413"/>
      <c r="AX297" s="414"/>
      <c r="AY297" s="415"/>
      <c r="AZ297" s="416"/>
      <c r="BA297" s="448"/>
    </row>
    <row r="298" spans="1:53">
      <c r="A298" s="5" t="str">
        <f t="shared" si="24"/>
        <v>Bus - Public Assessments_Pipe Insulation - DHW</v>
      </c>
      <c r="B298" s="407">
        <v>295</v>
      </c>
      <c r="C298" s="407" t="s">
        <v>725</v>
      </c>
      <c r="D298" s="407" t="s">
        <v>681</v>
      </c>
      <c r="E298" s="408" t="s">
        <v>150</v>
      </c>
      <c r="F298" s="408">
        <v>1</v>
      </c>
      <c r="G298" s="409">
        <v>0.79</v>
      </c>
      <c r="H298" s="470">
        <v>15</v>
      </c>
      <c r="I298" s="463">
        <v>15</v>
      </c>
      <c r="J298" s="408">
        <v>3584</v>
      </c>
      <c r="K298" s="408">
        <v>3584</v>
      </c>
      <c r="L298" s="408">
        <v>3584</v>
      </c>
      <c r="M298" s="408">
        <v>3584</v>
      </c>
      <c r="N298" s="208">
        <f>'Pipe Insulation Detail'!$B$48</f>
        <v>5.2492031493764015</v>
      </c>
      <c r="O298" s="461">
        <f t="shared" si="26"/>
        <v>5.2492031493764015</v>
      </c>
      <c r="P298" s="461">
        <f t="shared" si="26"/>
        <v>5.2492031493764015</v>
      </c>
      <c r="Q298" s="461">
        <f t="shared" si="26"/>
        <v>5.2492031493764015</v>
      </c>
      <c r="R298" s="411"/>
      <c r="S298" s="411" t="s">
        <v>1046</v>
      </c>
      <c r="T298" s="411" t="s">
        <v>201</v>
      </c>
      <c r="U298" s="411" t="s">
        <v>200</v>
      </c>
      <c r="V298" s="439" t="s">
        <v>825</v>
      </c>
      <c r="W298" s="158"/>
      <c r="X298" s="158"/>
      <c r="Y298" s="158"/>
      <c r="Z298" s="158"/>
      <c r="AA298" s="150"/>
      <c r="AB298" s="158"/>
      <c r="AC298" s="150"/>
      <c r="AD298" s="158"/>
      <c r="AE298" s="150"/>
      <c r="AF298" s="158"/>
      <c r="AG298" s="158"/>
      <c r="AH298" s="158"/>
      <c r="AI298" s="158"/>
      <c r="AJ298" s="158"/>
      <c r="AK298" s="158"/>
      <c r="AL298" s="158"/>
      <c r="AM298" s="158"/>
      <c r="AN298" s="158"/>
      <c r="AO298" s="158"/>
      <c r="AP298" s="158"/>
      <c r="AQ298" s="158"/>
      <c r="AR298" s="158"/>
      <c r="AS298" s="158"/>
      <c r="AT298" s="158"/>
      <c r="AV298" s="413"/>
      <c r="AW298" s="413"/>
      <c r="AX298" s="414"/>
      <c r="AY298" s="415"/>
      <c r="AZ298" s="416"/>
      <c r="BA298" s="448"/>
    </row>
    <row r="299" spans="1:53">
      <c r="A299" s="5" t="str">
        <f t="shared" si="24"/>
        <v>Bus - Public Assessments_Pre Rinse Sprayer</v>
      </c>
      <c r="B299" s="407">
        <v>296</v>
      </c>
      <c r="C299" s="407" t="s">
        <v>725</v>
      </c>
      <c r="D299" s="407" t="s">
        <v>710</v>
      </c>
      <c r="E299" s="408" t="s">
        <v>150</v>
      </c>
      <c r="F299" s="408">
        <v>1</v>
      </c>
      <c r="G299" s="409">
        <v>0.79</v>
      </c>
      <c r="H299" s="470">
        <v>5</v>
      </c>
      <c r="I299" s="463">
        <v>5</v>
      </c>
      <c r="J299" s="408">
        <v>124</v>
      </c>
      <c r="K299" s="408">
        <v>124</v>
      </c>
      <c r="L299" s="408">
        <v>124</v>
      </c>
      <c r="M299" s="408">
        <v>124</v>
      </c>
      <c r="N299" s="461">
        <f>(X299-Z299)*60*AB299*AD299*8.33*1*(AF299-AH299)*(1/AJ299)/100000</f>
        <v>237.414996</v>
      </c>
      <c r="O299" s="461">
        <f t="shared" si="26"/>
        <v>237.414996</v>
      </c>
      <c r="P299" s="461">
        <f t="shared" si="26"/>
        <v>237.414996</v>
      </c>
      <c r="Q299" s="461">
        <f t="shared" si="26"/>
        <v>237.414996</v>
      </c>
      <c r="R299" s="411"/>
      <c r="S299" s="411" t="s">
        <v>1046</v>
      </c>
      <c r="T299" s="411" t="s">
        <v>351</v>
      </c>
      <c r="U299" s="411" t="s">
        <v>350</v>
      </c>
      <c r="V299" s="149" t="s">
        <v>344</v>
      </c>
      <c r="W299" s="412" t="s">
        <v>349</v>
      </c>
      <c r="X299" s="491">
        <v>2.14</v>
      </c>
      <c r="Y299" s="412" t="s">
        <v>348</v>
      </c>
      <c r="Z299" s="492">
        <v>0.98</v>
      </c>
      <c r="AA299" s="412" t="s">
        <v>347</v>
      </c>
      <c r="AB299" s="444">
        <v>1.5</v>
      </c>
      <c r="AC299" s="412" t="s">
        <v>346</v>
      </c>
      <c r="AD299" s="412">
        <v>312</v>
      </c>
      <c r="AE299" s="412" t="s">
        <v>251</v>
      </c>
      <c r="AF299" s="445">
        <f>70+AH299</f>
        <v>124.1</v>
      </c>
      <c r="AG299" s="412" t="s">
        <v>250</v>
      </c>
      <c r="AH299" s="490">
        <v>54.1</v>
      </c>
      <c r="AI299" s="412" t="s">
        <v>345</v>
      </c>
      <c r="AJ299" s="418">
        <v>0.8</v>
      </c>
      <c r="AK299" s="158"/>
      <c r="AL299" s="158"/>
      <c r="AM299" s="158"/>
      <c r="AN299" s="158"/>
      <c r="AO299" s="158"/>
      <c r="AP299" s="158"/>
      <c r="AQ299" s="158"/>
      <c r="AR299" s="158"/>
      <c r="AS299" s="158"/>
      <c r="AT299" s="158"/>
      <c r="AV299" s="413"/>
      <c r="AW299" s="413"/>
      <c r="AX299" s="414"/>
      <c r="AY299" s="415"/>
      <c r="AZ299" s="416"/>
      <c r="BA299" s="448"/>
    </row>
    <row r="300" spans="1:53">
      <c r="A300" s="5" t="str">
        <f t="shared" si="24"/>
        <v>Bus - Public Assessments_Gas Optimization</v>
      </c>
      <c r="B300" s="407">
        <v>297</v>
      </c>
      <c r="C300" s="407" t="s">
        <v>725</v>
      </c>
      <c r="D300" s="407" t="s">
        <v>670</v>
      </c>
      <c r="E300" s="408" t="s">
        <v>150</v>
      </c>
      <c r="F300" s="408">
        <v>1</v>
      </c>
      <c r="G300" s="409">
        <v>1.02</v>
      </c>
      <c r="H300" s="470">
        <v>15</v>
      </c>
      <c r="I300" s="463">
        <v>15</v>
      </c>
      <c r="J300" s="408">
        <v>3</v>
      </c>
      <c r="K300" s="408">
        <v>3</v>
      </c>
      <c r="L300" s="408">
        <v>3</v>
      </c>
      <c r="M300" s="408">
        <v>3</v>
      </c>
      <c r="N300" s="208">
        <v>83100</v>
      </c>
      <c r="O300" s="461">
        <f t="shared" si="26"/>
        <v>83100</v>
      </c>
      <c r="P300" s="461">
        <f t="shared" si="26"/>
        <v>83100</v>
      </c>
      <c r="Q300" s="461">
        <f t="shared" si="26"/>
        <v>83100</v>
      </c>
      <c r="R300" s="411"/>
      <c r="S300" s="411" t="s">
        <v>140</v>
      </c>
      <c r="T300" s="411" t="s">
        <v>140</v>
      </c>
      <c r="U300" s="411" t="s">
        <v>140</v>
      </c>
      <c r="V300" s="412"/>
      <c r="W300" s="161"/>
      <c r="X300" s="161"/>
      <c r="Y300" s="412"/>
      <c r="Z300" s="412"/>
      <c r="AA300" s="162"/>
      <c r="AB300" s="412"/>
      <c r="AC300" s="149"/>
      <c r="AD300" s="412"/>
      <c r="AE300" s="149"/>
      <c r="AF300" s="412"/>
      <c r="AG300" s="412"/>
      <c r="AH300" s="412"/>
      <c r="AI300" s="412"/>
      <c r="AJ300" s="412"/>
      <c r="AK300" s="412"/>
      <c r="AL300" s="412"/>
      <c r="AM300" s="412"/>
      <c r="AN300" s="412"/>
      <c r="AO300" s="412"/>
      <c r="AP300" s="412"/>
      <c r="AQ300" s="412"/>
      <c r="AR300" s="412"/>
      <c r="AS300" s="412"/>
      <c r="AT300" s="412"/>
      <c r="AV300" s="413"/>
      <c r="AW300" s="413"/>
      <c r="AX300" s="414"/>
      <c r="AY300" s="415"/>
      <c r="AZ300" s="416"/>
      <c r="BA300" s="448"/>
    </row>
    <row r="301" spans="1:53">
      <c r="A301" s="5" t="str">
        <f t="shared" si="24"/>
        <v>Bus - Public Assessments_Retrocommissioning</v>
      </c>
      <c r="B301" s="407">
        <v>298</v>
      </c>
      <c r="C301" s="407" t="s">
        <v>725</v>
      </c>
      <c r="D301" s="407" t="s">
        <v>671</v>
      </c>
      <c r="E301" s="408" t="s">
        <v>150</v>
      </c>
      <c r="F301" s="408">
        <v>1</v>
      </c>
      <c r="G301" s="409">
        <v>1.02</v>
      </c>
      <c r="H301" s="470">
        <v>15</v>
      </c>
      <c r="I301" s="463">
        <v>15</v>
      </c>
      <c r="J301" s="408">
        <v>4</v>
      </c>
      <c r="K301" s="408">
        <v>4</v>
      </c>
      <c r="L301" s="408">
        <v>4</v>
      </c>
      <c r="M301" s="408">
        <v>4</v>
      </c>
      <c r="N301" s="208">
        <v>59000</v>
      </c>
      <c r="O301" s="461">
        <f t="shared" si="26"/>
        <v>59000</v>
      </c>
      <c r="P301" s="461">
        <f t="shared" si="26"/>
        <v>59000</v>
      </c>
      <c r="Q301" s="461">
        <f t="shared" si="26"/>
        <v>59000</v>
      </c>
      <c r="R301" s="411"/>
      <c r="S301" s="411" t="s">
        <v>140</v>
      </c>
      <c r="T301" s="411" t="s">
        <v>140</v>
      </c>
      <c r="U301" s="411" t="s">
        <v>140</v>
      </c>
      <c r="V301" s="412"/>
      <c r="W301" s="161"/>
      <c r="X301" s="161"/>
      <c r="Y301" s="412"/>
      <c r="Z301" s="412"/>
      <c r="AA301" s="162"/>
      <c r="AB301" s="412"/>
      <c r="AC301" s="149"/>
      <c r="AD301" s="412"/>
      <c r="AE301" s="149"/>
      <c r="AF301" s="412"/>
      <c r="AG301" s="412"/>
      <c r="AH301" s="412"/>
      <c r="AI301" s="412"/>
      <c r="AJ301" s="412"/>
      <c r="AK301" s="412"/>
      <c r="AL301" s="412"/>
      <c r="AM301" s="412"/>
      <c r="AN301" s="412"/>
      <c r="AO301" s="412"/>
      <c r="AP301" s="412"/>
      <c r="AQ301" s="412"/>
      <c r="AR301" s="412"/>
      <c r="AS301" s="412"/>
      <c r="AT301" s="412"/>
      <c r="AV301" s="413"/>
      <c r="AW301" s="413"/>
      <c r="AX301" s="414"/>
      <c r="AY301" s="420"/>
      <c r="AZ301" s="416"/>
      <c r="BA301" s="448"/>
    </row>
    <row r="302" spans="1:53">
      <c r="A302" s="5" t="str">
        <f t="shared" si="24"/>
        <v>Bus - Public Rebates_Boiler ≥88% AFUE, &lt;300MBh</v>
      </c>
      <c r="B302" s="407">
        <v>299</v>
      </c>
      <c r="C302" s="407" t="s">
        <v>728</v>
      </c>
      <c r="D302" s="407" t="s">
        <v>718</v>
      </c>
      <c r="E302" s="408" t="s">
        <v>240</v>
      </c>
      <c r="F302" s="408">
        <v>200</v>
      </c>
      <c r="G302" s="409">
        <v>0.79</v>
      </c>
      <c r="H302" s="470">
        <v>20</v>
      </c>
      <c r="I302" s="463">
        <v>20</v>
      </c>
      <c r="J302" s="408">
        <v>0</v>
      </c>
      <c r="K302" s="408">
        <v>0</v>
      </c>
      <c r="L302" s="408">
        <v>0</v>
      </c>
      <c r="M302" s="408">
        <v>0</v>
      </c>
      <c r="N302" s="208">
        <f>X302*Z302*((AB302-AD302)/AD302)/100000/F302</f>
        <v>1.2278048780487816</v>
      </c>
      <c r="O302" s="461">
        <f t="shared" si="26"/>
        <v>1.2278048780487816</v>
      </c>
      <c r="P302" s="461">
        <f t="shared" si="26"/>
        <v>1.2278048780487816</v>
      </c>
      <c r="Q302" s="461">
        <f t="shared" si="26"/>
        <v>1.2278048780487816</v>
      </c>
      <c r="R302" s="411"/>
      <c r="S302" s="411" t="s">
        <v>1046</v>
      </c>
      <c r="T302" s="411" t="s">
        <v>343</v>
      </c>
      <c r="U302" s="411" t="s">
        <v>342</v>
      </c>
      <c r="V302" s="158" t="s">
        <v>340</v>
      </c>
      <c r="W302" s="496" t="s">
        <v>271</v>
      </c>
      <c r="X302" s="495">
        <v>1678</v>
      </c>
      <c r="Y302" s="150" t="s">
        <v>273</v>
      </c>
      <c r="Z302" s="424">
        <v>200000</v>
      </c>
      <c r="AA302" s="150" t="s">
        <v>341</v>
      </c>
      <c r="AB302" s="423">
        <v>0.88</v>
      </c>
      <c r="AC302" s="158" t="s">
        <v>248</v>
      </c>
      <c r="AD302" s="423">
        <v>0.82</v>
      </c>
      <c r="AE302" s="158"/>
      <c r="AF302" s="158"/>
      <c r="AG302" s="158"/>
      <c r="AH302" s="158"/>
      <c r="AI302" s="158"/>
      <c r="AJ302" s="158"/>
      <c r="AK302" s="158"/>
      <c r="AL302" s="158"/>
      <c r="AM302" s="158"/>
      <c r="AN302" s="158"/>
      <c r="AO302" s="158"/>
      <c r="AP302" s="158"/>
      <c r="AQ302" s="158"/>
      <c r="AR302" s="158"/>
      <c r="AS302" s="158"/>
      <c r="AT302" s="158"/>
      <c r="AV302" s="413"/>
      <c r="AW302" s="413"/>
      <c r="AX302" s="414"/>
      <c r="AY302" s="420"/>
      <c r="AZ302" s="416"/>
      <c r="BA302" s="448"/>
    </row>
    <row r="303" spans="1:53">
      <c r="A303" s="5" t="str">
        <f t="shared" si="24"/>
        <v>Bus - Public Rebates_Boiler ≥88% AFUE, ≥300MBh TE</v>
      </c>
      <c r="B303" s="407">
        <v>300</v>
      </c>
      <c r="C303" s="407" t="s">
        <v>728</v>
      </c>
      <c r="D303" s="407" t="s">
        <v>719</v>
      </c>
      <c r="E303" s="408" t="s">
        <v>240</v>
      </c>
      <c r="F303" s="408">
        <v>400</v>
      </c>
      <c r="G303" s="409">
        <v>0.79</v>
      </c>
      <c r="H303" s="470">
        <v>20</v>
      </c>
      <c r="I303" s="463">
        <v>20</v>
      </c>
      <c r="J303" s="408">
        <v>8</v>
      </c>
      <c r="K303" s="408">
        <v>8</v>
      </c>
      <c r="L303" s="408">
        <v>8</v>
      </c>
      <c r="M303" s="408">
        <v>8</v>
      </c>
      <c r="N303" s="208">
        <f>X303*Z303*((AB303-AD303)/AD303)/100000/F303</f>
        <v>1.6779999999999993</v>
      </c>
      <c r="O303" s="461">
        <f t="shared" si="26"/>
        <v>1.6779999999999993</v>
      </c>
      <c r="P303" s="461">
        <f t="shared" si="26"/>
        <v>1.6779999999999993</v>
      </c>
      <c r="Q303" s="461">
        <f t="shared" si="26"/>
        <v>1.6779999999999993</v>
      </c>
      <c r="R303" s="411"/>
      <c r="S303" s="411" t="s">
        <v>1046</v>
      </c>
      <c r="T303" s="411" t="s">
        <v>343</v>
      </c>
      <c r="U303" s="411" t="s">
        <v>342</v>
      </c>
      <c r="V303" s="158" t="s">
        <v>340</v>
      </c>
      <c r="W303" s="496" t="s">
        <v>271</v>
      </c>
      <c r="X303" s="495">
        <v>1678</v>
      </c>
      <c r="Y303" s="150" t="s">
        <v>273</v>
      </c>
      <c r="Z303" s="424">
        <v>400000</v>
      </c>
      <c r="AA303" s="150" t="s">
        <v>341</v>
      </c>
      <c r="AB303" s="423">
        <v>0.88</v>
      </c>
      <c r="AC303" s="158" t="s">
        <v>248</v>
      </c>
      <c r="AD303" s="423">
        <v>0.8</v>
      </c>
      <c r="AE303" s="158"/>
      <c r="AF303" s="158"/>
      <c r="AG303" s="158"/>
      <c r="AH303" s="158"/>
      <c r="AI303" s="158"/>
      <c r="AJ303" s="158"/>
      <c r="AK303" s="158"/>
      <c r="AL303" s="158"/>
      <c r="AM303" s="158"/>
      <c r="AN303" s="158"/>
      <c r="AO303" s="158"/>
      <c r="AP303" s="158"/>
      <c r="AQ303" s="158"/>
      <c r="AR303" s="158"/>
      <c r="AS303" s="158"/>
      <c r="AT303" s="158"/>
      <c r="AV303" s="413"/>
      <c r="AW303" s="413"/>
      <c r="AX303" s="414"/>
      <c r="AY303" s="415"/>
      <c r="AZ303" s="416"/>
      <c r="BA303" s="448"/>
    </row>
    <row r="304" spans="1:53">
      <c r="A304" s="5" t="str">
        <f t="shared" si="24"/>
        <v>Bus - Public Rebates_Boiler Reset Controls</v>
      </c>
      <c r="B304" s="407">
        <v>301</v>
      </c>
      <c r="C304" s="407" t="s">
        <v>728</v>
      </c>
      <c r="D304" s="407" t="s">
        <v>1065</v>
      </c>
      <c r="E304" s="408" t="s">
        <v>150</v>
      </c>
      <c r="F304" s="408">
        <v>200</v>
      </c>
      <c r="G304" s="409">
        <v>0.79</v>
      </c>
      <c r="H304" s="470">
        <v>20</v>
      </c>
      <c r="I304" s="463">
        <v>20</v>
      </c>
      <c r="J304" s="408">
        <v>15</v>
      </c>
      <c r="K304" s="408">
        <v>15</v>
      </c>
      <c r="L304" s="408">
        <v>15</v>
      </c>
      <c r="M304" s="408">
        <v>15</v>
      </c>
      <c r="N304" s="208">
        <f>X304*Z304/100</f>
        <v>1.3424</v>
      </c>
      <c r="O304" s="461">
        <f t="shared" si="26"/>
        <v>1.3424</v>
      </c>
      <c r="P304" s="461">
        <f t="shared" si="26"/>
        <v>1.3424</v>
      </c>
      <c r="Q304" s="461">
        <f t="shared" si="26"/>
        <v>1.3424</v>
      </c>
      <c r="R304" s="411"/>
      <c r="S304" s="411" t="s">
        <v>1046</v>
      </c>
      <c r="T304" s="411" t="s">
        <v>339</v>
      </c>
      <c r="U304" s="411" t="s">
        <v>338</v>
      </c>
      <c r="V304" s="158" t="s">
        <v>336</v>
      </c>
      <c r="W304" s="496" t="s">
        <v>271</v>
      </c>
      <c r="X304" s="495">
        <v>1678</v>
      </c>
      <c r="Y304" s="150" t="s">
        <v>337</v>
      </c>
      <c r="Z304" s="425">
        <v>0.08</v>
      </c>
      <c r="AA304" s="150"/>
      <c r="AB304" s="150"/>
      <c r="AC304" s="150"/>
      <c r="AD304" s="150"/>
      <c r="AE304" s="150"/>
      <c r="AF304" s="158"/>
      <c r="AG304" s="158"/>
      <c r="AH304" s="158"/>
      <c r="AI304" s="158"/>
      <c r="AJ304" s="158"/>
      <c r="AK304" s="158"/>
      <c r="AL304" s="158"/>
      <c r="AM304" s="158"/>
      <c r="AN304" s="158"/>
      <c r="AO304" s="158"/>
      <c r="AP304" s="158"/>
      <c r="AQ304" s="158"/>
      <c r="AR304" s="158"/>
      <c r="AS304" s="158"/>
      <c r="AT304" s="158"/>
      <c r="AV304" s="413"/>
      <c r="AW304" s="413"/>
      <c r="AX304" s="414"/>
      <c r="AY304" s="415"/>
      <c r="AZ304" s="416"/>
      <c r="BA304" s="448"/>
    </row>
    <row r="305" spans="1:53">
      <c r="A305" s="5" t="str">
        <f t="shared" si="24"/>
        <v>Bus - Public Rebates_Boiler Tune Up - Process</v>
      </c>
      <c r="B305" s="407">
        <v>302</v>
      </c>
      <c r="C305" s="407" t="s">
        <v>728</v>
      </c>
      <c r="D305" s="407" t="s">
        <v>335</v>
      </c>
      <c r="E305" s="408" t="s">
        <v>240</v>
      </c>
      <c r="F305" s="408">
        <v>2500</v>
      </c>
      <c r="G305" s="409">
        <v>0.79</v>
      </c>
      <c r="H305" s="470">
        <v>3</v>
      </c>
      <c r="I305" s="463">
        <v>3</v>
      </c>
      <c r="J305" s="408">
        <v>30</v>
      </c>
      <c r="K305" s="408">
        <v>30</v>
      </c>
      <c r="L305" s="408">
        <v>30</v>
      </c>
      <c r="M305" s="408">
        <v>30</v>
      </c>
      <c r="N305" s="208">
        <f>(X305*8766*Z305)/100*(1-AB305/AD305)</f>
        <v>0.83823507428978783</v>
      </c>
      <c r="O305" s="461">
        <f t="shared" si="26"/>
        <v>0.83823507428978783</v>
      </c>
      <c r="P305" s="461">
        <f t="shared" si="26"/>
        <v>0.83823507428978783</v>
      </c>
      <c r="Q305" s="461">
        <f t="shared" si="26"/>
        <v>0.83823507428978783</v>
      </c>
      <c r="R305" s="411"/>
      <c r="S305" s="411" t="s">
        <v>1046</v>
      </c>
      <c r="T305" s="411" t="s">
        <v>334</v>
      </c>
      <c r="U305" s="411" t="s">
        <v>333</v>
      </c>
      <c r="V305" s="158" t="s">
        <v>328</v>
      </c>
      <c r="W305" s="158" t="s">
        <v>332</v>
      </c>
      <c r="X305" s="424">
        <v>1</v>
      </c>
      <c r="Y305" s="158" t="s">
        <v>331</v>
      </c>
      <c r="Z305" s="431">
        <v>0.41899999999999998</v>
      </c>
      <c r="AA305" s="150" t="s">
        <v>330</v>
      </c>
      <c r="AB305" s="432">
        <v>0.82210000000000005</v>
      </c>
      <c r="AC305" s="150" t="s">
        <v>329</v>
      </c>
      <c r="AD305" s="432">
        <v>0.84130000000000005</v>
      </c>
      <c r="AE305" s="150"/>
      <c r="AF305" s="158"/>
      <c r="AG305" s="158"/>
      <c r="AH305" s="158"/>
      <c r="AI305" s="158"/>
      <c r="AJ305" s="158"/>
      <c r="AK305" s="158"/>
      <c r="AL305" s="158"/>
      <c r="AM305" s="158"/>
      <c r="AN305" s="158"/>
      <c r="AO305" s="158"/>
      <c r="AP305" s="158"/>
      <c r="AQ305" s="158"/>
      <c r="AR305" s="158"/>
      <c r="AS305" s="158"/>
      <c r="AT305" s="158"/>
      <c r="AV305" s="413"/>
      <c r="AW305" s="413"/>
      <c r="AX305" s="414"/>
      <c r="AY305" s="415"/>
      <c r="AZ305" s="416"/>
      <c r="BA305" s="448"/>
    </row>
    <row r="306" spans="1:53">
      <c r="A306" s="5" t="str">
        <f t="shared" si="24"/>
        <v>Bus - Public Rebates_Boiler Tune Up - Space Heating</v>
      </c>
      <c r="B306" s="407">
        <v>303</v>
      </c>
      <c r="C306" s="407" t="s">
        <v>728</v>
      </c>
      <c r="D306" s="407" t="s">
        <v>724</v>
      </c>
      <c r="E306" s="408" t="s">
        <v>240</v>
      </c>
      <c r="F306" s="408">
        <v>2500</v>
      </c>
      <c r="G306" s="409">
        <v>0.79</v>
      </c>
      <c r="H306" s="470">
        <v>3</v>
      </c>
      <c r="I306" s="463">
        <v>3</v>
      </c>
      <c r="J306" s="408">
        <v>0</v>
      </c>
      <c r="K306" s="408">
        <v>0</v>
      </c>
      <c r="L306" s="408">
        <v>0</v>
      </c>
      <c r="M306" s="408">
        <v>0</v>
      </c>
      <c r="N306" s="208">
        <f>AD306*(X306*((AB306/Z306)-1))/100000</f>
        <v>0.3918939301788088</v>
      </c>
      <c r="O306" s="461">
        <f t="shared" ref="O306:Q325" si="28">N306</f>
        <v>0.3918939301788088</v>
      </c>
      <c r="P306" s="461">
        <f t="shared" si="28"/>
        <v>0.3918939301788088</v>
      </c>
      <c r="Q306" s="461">
        <f t="shared" si="28"/>
        <v>0.3918939301788088</v>
      </c>
      <c r="R306" s="411"/>
      <c r="S306" s="411" t="s">
        <v>1046</v>
      </c>
      <c r="T306" s="411" t="s">
        <v>327</v>
      </c>
      <c r="U306" s="411" t="s">
        <v>326</v>
      </c>
      <c r="V306" s="158" t="s">
        <v>322</v>
      </c>
      <c r="W306" s="496" t="s">
        <v>271</v>
      </c>
      <c r="X306" s="495">
        <v>1678</v>
      </c>
      <c r="Y306" s="150" t="s">
        <v>325</v>
      </c>
      <c r="Z306" s="432">
        <v>0.82210000000000005</v>
      </c>
      <c r="AA306" s="150" t="s">
        <v>324</v>
      </c>
      <c r="AB306" s="432">
        <v>0.84130000000000005</v>
      </c>
      <c r="AC306" s="158" t="s">
        <v>323</v>
      </c>
      <c r="AD306" s="433">
        <v>1000</v>
      </c>
      <c r="AE306" s="158"/>
      <c r="AF306" s="158"/>
      <c r="AG306" s="158"/>
      <c r="AH306" s="158"/>
      <c r="AI306" s="158"/>
      <c r="AJ306" s="158"/>
      <c r="AK306" s="158"/>
      <c r="AL306" s="158"/>
      <c r="AM306" s="158"/>
      <c r="AN306" s="158"/>
      <c r="AO306" s="158"/>
      <c r="AP306" s="158"/>
      <c r="AQ306" s="158"/>
      <c r="AR306" s="158"/>
      <c r="AS306" s="158"/>
      <c r="AT306" s="158"/>
      <c r="AV306" s="413"/>
      <c r="AW306" s="413"/>
      <c r="AX306" s="414"/>
      <c r="AY306" s="415"/>
      <c r="AZ306" s="416"/>
      <c r="BA306" s="448"/>
    </row>
    <row r="307" spans="1:53">
      <c r="A307" s="5" t="str">
        <f t="shared" si="24"/>
        <v>Bus - Public Rebates_Condensing Unit Heater</v>
      </c>
      <c r="B307" s="407">
        <v>304</v>
      </c>
      <c r="C307" s="407" t="s">
        <v>728</v>
      </c>
      <c r="D307" s="407" t="s">
        <v>321</v>
      </c>
      <c r="E307" s="408" t="s">
        <v>240</v>
      </c>
      <c r="F307" s="408">
        <v>150</v>
      </c>
      <c r="G307" s="409">
        <v>0.79</v>
      </c>
      <c r="H307" s="470">
        <v>12</v>
      </c>
      <c r="I307" s="463">
        <v>12</v>
      </c>
      <c r="J307" s="408">
        <v>0</v>
      </c>
      <c r="K307" s="408">
        <v>0</v>
      </c>
      <c r="L307" s="408">
        <v>0</v>
      </c>
      <c r="M307" s="408">
        <v>0</v>
      </c>
      <c r="N307" s="208">
        <f>266/F307</f>
        <v>1.7733333333333334</v>
      </c>
      <c r="O307" s="461">
        <f t="shared" si="28"/>
        <v>1.7733333333333334</v>
      </c>
      <c r="P307" s="461">
        <f t="shared" si="28"/>
        <v>1.7733333333333334</v>
      </c>
      <c r="Q307" s="461">
        <f t="shared" si="28"/>
        <v>1.7733333333333334</v>
      </c>
      <c r="R307" s="411"/>
      <c r="S307" s="411" t="s">
        <v>1046</v>
      </c>
      <c r="T307" s="411" t="s">
        <v>320</v>
      </c>
      <c r="U307" s="411" t="s">
        <v>319</v>
      </c>
      <c r="V307" s="158" t="s">
        <v>318</v>
      </c>
      <c r="W307" s="158"/>
      <c r="X307" s="158"/>
      <c r="Y307" s="158"/>
      <c r="Z307" s="158"/>
      <c r="AA307" s="150"/>
      <c r="AB307" s="158"/>
      <c r="AC307" s="150"/>
      <c r="AD307" s="158"/>
      <c r="AE307" s="150"/>
      <c r="AF307" s="158"/>
      <c r="AG307" s="158"/>
      <c r="AH307" s="158"/>
      <c r="AI307" s="158"/>
      <c r="AJ307" s="158"/>
      <c r="AK307" s="158"/>
      <c r="AL307" s="158"/>
      <c r="AM307" s="158"/>
      <c r="AN307" s="158"/>
      <c r="AO307" s="158"/>
      <c r="AP307" s="158"/>
      <c r="AQ307" s="158"/>
      <c r="AR307" s="158"/>
      <c r="AS307" s="158"/>
      <c r="AT307" s="158"/>
      <c r="AV307" s="413"/>
      <c r="AW307" s="413"/>
      <c r="AX307" s="414"/>
      <c r="AY307" s="415"/>
      <c r="AZ307" s="416"/>
      <c r="BA307" s="448"/>
    </row>
    <row r="308" spans="1:53">
      <c r="A308" s="5" t="str">
        <f t="shared" si="24"/>
        <v>Bus - Public Rebates_DCV - Kitchen</v>
      </c>
      <c r="B308" s="407">
        <v>305</v>
      </c>
      <c r="C308" s="407" t="s">
        <v>728</v>
      </c>
      <c r="D308" s="407" t="s">
        <v>312</v>
      </c>
      <c r="E308" s="408" t="s">
        <v>150</v>
      </c>
      <c r="F308" s="408">
        <v>1</v>
      </c>
      <c r="G308" s="409">
        <v>0.79</v>
      </c>
      <c r="H308" s="470">
        <v>15</v>
      </c>
      <c r="I308" s="463">
        <v>15</v>
      </c>
      <c r="J308" s="408">
        <v>8</v>
      </c>
      <c r="K308" s="408">
        <v>8</v>
      </c>
      <c r="L308" s="408">
        <v>8</v>
      </c>
      <c r="M308" s="408">
        <v>8</v>
      </c>
      <c r="N308" s="208">
        <f>X308*Z308*AB308/(AD308*100000)</f>
        <v>5998.5</v>
      </c>
      <c r="O308" s="461">
        <f t="shared" si="28"/>
        <v>5998.5</v>
      </c>
      <c r="P308" s="461">
        <f t="shared" si="28"/>
        <v>5998.5</v>
      </c>
      <c r="Q308" s="461">
        <f t="shared" si="28"/>
        <v>5998.5</v>
      </c>
      <c r="R308" s="411"/>
      <c r="S308" s="411" t="s">
        <v>1046</v>
      </c>
      <c r="T308" s="411" t="s">
        <v>311</v>
      </c>
      <c r="U308" s="411" t="s">
        <v>310</v>
      </c>
      <c r="V308" s="158" t="s">
        <v>306</v>
      </c>
      <c r="W308" s="158" t="s">
        <v>305</v>
      </c>
      <c r="X308" s="158">
        <v>430</v>
      </c>
      <c r="Y308" s="158" t="s">
        <v>309</v>
      </c>
      <c r="Z308" s="158">
        <v>7.75</v>
      </c>
      <c r="AA308" s="150" t="s">
        <v>308</v>
      </c>
      <c r="AB308" s="437">
        <v>144000</v>
      </c>
      <c r="AC308" s="150" t="s">
        <v>307</v>
      </c>
      <c r="AD308" s="423">
        <v>0.8</v>
      </c>
      <c r="AE308" s="150"/>
      <c r="AF308" s="158"/>
      <c r="AG308" s="158"/>
      <c r="AH308" s="158"/>
      <c r="AI308" s="158"/>
      <c r="AJ308" s="158"/>
      <c r="AK308" s="158"/>
      <c r="AL308" s="158"/>
      <c r="AM308" s="158"/>
      <c r="AN308" s="158"/>
      <c r="AO308" s="158"/>
      <c r="AP308" s="158"/>
      <c r="AQ308" s="158"/>
      <c r="AR308" s="158"/>
      <c r="AS308" s="158"/>
      <c r="AT308" s="158"/>
      <c r="AV308" s="413"/>
      <c r="AW308" s="413"/>
      <c r="AX308" s="414"/>
      <c r="AY308" s="415"/>
      <c r="AZ308" s="416"/>
      <c r="BA308" s="448"/>
    </row>
    <row r="309" spans="1:53">
      <c r="A309" s="5" t="str">
        <f t="shared" si="24"/>
        <v>Bus - Public Rebates_Direct Fired Heaters</v>
      </c>
      <c r="B309" s="407">
        <v>306</v>
      </c>
      <c r="C309" s="407" t="s">
        <v>728</v>
      </c>
      <c r="D309" s="407" t="s">
        <v>317</v>
      </c>
      <c r="E309" s="408" t="s">
        <v>240</v>
      </c>
      <c r="F309" s="408">
        <v>150</v>
      </c>
      <c r="G309" s="409">
        <v>0.79</v>
      </c>
      <c r="H309" s="470">
        <v>20</v>
      </c>
      <c r="I309" s="463">
        <v>20</v>
      </c>
      <c r="J309" s="408">
        <v>0</v>
      </c>
      <c r="K309" s="408">
        <v>0</v>
      </c>
      <c r="L309" s="408">
        <v>0</v>
      </c>
      <c r="M309" s="408">
        <v>0</v>
      </c>
      <c r="N309" s="208">
        <f>AF309*X309*(Z309/AB309-1)/100000</f>
        <v>2.5169999999999986</v>
      </c>
      <c r="O309" s="461">
        <f t="shared" si="28"/>
        <v>2.5169999999999986</v>
      </c>
      <c r="P309" s="461">
        <f t="shared" si="28"/>
        <v>2.5169999999999986</v>
      </c>
      <c r="Q309" s="461">
        <f t="shared" si="28"/>
        <v>2.5169999999999986</v>
      </c>
      <c r="R309" s="411"/>
      <c r="S309" s="411" t="s">
        <v>140</v>
      </c>
      <c r="T309" s="411" t="s">
        <v>140</v>
      </c>
      <c r="U309" s="411" t="s">
        <v>140</v>
      </c>
      <c r="V309" s="158" t="s">
        <v>313</v>
      </c>
      <c r="W309" s="158" t="s">
        <v>273</v>
      </c>
      <c r="X309" s="158">
        <v>1000</v>
      </c>
      <c r="Y309" s="158" t="s">
        <v>316</v>
      </c>
      <c r="Z309" s="423">
        <v>0.92</v>
      </c>
      <c r="AA309" s="150" t="s">
        <v>315</v>
      </c>
      <c r="AB309" s="423">
        <v>0.8</v>
      </c>
      <c r="AC309" s="494" t="s">
        <v>302</v>
      </c>
      <c r="AD309" s="496">
        <f>(1540+1782)/2</f>
        <v>1661</v>
      </c>
      <c r="AE309" s="494" t="s">
        <v>314</v>
      </c>
      <c r="AF309" s="496">
        <v>1678</v>
      </c>
      <c r="AG309" s="158"/>
      <c r="AH309" s="158"/>
      <c r="AI309" s="158"/>
      <c r="AJ309" s="158"/>
      <c r="AK309" s="158"/>
      <c r="AL309" s="158"/>
      <c r="AM309" s="158"/>
      <c r="AN309" s="158"/>
      <c r="AO309" s="158"/>
      <c r="AP309" s="158"/>
      <c r="AQ309" s="158"/>
      <c r="AR309" s="158"/>
      <c r="AS309" s="158"/>
      <c r="AT309" s="158"/>
      <c r="AV309" s="413"/>
      <c r="AW309" s="413"/>
      <c r="AX309" s="414"/>
      <c r="AY309" s="415"/>
      <c r="AZ309" s="416"/>
      <c r="BA309" s="448"/>
    </row>
    <row r="310" spans="1:53">
      <c r="A310" s="5" t="str">
        <f t="shared" si="24"/>
        <v>Bus - Public Rebates_High Speed Washer - Hotel/Motel/Hospital</v>
      </c>
      <c r="B310" s="407">
        <v>307</v>
      </c>
      <c r="C310" s="407" t="s">
        <v>728</v>
      </c>
      <c r="D310" s="407" t="s">
        <v>238</v>
      </c>
      <c r="E310" s="408" t="s">
        <v>237</v>
      </c>
      <c r="F310" s="408">
        <v>250</v>
      </c>
      <c r="G310" s="409">
        <v>0.79</v>
      </c>
      <c r="H310" s="470">
        <v>7</v>
      </c>
      <c r="I310" s="463">
        <v>7</v>
      </c>
      <c r="J310" s="408">
        <v>6</v>
      </c>
      <c r="K310" s="408">
        <v>6</v>
      </c>
      <c r="L310" s="408">
        <v>6</v>
      </c>
      <c r="M310" s="408">
        <v>6</v>
      </c>
      <c r="N310" s="208">
        <f>X310*Z310*AB310*AD310*AF310/AH310/100000*AJ310*AL310/F310</f>
        <v>11.243232000000003</v>
      </c>
      <c r="O310" s="461">
        <f t="shared" si="28"/>
        <v>11.243232000000003</v>
      </c>
      <c r="P310" s="461">
        <f t="shared" si="28"/>
        <v>11.243232000000003</v>
      </c>
      <c r="Q310" s="461">
        <f t="shared" si="28"/>
        <v>11.243232000000003</v>
      </c>
      <c r="R310" s="411"/>
      <c r="S310" s="411" t="s">
        <v>1046</v>
      </c>
      <c r="T310" s="411" t="s">
        <v>236</v>
      </c>
      <c r="U310" s="411" t="s">
        <v>235</v>
      </c>
      <c r="V310" s="436"/>
      <c r="W310" s="158" t="s">
        <v>234</v>
      </c>
      <c r="X310" s="158">
        <v>10.4</v>
      </c>
      <c r="Y310" s="158" t="s">
        <v>233</v>
      </c>
      <c r="Z310" s="158">
        <v>360</v>
      </c>
      <c r="AA310" s="150" t="s">
        <v>232</v>
      </c>
      <c r="AB310" s="424">
        <v>250</v>
      </c>
      <c r="AC310" s="150" t="s">
        <v>231</v>
      </c>
      <c r="AD310" s="429">
        <v>0.25</v>
      </c>
      <c r="AE310" s="150" t="s">
        <v>230</v>
      </c>
      <c r="AF310" s="424">
        <v>1200</v>
      </c>
      <c r="AG310" s="423" t="s">
        <v>229</v>
      </c>
      <c r="AH310" s="423">
        <v>0.6</v>
      </c>
      <c r="AI310" s="158" t="s">
        <v>228</v>
      </c>
      <c r="AJ310" s="423">
        <v>0.91</v>
      </c>
      <c r="AK310" s="158" t="s">
        <v>227</v>
      </c>
      <c r="AL310" s="429">
        <v>0.66</v>
      </c>
      <c r="AM310" s="158"/>
      <c r="AN310" s="158"/>
      <c r="AO310" s="158"/>
      <c r="AP310" s="158"/>
      <c r="AQ310" s="158"/>
      <c r="AR310" s="158"/>
      <c r="AS310" s="158"/>
      <c r="AT310" s="158"/>
      <c r="AV310" s="413"/>
      <c r="AW310" s="413"/>
      <c r="AX310" s="414"/>
      <c r="AY310" s="415"/>
      <c r="AZ310" s="416"/>
      <c r="BA310" s="448"/>
    </row>
    <row r="311" spans="1:53">
      <c r="A311" s="5" t="str">
        <f t="shared" si="24"/>
        <v>Bus - Public Rebates_Infrared Heater</v>
      </c>
      <c r="B311" s="407">
        <v>308</v>
      </c>
      <c r="C311" s="407" t="s">
        <v>728</v>
      </c>
      <c r="D311" s="407" t="s">
        <v>295</v>
      </c>
      <c r="E311" s="408" t="s">
        <v>240</v>
      </c>
      <c r="F311" s="408">
        <v>150</v>
      </c>
      <c r="G311" s="409">
        <v>0.79</v>
      </c>
      <c r="H311" s="470">
        <v>12</v>
      </c>
      <c r="I311" s="463">
        <v>12</v>
      </c>
      <c r="J311" s="408">
        <v>0</v>
      </c>
      <c r="K311" s="408">
        <v>0</v>
      </c>
      <c r="L311" s="408">
        <v>0</v>
      </c>
      <c r="M311" s="408">
        <v>0</v>
      </c>
      <c r="N311" s="208">
        <f>451/F311</f>
        <v>3.0066666666666668</v>
      </c>
      <c r="O311" s="461">
        <f t="shared" si="28"/>
        <v>3.0066666666666668</v>
      </c>
      <c r="P311" s="461">
        <f t="shared" si="28"/>
        <v>3.0066666666666668</v>
      </c>
      <c r="Q311" s="461">
        <f t="shared" si="28"/>
        <v>3.0066666666666668</v>
      </c>
      <c r="R311" s="411"/>
      <c r="S311" s="411" t="s">
        <v>1046</v>
      </c>
      <c r="T311" s="411" t="s">
        <v>294</v>
      </c>
      <c r="U311" s="411" t="s">
        <v>293</v>
      </c>
      <c r="V311" s="158" t="s">
        <v>291</v>
      </c>
      <c r="W311" s="158" t="s">
        <v>292</v>
      </c>
      <c r="X311" s="437">
        <v>150</v>
      </c>
      <c r="Y311" s="158"/>
      <c r="Z311" s="158"/>
      <c r="AA311" s="150"/>
      <c r="AB311" s="158"/>
      <c r="AC311" s="150"/>
      <c r="AD311" s="158"/>
      <c r="AE311" s="150"/>
      <c r="AF311" s="158"/>
      <c r="AG311" s="158"/>
      <c r="AH311" s="158"/>
      <c r="AI311" s="158"/>
      <c r="AJ311" s="158"/>
      <c r="AK311" s="158"/>
      <c r="AL311" s="158"/>
      <c r="AM311" s="158"/>
      <c r="AN311" s="158"/>
      <c r="AO311" s="158"/>
      <c r="AP311" s="158"/>
      <c r="AQ311" s="158"/>
      <c r="AR311" s="158"/>
      <c r="AS311" s="158"/>
      <c r="AT311" s="158"/>
      <c r="AV311" s="413"/>
      <c r="AW311" s="413"/>
      <c r="AX311" s="414"/>
      <c r="AY311" s="415"/>
      <c r="AZ311" s="416"/>
      <c r="BA311" s="448"/>
    </row>
    <row r="312" spans="1:53">
      <c r="A312" s="5" t="str">
        <f t="shared" si="24"/>
        <v>Bus - Public Rebates_Modulating Commercial Gas Clothes Dryer</v>
      </c>
      <c r="B312" s="407">
        <v>309</v>
      </c>
      <c r="C312" s="407" t="s">
        <v>728</v>
      </c>
      <c r="D312" s="407" t="s">
        <v>290</v>
      </c>
      <c r="E312" s="408" t="s">
        <v>150</v>
      </c>
      <c r="F312" s="408">
        <v>1</v>
      </c>
      <c r="G312" s="409">
        <v>0.79</v>
      </c>
      <c r="H312" s="470">
        <v>14</v>
      </c>
      <c r="I312" s="463">
        <v>14</v>
      </c>
      <c r="J312" s="408">
        <v>0</v>
      </c>
      <c r="K312" s="408">
        <v>0</v>
      </c>
      <c r="L312" s="408">
        <v>0</v>
      </c>
      <c r="M312" s="408">
        <v>0</v>
      </c>
      <c r="N312" s="208">
        <f>1483*0.18</f>
        <v>266.94</v>
      </c>
      <c r="O312" s="461">
        <f t="shared" si="28"/>
        <v>266.94</v>
      </c>
      <c r="P312" s="461">
        <f t="shared" si="28"/>
        <v>266.94</v>
      </c>
      <c r="Q312" s="461">
        <f t="shared" si="28"/>
        <v>266.94</v>
      </c>
      <c r="R312" s="411"/>
      <c r="S312" s="411" t="s">
        <v>1046</v>
      </c>
      <c r="T312" s="411" t="s">
        <v>289</v>
      </c>
      <c r="U312" s="411" t="s">
        <v>288</v>
      </c>
      <c r="V312" s="158" t="s">
        <v>187</v>
      </c>
      <c r="W312" s="158"/>
      <c r="X312" s="158"/>
      <c r="Y312" s="158"/>
      <c r="Z312" s="158"/>
      <c r="AA312" s="150"/>
      <c r="AB312" s="158"/>
      <c r="AC312" s="150"/>
      <c r="AD312" s="158"/>
      <c r="AE312" s="150"/>
      <c r="AF312" s="158"/>
      <c r="AG312" s="158"/>
      <c r="AH312" s="158"/>
      <c r="AI312" s="158"/>
      <c r="AJ312" s="158"/>
      <c r="AK312" s="158"/>
      <c r="AL312" s="158"/>
      <c r="AM312" s="158"/>
      <c r="AN312" s="158"/>
      <c r="AO312" s="158"/>
      <c r="AP312" s="158"/>
      <c r="AQ312" s="158"/>
      <c r="AR312" s="158"/>
      <c r="AS312" s="158"/>
      <c r="AT312" s="158"/>
      <c r="AV312" s="413"/>
      <c r="AW312" s="413"/>
      <c r="AX312" s="414"/>
      <c r="AY312" s="415"/>
      <c r="AZ312" s="416"/>
      <c r="BA312" s="448"/>
    </row>
    <row r="313" spans="1:53">
      <c r="A313" s="5" t="str">
        <f t="shared" si="24"/>
        <v>Bus - Public Rebates_Ozone Laundry</v>
      </c>
      <c r="B313" s="407">
        <v>310</v>
      </c>
      <c r="C313" s="407" t="s">
        <v>728</v>
      </c>
      <c r="D313" s="407" t="s">
        <v>287</v>
      </c>
      <c r="E313" s="408" t="s">
        <v>237</v>
      </c>
      <c r="F313" s="408">
        <v>250</v>
      </c>
      <c r="G313" s="409">
        <v>0.79</v>
      </c>
      <c r="H313" s="470">
        <v>10</v>
      </c>
      <c r="I313" s="463">
        <v>10</v>
      </c>
      <c r="J313" s="408">
        <v>0</v>
      </c>
      <c r="K313" s="408">
        <v>0</v>
      </c>
      <c r="L313" s="408">
        <v>0</v>
      </c>
      <c r="M313" s="408">
        <v>0</v>
      </c>
      <c r="N313" s="208">
        <f>X313*Z313*AB313*AD313/AF313</f>
        <v>30.722664192350027</v>
      </c>
      <c r="O313" s="461">
        <f t="shared" si="28"/>
        <v>30.722664192350027</v>
      </c>
      <c r="P313" s="461">
        <f t="shared" si="28"/>
        <v>30.722664192350027</v>
      </c>
      <c r="Q313" s="461">
        <f t="shared" si="28"/>
        <v>30.722664192350027</v>
      </c>
      <c r="R313" s="411"/>
      <c r="S313" s="411" t="s">
        <v>1046</v>
      </c>
      <c r="T313" s="411" t="s">
        <v>286</v>
      </c>
      <c r="U313" s="411" t="s">
        <v>285</v>
      </c>
      <c r="V313" s="158" t="s">
        <v>278</v>
      </c>
      <c r="W313" s="158" t="s">
        <v>284</v>
      </c>
      <c r="X313" s="438">
        <v>8.8500000000000002E-3</v>
      </c>
      <c r="Y313" s="158" t="s">
        <v>283</v>
      </c>
      <c r="Z313" s="424">
        <v>916150</v>
      </c>
      <c r="AA313" s="150" t="s">
        <v>282</v>
      </c>
      <c r="AB313" s="158">
        <v>1.19</v>
      </c>
      <c r="AC313" s="150" t="s">
        <v>281</v>
      </c>
      <c r="AD313" s="423">
        <v>0.81</v>
      </c>
      <c r="AE313" s="150" t="s">
        <v>237</v>
      </c>
      <c r="AF313" s="158">
        <v>254.38</v>
      </c>
      <c r="AG313" s="158" t="s">
        <v>280</v>
      </c>
      <c r="AH313" s="429">
        <v>0.25</v>
      </c>
      <c r="AI313" s="158" t="s">
        <v>279</v>
      </c>
      <c r="AJ313" s="158">
        <v>2.0299999999999998</v>
      </c>
      <c r="AK313" s="158"/>
      <c r="AL313" s="158"/>
      <c r="AM313" s="158"/>
      <c r="AN313" s="158"/>
      <c r="AO313" s="158"/>
      <c r="AP313" s="158"/>
      <c r="AQ313" s="158"/>
      <c r="AR313" s="158"/>
      <c r="AS313" s="158"/>
      <c r="AT313" s="158"/>
      <c r="AV313" s="413"/>
      <c r="AW313" s="413"/>
      <c r="AX313" s="414"/>
      <c r="AY313" s="415"/>
      <c r="AZ313" s="416"/>
      <c r="BA313" s="448"/>
    </row>
    <row r="314" spans="1:53">
      <c r="A314" s="5" t="str">
        <f t="shared" si="24"/>
        <v>Bus - Public Rebates_Pipe Insulation - HW Small 1" to 2"</v>
      </c>
      <c r="B314" s="407">
        <v>311</v>
      </c>
      <c r="C314" s="407" t="s">
        <v>728</v>
      </c>
      <c r="D314" s="407" t="s">
        <v>217</v>
      </c>
      <c r="E314" s="408" t="s">
        <v>210</v>
      </c>
      <c r="F314" s="408">
        <v>75</v>
      </c>
      <c r="G314" s="409">
        <v>0.79</v>
      </c>
      <c r="H314" s="470">
        <v>15</v>
      </c>
      <c r="I314" s="463">
        <v>15</v>
      </c>
      <c r="J314" s="408">
        <v>9</v>
      </c>
      <c r="K314" s="408">
        <v>9</v>
      </c>
      <c r="L314" s="408">
        <v>9</v>
      </c>
      <c r="M314" s="408">
        <v>9</v>
      </c>
      <c r="N314" s="208">
        <f>'Pipe Insulation Detail'!$B$47</f>
        <v>2.6588140926267867</v>
      </c>
      <c r="O314" s="461">
        <f t="shared" si="28"/>
        <v>2.6588140926267867</v>
      </c>
      <c r="P314" s="461">
        <f t="shared" si="28"/>
        <v>2.6588140926267867</v>
      </c>
      <c r="Q314" s="461">
        <f t="shared" si="28"/>
        <v>2.6588140926267867</v>
      </c>
      <c r="R314" s="411"/>
      <c r="S314" s="411" t="s">
        <v>1046</v>
      </c>
      <c r="T314" s="411" t="s">
        <v>201</v>
      </c>
      <c r="U314" s="411" t="s">
        <v>200</v>
      </c>
      <c r="V314" s="439" t="s">
        <v>825</v>
      </c>
      <c r="W314" s="158"/>
      <c r="X314" s="158"/>
      <c r="Y314" s="158"/>
      <c r="Z314" s="158"/>
      <c r="AA314" s="150"/>
      <c r="AB314" s="158"/>
      <c r="AC314" s="150"/>
      <c r="AD314" s="158"/>
      <c r="AE314" s="150"/>
      <c r="AF314" s="158"/>
      <c r="AG314" s="158"/>
      <c r="AH314" s="158"/>
      <c r="AI314" s="158"/>
      <c r="AJ314" s="158"/>
      <c r="AK314" s="158"/>
      <c r="AL314" s="158"/>
      <c r="AM314" s="158"/>
      <c r="AN314" s="158"/>
      <c r="AO314" s="158"/>
      <c r="AP314" s="158"/>
      <c r="AQ314" s="158"/>
      <c r="AR314" s="158"/>
      <c r="AS314" s="158"/>
      <c r="AT314" s="158"/>
      <c r="AV314" s="413"/>
      <c r="AW314" s="413"/>
      <c r="AX314" s="414"/>
      <c r="AY314" s="415"/>
      <c r="AZ314" s="416"/>
      <c r="BA314" s="448"/>
    </row>
    <row r="315" spans="1:53">
      <c r="A315" s="5" t="str">
        <f t="shared" si="24"/>
        <v>Bus - Public Rebates_Pipe Insulation - HW Medium 2.1" to 4"</v>
      </c>
      <c r="B315" s="407">
        <v>312</v>
      </c>
      <c r="C315" s="407" t="s">
        <v>728</v>
      </c>
      <c r="D315" s="407" t="s">
        <v>216</v>
      </c>
      <c r="E315" s="408" t="s">
        <v>210</v>
      </c>
      <c r="F315" s="408">
        <v>75</v>
      </c>
      <c r="G315" s="409">
        <v>0.79</v>
      </c>
      <c r="H315" s="470">
        <v>15</v>
      </c>
      <c r="I315" s="463">
        <v>15</v>
      </c>
      <c r="J315" s="408">
        <v>18</v>
      </c>
      <c r="K315" s="408">
        <v>18</v>
      </c>
      <c r="L315" s="408">
        <v>18</v>
      </c>
      <c r="M315" s="408">
        <v>18</v>
      </c>
      <c r="N315" s="208">
        <f>'Pipe Insulation Detail'!$B$48</f>
        <v>5.2492031493764015</v>
      </c>
      <c r="O315" s="461">
        <f t="shared" si="28"/>
        <v>5.2492031493764015</v>
      </c>
      <c r="P315" s="461">
        <f t="shared" si="28"/>
        <v>5.2492031493764015</v>
      </c>
      <c r="Q315" s="461">
        <f t="shared" si="28"/>
        <v>5.2492031493764015</v>
      </c>
      <c r="R315" s="411"/>
      <c r="S315" s="411" t="s">
        <v>1046</v>
      </c>
      <c r="T315" s="411" t="s">
        <v>201</v>
      </c>
      <c r="U315" s="411" t="s">
        <v>200</v>
      </c>
      <c r="V315" s="439" t="s">
        <v>825</v>
      </c>
      <c r="W315" s="158"/>
      <c r="X315" s="158"/>
      <c r="Y315" s="158"/>
      <c r="Z315" s="158"/>
      <c r="AA315" s="150"/>
      <c r="AB315" s="158"/>
      <c r="AC315" s="150"/>
      <c r="AD315" s="158"/>
      <c r="AE315" s="150"/>
      <c r="AF315" s="158"/>
      <c r="AG315" s="158"/>
      <c r="AH315" s="158"/>
      <c r="AI315" s="158"/>
      <c r="AJ315" s="158"/>
      <c r="AK315" s="158"/>
      <c r="AL315" s="158"/>
      <c r="AM315" s="158"/>
      <c r="AN315" s="158"/>
      <c r="AO315" s="158"/>
      <c r="AP315" s="158"/>
      <c r="AQ315" s="158"/>
      <c r="AR315" s="158"/>
      <c r="AS315" s="158"/>
      <c r="AT315" s="158"/>
      <c r="AV315" s="413"/>
      <c r="AW315" s="413"/>
      <c r="AX315" s="414"/>
      <c r="AY315" s="415"/>
      <c r="AZ315" s="416"/>
      <c r="BA315" s="448"/>
    </row>
    <row r="316" spans="1:53">
      <c r="A316" s="5" t="str">
        <f t="shared" si="24"/>
        <v>Bus - Public Rebates_Pipe Insulation - HW Large &gt;4"</v>
      </c>
      <c r="B316" s="407">
        <v>313</v>
      </c>
      <c r="C316" s="407" t="s">
        <v>728</v>
      </c>
      <c r="D316" s="407" t="s">
        <v>215</v>
      </c>
      <c r="E316" s="408" t="s">
        <v>210</v>
      </c>
      <c r="F316" s="408">
        <v>75</v>
      </c>
      <c r="G316" s="409">
        <v>0.79</v>
      </c>
      <c r="H316" s="470">
        <v>15</v>
      </c>
      <c r="I316" s="463">
        <v>15</v>
      </c>
      <c r="J316" s="408">
        <v>21</v>
      </c>
      <c r="K316" s="408">
        <v>21</v>
      </c>
      <c r="L316" s="408">
        <v>21</v>
      </c>
      <c r="M316" s="408">
        <v>21</v>
      </c>
      <c r="N316" s="208">
        <f>'Pipe Insulation Detail'!$B$49</f>
        <v>9.0407613085908682</v>
      </c>
      <c r="O316" s="461">
        <f t="shared" si="28"/>
        <v>9.0407613085908682</v>
      </c>
      <c r="P316" s="461">
        <f t="shared" si="28"/>
        <v>9.0407613085908682</v>
      </c>
      <c r="Q316" s="461">
        <f t="shared" si="28"/>
        <v>9.0407613085908682</v>
      </c>
      <c r="R316" s="411"/>
      <c r="S316" s="411" t="s">
        <v>1046</v>
      </c>
      <c r="T316" s="411" t="s">
        <v>201</v>
      </c>
      <c r="U316" s="411" t="s">
        <v>200</v>
      </c>
      <c r="V316" s="439" t="s">
        <v>825</v>
      </c>
      <c r="W316" s="158"/>
      <c r="X316" s="158"/>
      <c r="Y316" s="158"/>
      <c r="Z316" s="158"/>
      <c r="AA316" s="150"/>
      <c r="AB316" s="158"/>
      <c r="AC316" s="150"/>
      <c r="AD316" s="158"/>
      <c r="AE316" s="150"/>
      <c r="AF316" s="158"/>
      <c r="AG316" s="158"/>
      <c r="AH316" s="158"/>
      <c r="AI316" s="158"/>
      <c r="AJ316" s="158"/>
      <c r="AK316" s="158"/>
      <c r="AL316" s="158"/>
      <c r="AM316" s="158"/>
      <c r="AN316" s="158"/>
      <c r="AO316" s="158"/>
      <c r="AP316" s="158"/>
      <c r="AQ316" s="158"/>
      <c r="AR316" s="158"/>
      <c r="AS316" s="158"/>
      <c r="AT316" s="158"/>
      <c r="AV316" s="413"/>
      <c r="AW316" s="413"/>
      <c r="AX316" s="414"/>
      <c r="AY316" s="415"/>
      <c r="AZ316" s="416"/>
      <c r="BA316" s="448"/>
    </row>
    <row r="317" spans="1:53">
      <c r="A317" s="5" t="str">
        <f t="shared" si="24"/>
        <v>Bus - Public Rebates_Pipe Insulation - Steam - Small 1" to 2"</v>
      </c>
      <c r="B317" s="407">
        <v>314</v>
      </c>
      <c r="C317" s="407" t="s">
        <v>728</v>
      </c>
      <c r="D317" s="407" t="s">
        <v>214</v>
      </c>
      <c r="E317" s="408" t="s">
        <v>210</v>
      </c>
      <c r="F317" s="408">
        <v>75</v>
      </c>
      <c r="G317" s="409">
        <v>0.79</v>
      </c>
      <c r="H317" s="470">
        <v>15</v>
      </c>
      <c r="I317" s="463">
        <v>15</v>
      </c>
      <c r="J317" s="408">
        <v>0</v>
      </c>
      <c r="K317" s="408">
        <v>0</v>
      </c>
      <c r="L317" s="408">
        <v>0</v>
      </c>
      <c r="M317" s="408">
        <v>0</v>
      </c>
      <c r="N317" s="208">
        <f>'Pipe Insulation Detail'!$B$50</f>
        <v>3.1854757047967208</v>
      </c>
      <c r="O317" s="461">
        <f t="shared" si="28"/>
        <v>3.1854757047967208</v>
      </c>
      <c r="P317" s="461">
        <f t="shared" si="28"/>
        <v>3.1854757047967208</v>
      </c>
      <c r="Q317" s="461">
        <f t="shared" si="28"/>
        <v>3.1854757047967208</v>
      </c>
      <c r="R317" s="411"/>
      <c r="S317" s="411" t="s">
        <v>1046</v>
      </c>
      <c r="T317" s="411" t="s">
        <v>201</v>
      </c>
      <c r="U317" s="411" t="s">
        <v>200</v>
      </c>
      <c r="V317" s="439" t="s">
        <v>825</v>
      </c>
      <c r="W317" s="158"/>
      <c r="X317" s="158"/>
      <c r="Y317" s="158"/>
      <c r="Z317" s="158"/>
      <c r="AA317" s="150"/>
      <c r="AB317" s="158"/>
      <c r="AC317" s="150"/>
      <c r="AD317" s="158"/>
      <c r="AE317" s="150"/>
      <c r="AF317" s="158"/>
      <c r="AG317" s="158"/>
      <c r="AH317" s="158"/>
      <c r="AI317" s="158"/>
      <c r="AJ317" s="158"/>
      <c r="AK317" s="158"/>
      <c r="AL317" s="158"/>
      <c r="AM317" s="158"/>
      <c r="AN317" s="158"/>
      <c r="AO317" s="158"/>
      <c r="AP317" s="158"/>
      <c r="AQ317" s="158"/>
      <c r="AR317" s="158"/>
      <c r="AS317" s="158"/>
      <c r="AT317" s="158"/>
      <c r="AV317" s="413"/>
      <c r="AW317" s="413"/>
      <c r="AX317" s="414"/>
      <c r="AY317" s="415"/>
      <c r="AZ317" s="416"/>
      <c r="BA317" s="448"/>
    </row>
    <row r="318" spans="1:53">
      <c r="A318" s="5" t="str">
        <f t="shared" si="24"/>
        <v>Bus - Public Rebates_Pipe Insulation - Steam - Med 2.1" to 5"</v>
      </c>
      <c r="B318" s="407">
        <v>315</v>
      </c>
      <c r="C318" s="407" t="s">
        <v>728</v>
      </c>
      <c r="D318" s="407" t="s">
        <v>213</v>
      </c>
      <c r="E318" s="408" t="s">
        <v>210</v>
      </c>
      <c r="F318" s="408">
        <v>75</v>
      </c>
      <c r="G318" s="409">
        <v>0.79</v>
      </c>
      <c r="H318" s="470">
        <v>15</v>
      </c>
      <c r="I318" s="463">
        <v>15</v>
      </c>
      <c r="J318" s="408">
        <v>0</v>
      </c>
      <c r="K318" s="408">
        <v>0</v>
      </c>
      <c r="L318" s="408">
        <v>0</v>
      </c>
      <c r="M318" s="408">
        <v>0</v>
      </c>
      <c r="N318" s="208">
        <f>'Pipe Insulation Detail'!$B$51</f>
        <v>13.148126788517139</v>
      </c>
      <c r="O318" s="461">
        <f t="shared" si="28"/>
        <v>13.148126788517139</v>
      </c>
      <c r="P318" s="461">
        <f t="shared" si="28"/>
        <v>13.148126788517139</v>
      </c>
      <c r="Q318" s="461">
        <f t="shared" si="28"/>
        <v>13.148126788517139</v>
      </c>
      <c r="R318" s="411"/>
      <c r="S318" s="411" t="s">
        <v>1046</v>
      </c>
      <c r="T318" s="411" t="s">
        <v>201</v>
      </c>
      <c r="U318" s="411" t="s">
        <v>200</v>
      </c>
      <c r="V318" s="439" t="s">
        <v>825</v>
      </c>
      <c r="W318" s="158"/>
      <c r="X318" s="158"/>
      <c r="Y318" s="158"/>
      <c r="Z318" s="158"/>
      <c r="AA318" s="150"/>
      <c r="AB318" s="158"/>
      <c r="AC318" s="150"/>
      <c r="AD318" s="158"/>
      <c r="AE318" s="150"/>
      <c r="AF318" s="158"/>
      <c r="AG318" s="158"/>
      <c r="AH318" s="158"/>
      <c r="AI318" s="158"/>
      <c r="AJ318" s="158"/>
      <c r="AK318" s="158"/>
      <c r="AL318" s="158"/>
      <c r="AM318" s="158"/>
      <c r="AN318" s="158"/>
      <c r="AO318" s="158"/>
      <c r="AP318" s="158"/>
      <c r="AQ318" s="158"/>
      <c r="AR318" s="158"/>
      <c r="AS318" s="158"/>
      <c r="AT318" s="158"/>
      <c r="AV318" s="413"/>
      <c r="AW318" s="413"/>
      <c r="AX318" s="414"/>
      <c r="AY318" s="415"/>
      <c r="AZ318" s="416"/>
      <c r="BA318" s="448"/>
    </row>
    <row r="319" spans="1:53">
      <c r="A319" s="5" t="str">
        <f t="shared" si="24"/>
        <v>Bus - Public Rebates_Pipe Insulation - Steam - Large 5.1" to 8"</v>
      </c>
      <c r="B319" s="407">
        <v>316</v>
      </c>
      <c r="C319" s="407" t="s">
        <v>728</v>
      </c>
      <c r="D319" s="407" t="s">
        <v>212</v>
      </c>
      <c r="E319" s="408" t="s">
        <v>210</v>
      </c>
      <c r="F319" s="408">
        <v>75</v>
      </c>
      <c r="G319" s="409">
        <v>0.79</v>
      </c>
      <c r="H319" s="470">
        <v>15</v>
      </c>
      <c r="I319" s="463">
        <v>15</v>
      </c>
      <c r="J319" s="408">
        <v>12</v>
      </c>
      <c r="K319" s="408">
        <v>12</v>
      </c>
      <c r="L319" s="408">
        <v>12</v>
      </c>
      <c r="M319" s="408">
        <v>12</v>
      </c>
      <c r="N319" s="208">
        <f>'Pipe Insulation Detail'!$B$52</f>
        <v>24.25563238537794</v>
      </c>
      <c r="O319" s="461">
        <f t="shared" si="28"/>
        <v>24.25563238537794</v>
      </c>
      <c r="P319" s="461">
        <f t="shared" si="28"/>
        <v>24.25563238537794</v>
      </c>
      <c r="Q319" s="461">
        <f t="shared" si="28"/>
        <v>24.25563238537794</v>
      </c>
      <c r="R319" s="411"/>
      <c r="S319" s="411" t="s">
        <v>1046</v>
      </c>
      <c r="T319" s="411" t="s">
        <v>201</v>
      </c>
      <c r="U319" s="411" t="s">
        <v>200</v>
      </c>
      <c r="V319" s="439" t="s">
        <v>825</v>
      </c>
      <c r="W319" s="158"/>
      <c r="X319" s="158"/>
      <c r="Y319" s="158"/>
      <c r="Z319" s="158"/>
      <c r="AA319" s="150"/>
      <c r="AB319" s="158"/>
      <c r="AC319" s="150"/>
      <c r="AD319" s="158"/>
      <c r="AE319" s="150"/>
      <c r="AF319" s="158"/>
      <c r="AG319" s="158"/>
      <c r="AH319" s="158"/>
      <c r="AI319" s="158"/>
      <c r="AJ319" s="158"/>
      <c r="AK319" s="158"/>
      <c r="AL319" s="158"/>
      <c r="AM319" s="158"/>
      <c r="AN319" s="158"/>
      <c r="AO319" s="158"/>
      <c r="AP319" s="158"/>
      <c r="AQ319" s="158"/>
      <c r="AR319" s="158"/>
      <c r="AS319" s="158"/>
      <c r="AT319" s="158"/>
      <c r="AV319" s="413"/>
      <c r="AW319" s="413"/>
      <c r="AX319" s="414"/>
      <c r="AY319" s="415"/>
      <c r="AZ319" s="416"/>
      <c r="BA319" s="448"/>
    </row>
    <row r="320" spans="1:53">
      <c r="A320" s="5" t="str">
        <f t="shared" si="24"/>
        <v>Bus - Public Rebates_Pipe Insulation - Steam - X-Large &gt;8"</v>
      </c>
      <c r="B320" s="407">
        <v>317</v>
      </c>
      <c r="C320" s="407" t="s">
        <v>728</v>
      </c>
      <c r="D320" s="407" t="s">
        <v>211</v>
      </c>
      <c r="E320" s="408" t="s">
        <v>210</v>
      </c>
      <c r="F320" s="408">
        <v>75</v>
      </c>
      <c r="G320" s="409">
        <v>0.79</v>
      </c>
      <c r="H320" s="470">
        <v>15</v>
      </c>
      <c r="I320" s="463">
        <v>15</v>
      </c>
      <c r="J320" s="408">
        <v>0</v>
      </c>
      <c r="K320" s="408">
        <v>0</v>
      </c>
      <c r="L320" s="408">
        <v>0</v>
      </c>
      <c r="M320" s="408">
        <v>0</v>
      </c>
      <c r="N320" s="208">
        <f>'Pipe Insulation Detail'!$B$53</f>
        <v>35.984797966765058</v>
      </c>
      <c r="O320" s="461">
        <f t="shared" si="28"/>
        <v>35.984797966765058</v>
      </c>
      <c r="P320" s="461">
        <f t="shared" si="28"/>
        <v>35.984797966765058</v>
      </c>
      <c r="Q320" s="461">
        <f t="shared" si="28"/>
        <v>35.984797966765058</v>
      </c>
      <c r="R320" s="411"/>
      <c r="S320" s="411" t="s">
        <v>1046</v>
      </c>
      <c r="T320" s="411" t="s">
        <v>201</v>
      </c>
      <c r="U320" s="411" t="s">
        <v>200</v>
      </c>
      <c r="V320" s="439" t="s">
        <v>825</v>
      </c>
      <c r="W320" s="158"/>
      <c r="X320" s="158"/>
      <c r="Y320" s="158"/>
      <c r="Z320" s="158"/>
      <c r="AA320" s="150"/>
      <c r="AB320" s="158"/>
      <c r="AC320" s="150"/>
      <c r="AD320" s="158"/>
      <c r="AE320" s="150"/>
      <c r="AF320" s="158"/>
      <c r="AG320" s="158"/>
      <c r="AH320" s="158"/>
      <c r="AI320" s="158"/>
      <c r="AJ320" s="158"/>
      <c r="AK320" s="158"/>
      <c r="AL320" s="158"/>
      <c r="AM320" s="158"/>
      <c r="AN320" s="158"/>
      <c r="AO320" s="158"/>
      <c r="AP320" s="158"/>
      <c r="AQ320" s="158"/>
      <c r="AR320" s="158"/>
      <c r="AS320" s="158"/>
      <c r="AT320" s="158"/>
      <c r="AV320" s="413"/>
      <c r="AW320" s="413"/>
      <c r="AX320" s="414"/>
      <c r="AY320" s="415"/>
      <c r="AZ320" s="416"/>
      <c r="BA320" s="448"/>
    </row>
    <row r="321" spans="1:53">
      <c r="A321" s="5" t="str">
        <f t="shared" si="24"/>
        <v>Bus - Public Rebates_Pipe Insulation - Steam Med Fitting</v>
      </c>
      <c r="B321" s="407">
        <v>318</v>
      </c>
      <c r="C321" s="407" t="s">
        <v>728</v>
      </c>
      <c r="D321" s="407" t="s">
        <v>208</v>
      </c>
      <c r="E321" s="408" t="s">
        <v>150</v>
      </c>
      <c r="F321" s="408">
        <v>1</v>
      </c>
      <c r="G321" s="409">
        <v>0.79</v>
      </c>
      <c r="H321" s="470">
        <v>15</v>
      </c>
      <c r="I321" s="463">
        <v>15</v>
      </c>
      <c r="J321" s="408">
        <v>0</v>
      </c>
      <c r="K321" s="408">
        <v>0</v>
      </c>
      <c r="L321" s="408">
        <v>0</v>
      </c>
      <c r="M321" s="408">
        <v>0</v>
      </c>
      <c r="N321" s="208">
        <f>'Pipe Insulation Detail'!$B$55</f>
        <v>12.515179237984789</v>
      </c>
      <c r="O321" s="461">
        <f t="shared" si="28"/>
        <v>12.515179237984789</v>
      </c>
      <c r="P321" s="461">
        <f t="shared" si="28"/>
        <v>12.515179237984789</v>
      </c>
      <c r="Q321" s="461">
        <f t="shared" si="28"/>
        <v>12.515179237984789</v>
      </c>
      <c r="R321" s="411"/>
      <c r="S321" s="411" t="s">
        <v>1046</v>
      </c>
      <c r="T321" s="411" t="s">
        <v>201</v>
      </c>
      <c r="U321" s="411" t="s">
        <v>200</v>
      </c>
      <c r="V321" s="439" t="s">
        <v>825</v>
      </c>
      <c r="W321" s="158"/>
      <c r="X321" s="158"/>
      <c r="Y321" s="158"/>
      <c r="Z321" s="158"/>
      <c r="AA321" s="150"/>
      <c r="AB321" s="158"/>
      <c r="AC321" s="150"/>
      <c r="AD321" s="158"/>
      <c r="AE321" s="150"/>
      <c r="AF321" s="158"/>
      <c r="AG321" s="158"/>
      <c r="AH321" s="158"/>
      <c r="AI321" s="158"/>
      <c r="AJ321" s="158"/>
      <c r="AK321" s="158"/>
      <c r="AL321" s="158"/>
      <c r="AM321" s="158"/>
      <c r="AN321" s="158"/>
      <c r="AO321" s="158"/>
      <c r="AP321" s="158"/>
      <c r="AQ321" s="158"/>
      <c r="AR321" s="158"/>
      <c r="AS321" s="158"/>
      <c r="AT321" s="158"/>
      <c r="AV321" s="413"/>
      <c r="AW321" s="413"/>
      <c r="AX321" s="414"/>
      <c r="AY321" s="415"/>
      <c r="AZ321" s="416"/>
      <c r="BA321" s="448"/>
    </row>
    <row r="322" spans="1:53">
      <c r="A322" s="5" t="str">
        <f t="shared" si="24"/>
        <v>Bus - Public Rebates_Pipe Insulation - Steam Large Fitting</v>
      </c>
      <c r="B322" s="407">
        <v>319</v>
      </c>
      <c r="C322" s="407" t="s">
        <v>728</v>
      </c>
      <c r="D322" s="407" t="s">
        <v>207</v>
      </c>
      <c r="E322" s="408" t="s">
        <v>150</v>
      </c>
      <c r="F322" s="408">
        <v>1</v>
      </c>
      <c r="G322" s="409">
        <v>0.79</v>
      </c>
      <c r="H322" s="470">
        <v>15</v>
      </c>
      <c r="I322" s="463">
        <v>15</v>
      </c>
      <c r="J322" s="408">
        <v>30</v>
      </c>
      <c r="K322" s="408">
        <v>30</v>
      </c>
      <c r="L322" s="408">
        <v>30</v>
      </c>
      <c r="M322" s="408">
        <v>30</v>
      </c>
      <c r="N322" s="208">
        <f>'Pipe Insulation Detail'!$B$56</f>
        <v>51.249515380658096</v>
      </c>
      <c r="O322" s="461">
        <f t="shared" si="28"/>
        <v>51.249515380658096</v>
      </c>
      <c r="P322" s="461">
        <f t="shared" si="28"/>
        <v>51.249515380658096</v>
      </c>
      <c r="Q322" s="461">
        <f t="shared" si="28"/>
        <v>51.249515380658096</v>
      </c>
      <c r="R322" s="411"/>
      <c r="S322" s="411" t="s">
        <v>1046</v>
      </c>
      <c r="T322" s="411" t="s">
        <v>201</v>
      </c>
      <c r="U322" s="411" t="s">
        <v>200</v>
      </c>
      <c r="V322" s="439" t="s">
        <v>825</v>
      </c>
      <c r="W322" s="158"/>
      <c r="X322" s="158"/>
      <c r="Y322" s="158"/>
      <c r="Z322" s="158"/>
      <c r="AA322" s="150"/>
      <c r="AB322" s="158"/>
      <c r="AC322" s="150"/>
      <c r="AD322" s="158"/>
      <c r="AE322" s="150"/>
      <c r="AF322" s="158"/>
      <c r="AG322" s="158"/>
      <c r="AH322" s="158"/>
      <c r="AI322" s="158"/>
      <c r="AJ322" s="158"/>
      <c r="AK322" s="158"/>
      <c r="AL322" s="158"/>
      <c r="AM322" s="158"/>
      <c r="AN322" s="158"/>
      <c r="AO322" s="158"/>
      <c r="AP322" s="158"/>
      <c r="AQ322" s="158"/>
      <c r="AR322" s="158"/>
      <c r="AS322" s="158"/>
      <c r="AT322" s="158"/>
      <c r="AV322" s="413"/>
      <c r="AW322" s="413"/>
      <c r="AX322" s="414"/>
      <c r="AY322" s="415"/>
      <c r="AZ322" s="416"/>
      <c r="BA322" s="448"/>
    </row>
    <row r="323" spans="1:53">
      <c r="A323" s="5" t="str">
        <f t="shared" si="24"/>
        <v>Bus - Public Rebates_Pipe Insulation - Steam X-Large Fitting</v>
      </c>
      <c r="B323" s="407">
        <v>320</v>
      </c>
      <c r="C323" s="407" t="s">
        <v>728</v>
      </c>
      <c r="D323" s="407" t="s">
        <v>206</v>
      </c>
      <c r="E323" s="408" t="s">
        <v>150</v>
      </c>
      <c r="F323" s="408">
        <v>1</v>
      </c>
      <c r="G323" s="409">
        <v>0.79</v>
      </c>
      <c r="H323" s="470">
        <v>15</v>
      </c>
      <c r="I323" s="463">
        <v>15</v>
      </c>
      <c r="J323" s="408">
        <v>0</v>
      </c>
      <c r="K323" s="408">
        <v>0</v>
      </c>
      <c r="L323" s="408">
        <v>0</v>
      </c>
      <c r="M323" s="408">
        <v>0</v>
      </c>
      <c r="N323" s="208">
        <f>'Pipe Insulation Detail'!$B$57</f>
        <v>99.138118398437726</v>
      </c>
      <c r="O323" s="461">
        <f t="shared" si="28"/>
        <v>99.138118398437726</v>
      </c>
      <c r="P323" s="461">
        <f t="shared" si="28"/>
        <v>99.138118398437726</v>
      </c>
      <c r="Q323" s="461">
        <f t="shared" si="28"/>
        <v>99.138118398437726</v>
      </c>
      <c r="R323" s="411"/>
      <c r="S323" s="411" t="s">
        <v>1046</v>
      </c>
      <c r="T323" s="411" t="s">
        <v>201</v>
      </c>
      <c r="U323" s="411" t="s">
        <v>200</v>
      </c>
      <c r="V323" s="439" t="s">
        <v>825</v>
      </c>
      <c r="W323" s="158"/>
      <c r="X323" s="158"/>
      <c r="Y323" s="158"/>
      <c r="Z323" s="158"/>
      <c r="AA323" s="150"/>
      <c r="AB323" s="158"/>
      <c r="AC323" s="150"/>
      <c r="AD323" s="158"/>
      <c r="AE323" s="150"/>
      <c r="AF323" s="158"/>
      <c r="AG323" s="158"/>
      <c r="AH323" s="158"/>
      <c r="AI323" s="158"/>
      <c r="AJ323" s="158"/>
      <c r="AK323" s="158"/>
      <c r="AL323" s="158"/>
      <c r="AM323" s="158"/>
      <c r="AN323" s="158"/>
      <c r="AO323" s="158"/>
      <c r="AP323" s="158"/>
      <c r="AQ323" s="158"/>
      <c r="AR323" s="158"/>
      <c r="AS323" s="158"/>
      <c r="AT323" s="158"/>
      <c r="AV323" s="413"/>
      <c r="AW323" s="413"/>
      <c r="AX323" s="414"/>
      <c r="AY323" s="415"/>
      <c r="AZ323" s="416"/>
      <c r="BA323" s="448"/>
    </row>
    <row r="324" spans="1:53">
      <c r="A324" s="5" t="str">
        <f t="shared" si="24"/>
        <v>Bus - Public Rebates_Pipe Insulation - Steam Med Valve</v>
      </c>
      <c r="B324" s="407">
        <v>321</v>
      </c>
      <c r="C324" s="407" t="s">
        <v>728</v>
      </c>
      <c r="D324" s="407" t="s">
        <v>204</v>
      </c>
      <c r="E324" s="408" t="s">
        <v>150</v>
      </c>
      <c r="F324" s="408">
        <v>1</v>
      </c>
      <c r="G324" s="409">
        <v>0.79</v>
      </c>
      <c r="H324" s="470">
        <v>15</v>
      </c>
      <c r="I324" s="463">
        <v>15</v>
      </c>
      <c r="J324" s="408">
        <v>0</v>
      </c>
      <c r="K324" s="408">
        <v>0</v>
      </c>
      <c r="L324" s="408">
        <v>0</v>
      </c>
      <c r="M324" s="408">
        <v>0</v>
      </c>
      <c r="N324" s="208">
        <f>'Pipe Insulation Detail'!$B$59</f>
        <v>37.423389683572815</v>
      </c>
      <c r="O324" s="461">
        <f t="shared" si="28"/>
        <v>37.423389683572815</v>
      </c>
      <c r="P324" s="461">
        <f t="shared" si="28"/>
        <v>37.423389683572815</v>
      </c>
      <c r="Q324" s="461">
        <f t="shared" si="28"/>
        <v>37.423389683572815</v>
      </c>
      <c r="R324" s="411"/>
      <c r="S324" s="411" t="s">
        <v>1046</v>
      </c>
      <c r="T324" s="411" t="s">
        <v>201</v>
      </c>
      <c r="U324" s="411" t="s">
        <v>200</v>
      </c>
      <c r="V324" s="439" t="s">
        <v>825</v>
      </c>
      <c r="W324" s="158"/>
      <c r="X324" s="158"/>
      <c r="Y324" s="158"/>
      <c r="Z324" s="158"/>
      <c r="AA324" s="150"/>
      <c r="AB324" s="158"/>
      <c r="AC324" s="150"/>
      <c r="AD324" s="158"/>
      <c r="AE324" s="150"/>
      <c r="AF324" s="158"/>
      <c r="AG324" s="158"/>
      <c r="AH324" s="158"/>
      <c r="AI324" s="158"/>
      <c r="AJ324" s="158"/>
      <c r="AK324" s="158"/>
      <c r="AL324" s="158"/>
      <c r="AM324" s="158"/>
      <c r="AN324" s="158"/>
      <c r="AO324" s="158"/>
      <c r="AP324" s="158"/>
      <c r="AQ324" s="158"/>
      <c r="AR324" s="158"/>
      <c r="AS324" s="158"/>
      <c r="AT324" s="158"/>
      <c r="AV324" s="413"/>
      <c r="AW324" s="413"/>
      <c r="AX324" s="414"/>
      <c r="AY324" s="415"/>
      <c r="AZ324" s="416"/>
      <c r="BA324" s="448"/>
    </row>
    <row r="325" spans="1:53">
      <c r="A325" s="5" t="str">
        <f t="shared" si="24"/>
        <v>Bus - Public Rebates_Pipe Insulation - Steam Large Valve</v>
      </c>
      <c r="B325" s="407">
        <v>322</v>
      </c>
      <c r="C325" s="407" t="s">
        <v>728</v>
      </c>
      <c r="D325" s="407" t="s">
        <v>203</v>
      </c>
      <c r="E325" s="408" t="s">
        <v>150</v>
      </c>
      <c r="F325" s="408">
        <v>1</v>
      </c>
      <c r="G325" s="409">
        <v>0.79</v>
      </c>
      <c r="H325" s="470">
        <v>15</v>
      </c>
      <c r="I325" s="463">
        <v>15</v>
      </c>
      <c r="J325" s="408">
        <v>30</v>
      </c>
      <c r="K325" s="408">
        <v>30</v>
      </c>
      <c r="L325" s="408">
        <v>30</v>
      </c>
      <c r="M325" s="408">
        <v>30</v>
      </c>
      <c r="N325" s="208">
        <f>'Pipe Insulation Detail'!$B$60</f>
        <v>107.52607289087437</v>
      </c>
      <c r="O325" s="461">
        <f t="shared" si="28"/>
        <v>107.52607289087437</v>
      </c>
      <c r="P325" s="461">
        <f t="shared" si="28"/>
        <v>107.52607289087437</v>
      </c>
      <c r="Q325" s="461">
        <f t="shared" si="28"/>
        <v>107.52607289087437</v>
      </c>
      <c r="R325" s="411"/>
      <c r="S325" s="411" t="s">
        <v>1046</v>
      </c>
      <c r="T325" s="411" t="s">
        <v>201</v>
      </c>
      <c r="U325" s="411" t="s">
        <v>200</v>
      </c>
      <c r="V325" s="439" t="s">
        <v>825</v>
      </c>
      <c r="W325" s="158"/>
      <c r="X325" s="158"/>
      <c r="Y325" s="158"/>
      <c r="Z325" s="158"/>
      <c r="AA325" s="150"/>
      <c r="AB325" s="158"/>
      <c r="AC325" s="150"/>
      <c r="AD325" s="158"/>
      <c r="AE325" s="150"/>
      <c r="AF325" s="158"/>
      <c r="AG325" s="158"/>
      <c r="AH325" s="158"/>
      <c r="AI325" s="158"/>
      <c r="AJ325" s="158"/>
      <c r="AK325" s="158"/>
      <c r="AL325" s="158"/>
      <c r="AM325" s="158"/>
      <c r="AN325" s="158"/>
      <c r="AO325" s="158"/>
      <c r="AP325" s="158"/>
      <c r="AQ325" s="158"/>
      <c r="AR325" s="158"/>
      <c r="AS325" s="158"/>
      <c r="AT325" s="158"/>
      <c r="AV325" s="413"/>
      <c r="AW325" s="413"/>
      <c r="AX325" s="414"/>
      <c r="AY325" s="415"/>
      <c r="AZ325" s="416"/>
      <c r="BA325" s="448"/>
    </row>
    <row r="326" spans="1:53">
      <c r="A326" s="5" t="str">
        <f t="shared" si="24"/>
        <v>Bus - Public Rebates_Pipe Insulation - Steam X-Large Valve</v>
      </c>
      <c r="B326" s="407">
        <v>323</v>
      </c>
      <c r="C326" s="407" t="s">
        <v>728</v>
      </c>
      <c r="D326" s="407" t="s">
        <v>202</v>
      </c>
      <c r="E326" s="408" t="s">
        <v>150</v>
      </c>
      <c r="F326" s="408">
        <v>1</v>
      </c>
      <c r="G326" s="409">
        <v>0.79</v>
      </c>
      <c r="H326" s="470">
        <v>15</v>
      </c>
      <c r="I326" s="463">
        <v>15</v>
      </c>
      <c r="J326" s="408">
        <v>0</v>
      </c>
      <c r="K326" s="408">
        <v>0</v>
      </c>
      <c r="L326" s="408">
        <v>0</v>
      </c>
      <c r="M326" s="408">
        <v>0</v>
      </c>
      <c r="N326" s="208">
        <f>'Pipe Insulation Detail'!$B$61</f>
        <v>175.06254164158375</v>
      </c>
      <c r="O326" s="461">
        <f t="shared" ref="O326:Q345" si="29">N326</f>
        <v>175.06254164158375</v>
      </c>
      <c r="P326" s="461">
        <f t="shared" si="29"/>
        <v>175.06254164158375</v>
      </c>
      <c r="Q326" s="461">
        <f t="shared" si="29"/>
        <v>175.06254164158375</v>
      </c>
      <c r="R326" s="411"/>
      <c r="S326" s="411" t="s">
        <v>1046</v>
      </c>
      <c r="T326" s="411" t="s">
        <v>201</v>
      </c>
      <c r="U326" s="411" t="s">
        <v>200</v>
      </c>
      <c r="V326" s="439" t="s">
        <v>825</v>
      </c>
      <c r="W326" s="158"/>
      <c r="X326" s="158"/>
      <c r="Y326" s="158"/>
      <c r="Z326" s="158"/>
      <c r="AA326" s="150"/>
      <c r="AB326" s="158"/>
      <c r="AC326" s="150"/>
      <c r="AD326" s="158"/>
      <c r="AE326" s="150"/>
      <c r="AF326" s="158"/>
      <c r="AG326" s="158"/>
      <c r="AH326" s="158"/>
      <c r="AI326" s="158"/>
      <c r="AJ326" s="158"/>
      <c r="AK326" s="158"/>
      <c r="AL326" s="158"/>
      <c r="AM326" s="158"/>
      <c r="AN326" s="158"/>
      <c r="AO326" s="158"/>
      <c r="AP326" s="158"/>
      <c r="AQ326" s="158"/>
      <c r="AR326" s="158"/>
      <c r="AS326" s="158"/>
      <c r="AT326" s="158"/>
      <c r="AV326" s="413"/>
      <c r="AW326" s="413"/>
      <c r="AX326" s="414"/>
      <c r="AY326" s="415"/>
      <c r="AZ326" s="416"/>
      <c r="BA326" s="448"/>
    </row>
    <row r="327" spans="1:53">
      <c r="A327" s="5" t="str">
        <f t="shared" ref="A327:A390" si="30">C327&amp;"_"&amp;D327</f>
        <v>Bus - Public Rebates_Pre Rinse Sprayer</v>
      </c>
      <c r="B327" s="407">
        <v>324</v>
      </c>
      <c r="C327" s="407" t="s">
        <v>728</v>
      </c>
      <c r="D327" s="407" t="s">
        <v>710</v>
      </c>
      <c r="E327" s="408" t="s">
        <v>150</v>
      </c>
      <c r="F327" s="408">
        <v>1</v>
      </c>
      <c r="G327" s="409">
        <v>0.79</v>
      </c>
      <c r="H327" s="470">
        <v>5</v>
      </c>
      <c r="I327" s="463">
        <v>5</v>
      </c>
      <c r="J327" s="408">
        <v>0</v>
      </c>
      <c r="K327" s="408">
        <v>0</v>
      </c>
      <c r="L327" s="408">
        <v>0</v>
      </c>
      <c r="M327" s="408">
        <v>0</v>
      </c>
      <c r="N327" s="461">
        <f>(X327-Z327)*60*AB327*AD327*8.33*1*(AF327-AH327)*(1/AJ327)/100000</f>
        <v>102.33405</v>
      </c>
      <c r="O327" s="461">
        <f t="shared" si="29"/>
        <v>102.33405</v>
      </c>
      <c r="P327" s="461">
        <f t="shared" si="29"/>
        <v>102.33405</v>
      </c>
      <c r="Q327" s="461">
        <f t="shared" si="29"/>
        <v>102.33405</v>
      </c>
      <c r="R327" s="411"/>
      <c r="S327" s="411" t="s">
        <v>1046</v>
      </c>
      <c r="T327" s="411" t="s">
        <v>351</v>
      </c>
      <c r="U327" s="411" t="s">
        <v>350</v>
      </c>
      <c r="V327" s="149" t="s">
        <v>344</v>
      </c>
      <c r="W327" s="412" t="s">
        <v>349</v>
      </c>
      <c r="X327" s="491">
        <v>1.23</v>
      </c>
      <c r="Y327" s="412" t="s">
        <v>348</v>
      </c>
      <c r="Z327" s="492">
        <v>0.98</v>
      </c>
      <c r="AA327" s="412" t="s">
        <v>347</v>
      </c>
      <c r="AB327" s="444">
        <v>3</v>
      </c>
      <c r="AC327" s="412" t="s">
        <v>346</v>
      </c>
      <c r="AD327" s="412">
        <v>312</v>
      </c>
      <c r="AE327" s="412" t="s">
        <v>251</v>
      </c>
      <c r="AF327" s="445">
        <f>70+AH327</f>
        <v>124.1</v>
      </c>
      <c r="AG327" s="412" t="s">
        <v>250</v>
      </c>
      <c r="AH327" s="490">
        <v>54.1</v>
      </c>
      <c r="AI327" s="412" t="s">
        <v>345</v>
      </c>
      <c r="AJ327" s="418">
        <v>0.8</v>
      </c>
      <c r="AK327" s="158"/>
      <c r="AL327" s="158"/>
      <c r="AM327" s="158"/>
      <c r="AN327" s="158"/>
      <c r="AO327" s="158"/>
      <c r="AP327" s="158"/>
      <c r="AQ327" s="158"/>
      <c r="AR327" s="158"/>
      <c r="AS327" s="158"/>
      <c r="AT327" s="158"/>
      <c r="AV327" s="413"/>
      <c r="AW327" s="413"/>
      <c r="AX327" s="414"/>
      <c r="AY327" s="415"/>
      <c r="AZ327" s="416"/>
      <c r="BA327" s="448"/>
    </row>
    <row r="328" spans="1:53">
      <c r="A328" s="5" t="str">
        <f t="shared" si="30"/>
        <v>Bus - Public Rebates_Steam Boiler ≥82% AFUE, &gt;300MBh TE</v>
      </c>
      <c r="B328" s="407">
        <v>325</v>
      </c>
      <c r="C328" s="407" t="s">
        <v>728</v>
      </c>
      <c r="D328" s="407" t="s">
        <v>723</v>
      </c>
      <c r="E328" s="408" t="s">
        <v>240</v>
      </c>
      <c r="F328" s="408">
        <v>500</v>
      </c>
      <c r="G328" s="409">
        <v>0.79</v>
      </c>
      <c r="H328" s="470">
        <v>20</v>
      </c>
      <c r="I328" s="463">
        <v>20</v>
      </c>
      <c r="J328" s="408">
        <v>8</v>
      </c>
      <c r="K328" s="408">
        <v>8</v>
      </c>
      <c r="L328" s="408">
        <v>8</v>
      </c>
      <c r="M328" s="408">
        <v>8</v>
      </c>
      <c r="N328" s="208">
        <f>X328*Z328*((AB328-AD328)/AD328)/100000/F328</f>
        <v>0.63721518987341585</v>
      </c>
      <c r="O328" s="461">
        <f t="shared" si="29"/>
        <v>0.63721518987341585</v>
      </c>
      <c r="P328" s="461">
        <f t="shared" si="29"/>
        <v>0.63721518987341585</v>
      </c>
      <c r="Q328" s="461">
        <f t="shared" si="29"/>
        <v>0.63721518987341585</v>
      </c>
      <c r="R328" s="411"/>
      <c r="S328" s="411" t="s">
        <v>1046</v>
      </c>
      <c r="T328" s="411" t="s">
        <v>343</v>
      </c>
      <c r="U328" s="411" t="s">
        <v>342</v>
      </c>
      <c r="V328" s="158" t="s">
        <v>340</v>
      </c>
      <c r="W328" s="496" t="s">
        <v>271</v>
      </c>
      <c r="X328" s="495">
        <v>1678</v>
      </c>
      <c r="Y328" s="150" t="s">
        <v>273</v>
      </c>
      <c r="Z328" s="424">
        <v>500000</v>
      </c>
      <c r="AA328" s="150" t="s">
        <v>341</v>
      </c>
      <c r="AB328" s="434">
        <v>0.82</v>
      </c>
      <c r="AC328" s="158" t="s">
        <v>248</v>
      </c>
      <c r="AD328" s="423">
        <v>0.79</v>
      </c>
      <c r="AE328" s="158"/>
      <c r="AF328" s="158"/>
      <c r="AG328" s="158"/>
      <c r="AH328" s="158"/>
      <c r="AI328" s="440"/>
      <c r="AJ328" s="441"/>
      <c r="AK328" s="440"/>
      <c r="AL328" s="423"/>
      <c r="AM328" s="158"/>
      <c r="AN328" s="158"/>
      <c r="AO328" s="158"/>
      <c r="AP328" s="158"/>
      <c r="AQ328" s="158"/>
      <c r="AR328" s="158"/>
      <c r="AS328" s="158"/>
      <c r="AT328" s="158"/>
      <c r="AV328" s="413"/>
      <c r="AW328" s="413"/>
      <c r="AX328" s="414"/>
      <c r="AY328" s="415"/>
      <c r="AZ328" s="416"/>
      <c r="BA328" s="448"/>
    </row>
    <row r="329" spans="1:53">
      <c r="A329" s="5" t="str">
        <f t="shared" si="30"/>
        <v>Bus - Public Rebates_Steam Traps - Dry Cleaner/Industrial</v>
      </c>
      <c r="B329" s="407">
        <v>326</v>
      </c>
      <c r="C329" s="407" t="s">
        <v>728</v>
      </c>
      <c r="D329" s="407" t="s">
        <v>269</v>
      </c>
      <c r="E329" s="408" t="s">
        <v>150</v>
      </c>
      <c r="F329" s="408">
        <v>1</v>
      </c>
      <c r="G329" s="409">
        <v>0.79</v>
      </c>
      <c r="H329" s="470">
        <v>6</v>
      </c>
      <c r="I329" s="463">
        <v>6</v>
      </c>
      <c r="J329" s="408">
        <v>263</v>
      </c>
      <c r="K329" s="408">
        <v>263</v>
      </c>
      <c r="L329" s="408">
        <v>263</v>
      </c>
      <c r="M329" s="408">
        <v>263</v>
      </c>
      <c r="N329" s="208">
        <f>X329*(Z329/AB329)*AD329*AF329/100000</f>
        <v>137.91939591078068</v>
      </c>
      <c r="O329" s="461">
        <f t="shared" si="29"/>
        <v>137.91939591078068</v>
      </c>
      <c r="P329" s="461">
        <f t="shared" si="29"/>
        <v>137.91939591078068</v>
      </c>
      <c r="Q329" s="461">
        <f t="shared" si="29"/>
        <v>137.91939591078068</v>
      </c>
      <c r="R329" s="411"/>
      <c r="S329" s="411" t="s">
        <v>1046</v>
      </c>
      <c r="T329" s="411" t="s">
        <v>266</v>
      </c>
      <c r="U329" s="411" t="s">
        <v>265</v>
      </c>
      <c r="V329" s="158" t="s">
        <v>259</v>
      </c>
      <c r="W329" s="158" t="s">
        <v>264</v>
      </c>
      <c r="X329" s="158">
        <v>19.100000000000001</v>
      </c>
      <c r="Y329" s="158" t="s">
        <v>263</v>
      </c>
      <c r="Z329" s="158">
        <v>890</v>
      </c>
      <c r="AA329" s="150" t="s">
        <v>262</v>
      </c>
      <c r="AB329" s="425">
        <v>0.80700000000000005</v>
      </c>
      <c r="AC329" s="150" t="s">
        <v>153</v>
      </c>
      <c r="AD329" s="158">
        <v>2425</v>
      </c>
      <c r="AE329" s="158" t="s">
        <v>260</v>
      </c>
      <c r="AF329" s="423">
        <v>0.27</v>
      </c>
      <c r="AG329" s="158"/>
      <c r="AH329" s="158"/>
      <c r="AI329" s="158"/>
      <c r="AJ329" s="158"/>
      <c r="AK329" s="158"/>
      <c r="AL329" s="158"/>
      <c r="AM329" s="158"/>
      <c r="AN329" s="158"/>
      <c r="AO329" s="158"/>
      <c r="AP329" s="158"/>
      <c r="AQ329" s="158"/>
      <c r="AR329" s="158"/>
      <c r="AS329" s="158"/>
      <c r="AT329" s="158"/>
      <c r="AV329" s="413"/>
      <c r="AW329" s="413"/>
      <c r="AX329" s="414"/>
      <c r="AY329" s="415"/>
      <c r="AZ329" s="416"/>
      <c r="BA329" s="448"/>
    </row>
    <row r="330" spans="1:53">
      <c r="A330" s="5" t="str">
        <f t="shared" si="30"/>
        <v>Bus - Public Rebates_Steam Traps - HVAC Repair/Rep - Audit</v>
      </c>
      <c r="B330" s="407">
        <v>327</v>
      </c>
      <c r="C330" s="407" t="s">
        <v>728</v>
      </c>
      <c r="D330" s="407" t="s">
        <v>268</v>
      </c>
      <c r="E330" s="408" t="s">
        <v>150</v>
      </c>
      <c r="F330" s="408">
        <v>1</v>
      </c>
      <c r="G330" s="409">
        <v>0.79</v>
      </c>
      <c r="H330" s="470">
        <v>6</v>
      </c>
      <c r="I330" s="463">
        <v>6</v>
      </c>
      <c r="J330" s="408">
        <v>225</v>
      </c>
      <c r="K330" s="408">
        <v>225</v>
      </c>
      <c r="L330" s="408">
        <v>225</v>
      </c>
      <c r="M330" s="408">
        <v>225</v>
      </c>
      <c r="N330" s="208">
        <f>X330*(Z330/AB330)*AD330*AF330/100000</f>
        <v>88.453924126394057</v>
      </c>
      <c r="O330" s="461">
        <f t="shared" si="29"/>
        <v>88.453924126394057</v>
      </c>
      <c r="P330" s="461">
        <f t="shared" si="29"/>
        <v>88.453924126394057</v>
      </c>
      <c r="Q330" s="461">
        <f t="shared" si="29"/>
        <v>88.453924126394057</v>
      </c>
      <c r="R330" s="411"/>
      <c r="S330" s="411" t="s">
        <v>1046</v>
      </c>
      <c r="T330" s="411" t="s">
        <v>266</v>
      </c>
      <c r="U330" s="411" t="s">
        <v>265</v>
      </c>
      <c r="V330" s="158" t="s">
        <v>259</v>
      </c>
      <c r="W330" s="158" t="s">
        <v>264</v>
      </c>
      <c r="X330" s="158">
        <v>6.9</v>
      </c>
      <c r="Y330" s="158" t="s">
        <v>263</v>
      </c>
      <c r="Z330" s="158">
        <v>951</v>
      </c>
      <c r="AA330" s="150" t="s">
        <v>262</v>
      </c>
      <c r="AB330" s="425">
        <v>0.80700000000000005</v>
      </c>
      <c r="AC330" s="150" t="s">
        <v>261</v>
      </c>
      <c r="AD330" s="158">
        <v>4029</v>
      </c>
      <c r="AE330" s="158" t="s">
        <v>260</v>
      </c>
      <c r="AF330" s="423">
        <v>0.27</v>
      </c>
      <c r="AG330" s="158"/>
      <c r="AH330" s="158"/>
      <c r="AI330" s="158"/>
      <c r="AJ330" s="158"/>
      <c r="AK330" s="158"/>
      <c r="AL330" s="158"/>
      <c r="AM330" s="158"/>
      <c r="AN330" s="158"/>
      <c r="AO330" s="158"/>
      <c r="AP330" s="158"/>
      <c r="AQ330" s="158"/>
      <c r="AR330" s="158"/>
      <c r="AS330" s="158"/>
      <c r="AT330" s="158"/>
      <c r="AV330" s="413"/>
      <c r="AW330" s="413"/>
      <c r="AX330" s="414"/>
      <c r="AY330" s="415"/>
      <c r="AZ330" s="416"/>
      <c r="BA330" s="448"/>
    </row>
    <row r="331" spans="1:53">
      <c r="A331" s="5" t="str">
        <f t="shared" si="30"/>
        <v>Bus - Public Rebates_Steam Traps - HVAC Repair/Rep - No Audit</v>
      </c>
      <c r="B331" s="407">
        <v>328</v>
      </c>
      <c r="C331" s="407" t="s">
        <v>728</v>
      </c>
      <c r="D331" s="407" t="s">
        <v>267</v>
      </c>
      <c r="E331" s="408" t="s">
        <v>150</v>
      </c>
      <c r="F331" s="408">
        <v>1</v>
      </c>
      <c r="G331" s="409">
        <v>0.79</v>
      </c>
      <c r="H331" s="470">
        <v>6</v>
      </c>
      <c r="I331" s="463">
        <v>6</v>
      </c>
      <c r="J331" s="408">
        <v>150</v>
      </c>
      <c r="K331" s="408">
        <v>150</v>
      </c>
      <c r="L331" s="408">
        <v>150</v>
      </c>
      <c r="M331" s="408">
        <v>150</v>
      </c>
      <c r="N331" s="208">
        <f>X331*(Z331/AB331)*AD331*AF331/100000</f>
        <v>88.453924126394057</v>
      </c>
      <c r="O331" s="461">
        <f t="shared" si="29"/>
        <v>88.453924126394057</v>
      </c>
      <c r="P331" s="461">
        <f t="shared" si="29"/>
        <v>88.453924126394057</v>
      </c>
      <c r="Q331" s="461">
        <f t="shared" si="29"/>
        <v>88.453924126394057</v>
      </c>
      <c r="R331" s="411"/>
      <c r="S331" s="411" t="s">
        <v>1046</v>
      </c>
      <c r="T331" s="411" t="s">
        <v>266</v>
      </c>
      <c r="U331" s="411" t="s">
        <v>265</v>
      </c>
      <c r="V331" s="158" t="s">
        <v>259</v>
      </c>
      <c r="W331" s="158" t="s">
        <v>264</v>
      </c>
      <c r="X331" s="158">
        <v>6.9</v>
      </c>
      <c r="Y331" s="158" t="s">
        <v>263</v>
      </c>
      <c r="Z331" s="158">
        <v>951</v>
      </c>
      <c r="AA331" s="150" t="s">
        <v>262</v>
      </c>
      <c r="AB331" s="425">
        <v>0.80700000000000005</v>
      </c>
      <c r="AC331" s="150" t="s">
        <v>261</v>
      </c>
      <c r="AD331" s="158">
        <v>4029</v>
      </c>
      <c r="AE331" s="158" t="s">
        <v>260</v>
      </c>
      <c r="AF331" s="423">
        <v>0.27</v>
      </c>
      <c r="AG331" s="158"/>
      <c r="AH331" s="158"/>
      <c r="AI331" s="158"/>
      <c r="AJ331" s="425"/>
      <c r="AK331" s="158"/>
      <c r="AL331" s="158"/>
      <c r="AM331" s="158"/>
      <c r="AN331" s="158"/>
      <c r="AO331" s="158"/>
      <c r="AP331" s="158"/>
      <c r="AQ331" s="158"/>
      <c r="AR331" s="158"/>
      <c r="AS331" s="158"/>
      <c r="AT331" s="158"/>
      <c r="AV331" s="413"/>
      <c r="AW331" s="413"/>
      <c r="AX331" s="414"/>
      <c r="AY331" s="415"/>
      <c r="AZ331" s="416"/>
      <c r="BA331" s="448"/>
    </row>
    <row r="332" spans="1:53">
      <c r="A332" s="5" t="str">
        <f t="shared" si="30"/>
        <v>Bus - Public Rebates_Steam Traps - Test</v>
      </c>
      <c r="B332" s="407">
        <v>329</v>
      </c>
      <c r="C332" s="407" t="s">
        <v>728</v>
      </c>
      <c r="D332" s="407" t="s">
        <v>258</v>
      </c>
      <c r="E332" s="408" t="s">
        <v>150</v>
      </c>
      <c r="F332" s="408">
        <v>1</v>
      </c>
      <c r="G332" s="409">
        <v>0.79</v>
      </c>
      <c r="H332" s="470">
        <v>3</v>
      </c>
      <c r="I332" s="463">
        <v>3</v>
      </c>
      <c r="J332" s="408">
        <v>150</v>
      </c>
      <c r="K332" s="408">
        <v>150</v>
      </c>
      <c r="L332" s="408">
        <v>150</v>
      </c>
      <c r="M332" s="408">
        <v>150</v>
      </c>
      <c r="N332" s="208">
        <v>0</v>
      </c>
      <c r="O332" s="461">
        <f t="shared" si="29"/>
        <v>0</v>
      </c>
      <c r="P332" s="461">
        <f t="shared" si="29"/>
        <v>0</v>
      </c>
      <c r="Q332" s="461">
        <f t="shared" si="29"/>
        <v>0</v>
      </c>
      <c r="R332" s="411"/>
      <c r="S332" s="411" t="s">
        <v>140</v>
      </c>
      <c r="T332" s="411" t="s">
        <v>140</v>
      </c>
      <c r="U332" s="411" t="s">
        <v>140</v>
      </c>
      <c r="V332" s="412" t="s">
        <v>140</v>
      </c>
      <c r="W332" s="158"/>
      <c r="X332" s="158"/>
      <c r="Y332" s="158"/>
      <c r="Z332" s="158"/>
      <c r="AA332" s="150"/>
      <c r="AB332" s="423"/>
      <c r="AC332" s="150"/>
      <c r="AD332" s="158"/>
      <c r="AE332" s="150"/>
      <c r="AF332" s="423"/>
      <c r="AG332" s="158"/>
      <c r="AH332" s="423"/>
      <c r="AI332" s="158"/>
      <c r="AJ332" s="423"/>
      <c r="AK332" s="158"/>
      <c r="AL332" s="158"/>
      <c r="AM332" s="158"/>
      <c r="AN332" s="158"/>
      <c r="AO332" s="158"/>
      <c r="AP332" s="158"/>
      <c r="AQ332" s="158"/>
      <c r="AR332" s="158"/>
      <c r="AS332" s="158"/>
      <c r="AT332" s="158"/>
      <c r="AV332" s="413"/>
      <c r="AW332" s="413"/>
      <c r="AX332" s="414"/>
      <c r="AY332" s="415"/>
      <c r="AZ332" s="416"/>
      <c r="BA332" s="448"/>
    </row>
    <row r="333" spans="1:53">
      <c r="A333" s="5" t="str">
        <f t="shared" si="30"/>
        <v>Bus - Public Rebates_Thermostat - Programmable</v>
      </c>
      <c r="B333" s="407">
        <v>330</v>
      </c>
      <c r="C333" s="407" t="s">
        <v>728</v>
      </c>
      <c r="D333" s="407" t="s">
        <v>226</v>
      </c>
      <c r="E333" s="408" t="s">
        <v>150</v>
      </c>
      <c r="F333" s="408">
        <v>1</v>
      </c>
      <c r="G333" s="409">
        <v>0.79</v>
      </c>
      <c r="H333" s="470">
        <v>4</v>
      </c>
      <c r="I333" s="463">
        <v>4</v>
      </c>
      <c r="J333" s="408">
        <v>23</v>
      </c>
      <c r="K333" s="408">
        <v>23</v>
      </c>
      <c r="L333" s="408">
        <v>23</v>
      </c>
      <c r="M333" s="408">
        <v>23</v>
      </c>
      <c r="N333" s="354">
        <f>'Thermostat Detail'!$L$13</f>
        <v>124.68584320000001</v>
      </c>
      <c r="O333" s="461">
        <f t="shared" si="29"/>
        <v>124.68584320000001</v>
      </c>
      <c r="P333" s="461">
        <f t="shared" si="29"/>
        <v>124.68584320000001</v>
      </c>
      <c r="Q333" s="461">
        <f t="shared" si="29"/>
        <v>124.68584320000001</v>
      </c>
      <c r="R333" s="411"/>
      <c r="S333" s="411" t="s">
        <v>1046</v>
      </c>
      <c r="T333" s="411" t="s">
        <v>225</v>
      </c>
      <c r="U333" s="411" t="s">
        <v>224</v>
      </c>
      <c r="V333" s="439" t="s">
        <v>824</v>
      </c>
      <c r="W333" s="158"/>
      <c r="X333" s="158"/>
      <c r="Y333" s="158"/>
      <c r="Z333" s="158"/>
      <c r="AA333" s="150"/>
      <c r="AB333" s="423"/>
      <c r="AC333" s="150"/>
      <c r="AD333" s="158"/>
      <c r="AE333" s="150"/>
      <c r="AF333" s="423"/>
      <c r="AG333" s="158"/>
      <c r="AH333" s="423"/>
      <c r="AI333" s="158"/>
      <c r="AJ333" s="423"/>
      <c r="AK333" s="158"/>
      <c r="AL333" s="158"/>
      <c r="AM333" s="158"/>
      <c r="AN333" s="158"/>
      <c r="AO333" s="158"/>
      <c r="AP333" s="158"/>
      <c r="AQ333" s="158"/>
      <c r="AR333" s="158"/>
      <c r="AS333" s="158"/>
      <c r="AT333" s="158"/>
      <c r="AV333" s="413"/>
      <c r="AW333" s="413"/>
      <c r="AX333" s="414"/>
      <c r="AY333" s="415"/>
      <c r="AZ333" s="416"/>
      <c r="BA333" s="448"/>
    </row>
    <row r="334" spans="1:53">
      <c r="A334" s="5" t="str">
        <f t="shared" si="30"/>
        <v>Bus - Public Rebates_Water Heater - Storage 88% TE ≥75MBh</v>
      </c>
      <c r="B334" s="407">
        <v>331</v>
      </c>
      <c r="C334" s="407" t="s">
        <v>728</v>
      </c>
      <c r="D334" s="407" t="s">
        <v>254</v>
      </c>
      <c r="E334" s="408" t="s">
        <v>150</v>
      </c>
      <c r="F334" s="408">
        <v>1</v>
      </c>
      <c r="G334" s="409">
        <v>0.79</v>
      </c>
      <c r="H334" s="470">
        <v>15</v>
      </c>
      <c r="I334" s="463">
        <v>15</v>
      </c>
      <c r="J334" s="408">
        <v>0</v>
      </c>
      <c r="K334" s="408">
        <v>0</v>
      </c>
      <c r="L334" s="408">
        <v>0</v>
      </c>
      <c r="M334" s="408">
        <v>0</v>
      </c>
      <c r="N334" s="208">
        <f>(X334-Z334)*AB334*8.33*(1/AD334-1/AF334)/100000+((AJ334-AL334)*8766/100000)</f>
        <v>1514.573584976577</v>
      </c>
      <c r="O334" s="461">
        <f t="shared" si="29"/>
        <v>1514.573584976577</v>
      </c>
      <c r="P334" s="461">
        <f t="shared" si="29"/>
        <v>1514.573584976577</v>
      </c>
      <c r="Q334" s="461">
        <f t="shared" si="29"/>
        <v>1514.573584976577</v>
      </c>
      <c r="R334" s="411"/>
      <c r="S334" s="411" t="s">
        <v>1046</v>
      </c>
      <c r="T334" s="411" t="s">
        <v>253</v>
      </c>
      <c r="U334" s="411" t="s">
        <v>252</v>
      </c>
      <c r="V334" s="158" t="s">
        <v>243</v>
      </c>
      <c r="W334" s="158" t="s">
        <v>251</v>
      </c>
      <c r="X334" s="158">
        <v>125</v>
      </c>
      <c r="Y334" s="158" t="s">
        <v>250</v>
      </c>
      <c r="Z334" s="158">
        <v>54</v>
      </c>
      <c r="AA334" s="150" t="s">
        <v>249</v>
      </c>
      <c r="AB334" s="424">
        <f>511*AH334</f>
        <v>127750</v>
      </c>
      <c r="AC334" s="391" t="s">
        <v>248</v>
      </c>
      <c r="AD334" s="430">
        <f xml:space="preserve"> 0.6002 - (0.0011 * AH334)</f>
        <v>0.32519999999999993</v>
      </c>
      <c r="AE334" s="421" t="s">
        <v>247</v>
      </c>
      <c r="AF334" s="158">
        <v>0.88</v>
      </c>
      <c r="AG334" s="158" t="s">
        <v>246</v>
      </c>
      <c r="AH334" s="158">
        <v>250</v>
      </c>
      <c r="AI334" s="158" t="s">
        <v>245</v>
      </c>
      <c r="AJ334" s="424">
        <f>200000/800+110*SQRT(150)</f>
        <v>1597.219358530748</v>
      </c>
      <c r="AK334" s="158" t="s">
        <v>244</v>
      </c>
      <c r="AL334" s="158">
        <v>1029</v>
      </c>
      <c r="AM334" s="158"/>
      <c r="AN334" s="158"/>
      <c r="AO334" s="158"/>
      <c r="AP334" s="158"/>
      <c r="AQ334" s="158"/>
      <c r="AR334" s="158"/>
      <c r="AS334" s="158"/>
      <c r="AT334" s="158"/>
      <c r="AV334" s="413"/>
      <c r="AW334" s="413"/>
      <c r="AX334" s="414"/>
      <c r="AY334" s="415"/>
      <c r="AZ334" s="416"/>
      <c r="BA334" s="448"/>
    </row>
    <row r="335" spans="1:53">
      <c r="A335" s="5" t="str">
        <f t="shared" si="30"/>
        <v>Bus - Public Rebates_Double Rack Oven</v>
      </c>
      <c r="B335" s="407">
        <v>332</v>
      </c>
      <c r="C335" s="407" t="s">
        <v>728</v>
      </c>
      <c r="D335" s="407" t="s">
        <v>186</v>
      </c>
      <c r="E335" s="408" t="s">
        <v>150</v>
      </c>
      <c r="F335" s="408">
        <v>1</v>
      </c>
      <c r="G335" s="409">
        <v>0.79</v>
      </c>
      <c r="H335" s="470">
        <v>12</v>
      </c>
      <c r="I335" s="463">
        <v>12</v>
      </c>
      <c r="J335" s="408">
        <v>0</v>
      </c>
      <c r="K335" s="408">
        <v>0</v>
      </c>
      <c r="L335" s="408">
        <v>0</v>
      </c>
      <c r="M335" s="408">
        <v>0</v>
      </c>
      <c r="N335" s="208">
        <v>1930</v>
      </c>
      <c r="O335" s="461">
        <f t="shared" si="29"/>
        <v>1930</v>
      </c>
      <c r="P335" s="461">
        <f t="shared" si="29"/>
        <v>1930</v>
      </c>
      <c r="Q335" s="461">
        <f t="shared" si="29"/>
        <v>1930</v>
      </c>
      <c r="R335" s="411"/>
      <c r="S335" s="411" t="s">
        <v>1046</v>
      </c>
      <c r="T335" s="411" t="s">
        <v>185</v>
      </c>
      <c r="U335" s="411" t="s">
        <v>184</v>
      </c>
      <c r="V335" s="158"/>
      <c r="W335" s="158"/>
      <c r="X335" s="158"/>
      <c r="Y335" s="158"/>
      <c r="Z335" s="158"/>
      <c r="AA335" s="150"/>
      <c r="AB335" s="158"/>
      <c r="AC335" s="150"/>
      <c r="AD335" s="158"/>
      <c r="AE335" s="150"/>
      <c r="AF335" s="158"/>
      <c r="AG335" s="158"/>
      <c r="AH335" s="158"/>
      <c r="AI335" s="158"/>
      <c r="AJ335" s="158"/>
      <c r="AK335" s="158"/>
      <c r="AL335" s="158"/>
      <c r="AM335" s="158"/>
      <c r="AN335" s="158"/>
      <c r="AO335" s="158"/>
      <c r="AP335" s="158"/>
      <c r="AQ335" s="158"/>
      <c r="AR335" s="158"/>
      <c r="AS335" s="158"/>
      <c r="AT335" s="158"/>
      <c r="AV335" s="413"/>
      <c r="AW335" s="413"/>
      <c r="AX335" s="414"/>
      <c r="AY335" s="415"/>
      <c r="AZ335" s="416"/>
      <c r="BA335" s="448"/>
    </row>
    <row r="336" spans="1:53">
      <c r="A336" s="5" t="str">
        <f t="shared" si="30"/>
        <v>Bus - Public Rebates_Energy Star Convection Oven</v>
      </c>
      <c r="B336" s="407">
        <v>333</v>
      </c>
      <c r="C336" s="407" t="s">
        <v>728</v>
      </c>
      <c r="D336" s="407" t="s">
        <v>196</v>
      </c>
      <c r="E336" s="408" t="s">
        <v>150</v>
      </c>
      <c r="F336" s="408">
        <v>1</v>
      </c>
      <c r="G336" s="409">
        <v>0.79</v>
      </c>
      <c r="H336" s="470">
        <v>12</v>
      </c>
      <c r="I336" s="463">
        <v>12</v>
      </c>
      <c r="J336" s="408">
        <v>16</v>
      </c>
      <c r="K336" s="408">
        <v>16</v>
      </c>
      <c r="L336" s="408">
        <v>16</v>
      </c>
      <c r="M336" s="408">
        <v>16</v>
      </c>
      <c r="N336" s="208">
        <f>(X336+Z336+AB336)*365.35/100000</f>
        <v>352.14445072463781</v>
      </c>
      <c r="O336" s="461">
        <f t="shared" si="29"/>
        <v>352.14445072463781</v>
      </c>
      <c r="P336" s="461">
        <f t="shared" si="29"/>
        <v>352.14445072463781</v>
      </c>
      <c r="Q336" s="461">
        <f t="shared" si="29"/>
        <v>352.14445072463781</v>
      </c>
      <c r="R336" s="411"/>
      <c r="S336" s="411" t="s">
        <v>1046</v>
      </c>
      <c r="T336" s="411" t="s">
        <v>195</v>
      </c>
      <c r="U336" s="411" t="s">
        <v>194</v>
      </c>
      <c r="V336" s="158" t="s">
        <v>187</v>
      </c>
      <c r="W336" s="158" t="s">
        <v>190</v>
      </c>
      <c r="X336" s="424">
        <f>18000*10.3-12000*10.5</f>
        <v>59400</v>
      </c>
      <c r="Y336" s="158" t="s">
        <v>189</v>
      </c>
      <c r="Z336" s="424">
        <f>1*15/60*76000-1*15/60*44000</f>
        <v>8000</v>
      </c>
      <c r="AA336" s="150" t="s">
        <v>188</v>
      </c>
      <c r="AB336" s="424">
        <f>100*250/30%-100*250/46%</f>
        <v>28985.507246376823</v>
      </c>
      <c r="AC336" s="150"/>
      <c r="AD336" s="158"/>
      <c r="AE336" s="150"/>
      <c r="AF336" s="158"/>
      <c r="AG336" s="158"/>
      <c r="AH336" s="158"/>
      <c r="AI336" s="158"/>
      <c r="AJ336" s="158"/>
      <c r="AK336" s="158"/>
      <c r="AL336" s="158"/>
      <c r="AM336" s="158"/>
      <c r="AN336" s="158"/>
      <c r="AO336" s="158"/>
      <c r="AP336" s="158"/>
      <c r="AQ336" s="158"/>
      <c r="AR336" s="158"/>
      <c r="AS336" s="158"/>
      <c r="AT336" s="158"/>
      <c r="AV336" s="413"/>
      <c r="AW336" s="413"/>
      <c r="AX336" s="414"/>
      <c r="AY336" s="415"/>
      <c r="AZ336" s="416"/>
      <c r="BA336" s="448"/>
    </row>
    <row r="337" spans="1:53">
      <c r="A337" s="5" t="str">
        <f t="shared" si="30"/>
        <v>Bus - Public Rebates_Energy Star Conveyer Oven</v>
      </c>
      <c r="B337" s="407">
        <v>334</v>
      </c>
      <c r="C337" s="407" t="s">
        <v>728</v>
      </c>
      <c r="D337" s="407" t="s">
        <v>199</v>
      </c>
      <c r="E337" s="408" t="s">
        <v>150</v>
      </c>
      <c r="F337" s="408">
        <v>1</v>
      </c>
      <c r="G337" s="409">
        <v>0.79</v>
      </c>
      <c r="H337" s="470">
        <v>17</v>
      </c>
      <c r="I337" s="463">
        <v>17</v>
      </c>
      <c r="J337" s="408">
        <v>0</v>
      </c>
      <c r="K337" s="408">
        <v>0</v>
      </c>
      <c r="L337" s="408">
        <v>0</v>
      </c>
      <c r="M337" s="408">
        <v>0</v>
      </c>
      <c r="N337" s="208">
        <v>884</v>
      </c>
      <c r="O337" s="461">
        <f t="shared" si="29"/>
        <v>884</v>
      </c>
      <c r="P337" s="461">
        <f t="shared" si="29"/>
        <v>884</v>
      </c>
      <c r="Q337" s="461">
        <f t="shared" si="29"/>
        <v>884</v>
      </c>
      <c r="R337" s="411"/>
      <c r="S337" s="411" t="s">
        <v>1046</v>
      </c>
      <c r="T337" s="411" t="s">
        <v>198</v>
      </c>
      <c r="U337" s="411" t="s">
        <v>197</v>
      </c>
      <c r="V337" s="158" t="s">
        <v>187</v>
      </c>
      <c r="W337" s="158"/>
      <c r="X337" s="424"/>
      <c r="Y337" s="158"/>
      <c r="Z337" s="424"/>
      <c r="AA337" s="150"/>
      <c r="AB337" s="424"/>
      <c r="AC337" s="150"/>
      <c r="AD337" s="158"/>
      <c r="AE337" s="150"/>
      <c r="AF337" s="158"/>
      <c r="AG337" s="158"/>
      <c r="AH337" s="158"/>
      <c r="AI337" s="158"/>
      <c r="AJ337" s="158"/>
      <c r="AK337" s="158"/>
      <c r="AL337" s="158"/>
      <c r="AM337" s="158"/>
      <c r="AN337" s="158"/>
      <c r="AO337" s="158"/>
      <c r="AP337" s="158"/>
      <c r="AQ337" s="158"/>
      <c r="AR337" s="158"/>
      <c r="AS337" s="158"/>
      <c r="AT337" s="158"/>
      <c r="AV337" s="413"/>
      <c r="AW337" s="413"/>
      <c r="AX337" s="414"/>
      <c r="AY337" s="415"/>
      <c r="AZ337" s="416"/>
      <c r="BA337" s="448"/>
    </row>
    <row r="338" spans="1:53">
      <c r="A338" s="5" t="str">
        <f t="shared" si="30"/>
        <v>Bus - Public Rebates_Energy Star Fryer</v>
      </c>
      <c r="B338" s="407">
        <v>335</v>
      </c>
      <c r="C338" s="407" t="s">
        <v>728</v>
      </c>
      <c r="D338" s="407" t="s">
        <v>193</v>
      </c>
      <c r="E338" s="408" t="s">
        <v>150</v>
      </c>
      <c r="F338" s="408">
        <v>1</v>
      </c>
      <c r="G338" s="409">
        <v>0.79</v>
      </c>
      <c r="H338" s="470">
        <v>15</v>
      </c>
      <c r="I338" s="467">
        <v>12</v>
      </c>
      <c r="J338" s="408">
        <v>0</v>
      </c>
      <c r="K338" s="408">
        <v>0</v>
      </c>
      <c r="L338" s="408">
        <v>0</v>
      </c>
      <c r="M338" s="408">
        <v>0</v>
      </c>
      <c r="N338" s="208">
        <f>(X338+Z338+AB338)*365.35/100000</f>
        <v>505.37299714285717</v>
      </c>
      <c r="O338" s="461">
        <f t="shared" si="29"/>
        <v>505.37299714285717</v>
      </c>
      <c r="P338" s="461">
        <f t="shared" si="29"/>
        <v>505.37299714285717</v>
      </c>
      <c r="Q338" s="461">
        <f t="shared" si="29"/>
        <v>505.37299714285717</v>
      </c>
      <c r="R338" s="411"/>
      <c r="S338" s="411" t="s">
        <v>1046</v>
      </c>
      <c r="T338" s="411" t="s">
        <v>192</v>
      </c>
      <c r="U338" s="411" t="s">
        <v>191</v>
      </c>
      <c r="V338" s="158" t="s">
        <v>187</v>
      </c>
      <c r="W338" s="158" t="s">
        <v>190</v>
      </c>
      <c r="X338" s="424">
        <f>14000*13.25-9000*13.44</f>
        <v>64540</v>
      </c>
      <c r="Y338" s="158" t="s">
        <v>189</v>
      </c>
      <c r="Z338" s="158">
        <f>1*15/60*64000-1*15/60*62000</f>
        <v>500</v>
      </c>
      <c r="AA338" s="150" t="s">
        <v>188</v>
      </c>
      <c r="AB338" s="424">
        <f>150*570/35%-150*570/50%</f>
        <v>73285.71428571429</v>
      </c>
      <c r="AC338" s="150"/>
      <c r="AD338" s="158"/>
      <c r="AE338" s="150"/>
      <c r="AF338" s="158"/>
      <c r="AG338" s="158"/>
      <c r="AH338" s="158"/>
      <c r="AI338" s="158"/>
      <c r="AJ338" s="158"/>
      <c r="AK338" s="158"/>
      <c r="AL338" s="158"/>
      <c r="AM338" s="158"/>
      <c r="AN338" s="158"/>
      <c r="AO338" s="158"/>
      <c r="AP338" s="158"/>
      <c r="AQ338" s="158"/>
      <c r="AR338" s="158"/>
      <c r="AS338" s="158"/>
      <c r="AT338" s="158"/>
      <c r="AV338" s="413"/>
      <c r="AW338" s="413"/>
      <c r="AX338" s="414"/>
      <c r="AY338" s="415"/>
      <c r="AZ338" s="416"/>
      <c r="BA338" s="448"/>
    </row>
    <row r="339" spans="1:53">
      <c r="A339" s="5" t="str">
        <f t="shared" si="30"/>
        <v>Bus - Public Rebates_Energy Star Steamer - 3 Pans</v>
      </c>
      <c r="B339" s="407">
        <v>336</v>
      </c>
      <c r="C339" s="407" t="s">
        <v>728</v>
      </c>
      <c r="D339" s="407" t="s">
        <v>183</v>
      </c>
      <c r="E339" s="408" t="s">
        <v>150</v>
      </c>
      <c r="F339" s="408">
        <v>1</v>
      </c>
      <c r="G339" s="409">
        <v>0.79</v>
      </c>
      <c r="H339" s="470">
        <v>12</v>
      </c>
      <c r="I339" s="463">
        <v>12</v>
      </c>
      <c r="J339" s="408">
        <v>0</v>
      </c>
      <c r="K339" s="408">
        <v>0</v>
      </c>
      <c r="L339" s="408">
        <v>0</v>
      </c>
      <c r="M339" s="408">
        <v>0</v>
      </c>
      <c r="N339" s="208">
        <f>'Food Equipment Detail'!$C$70</f>
        <v>921.04270586676478</v>
      </c>
      <c r="O339" s="461">
        <f t="shared" si="29"/>
        <v>921.04270586676478</v>
      </c>
      <c r="P339" s="461">
        <f t="shared" si="29"/>
        <v>921.04270586676478</v>
      </c>
      <c r="Q339" s="461">
        <f t="shared" si="29"/>
        <v>921.04270586676478</v>
      </c>
      <c r="R339" s="411"/>
      <c r="S339" s="411" t="s">
        <v>1046</v>
      </c>
      <c r="T339" s="411" t="s">
        <v>179</v>
      </c>
      <c r="U339" s="411" t="s">
        <v>178</v>
      </c>
      <c r="V339" s="447"/>
      <c r="W339" s="158" t="s">
        <v>177</v>
      </c>
      <c r="X339" s="158">
        <v>40</v>
      </c>
      <c r="Y339" s="158" t="s">
        <v>176</v>
      </c>
      <c r="Z339" s="158">
        <v>15</v>
      </c>
      <c r="AA339" s="150" t="s">
        <v>153</v>
      </c>
      <c r="AB339" s="158">
        <v>6</v>
      </c>
      <c r="AC339" s="150" t="s">
        <v>175</v>
      </c>
      <c r="AD339" s="158">
        <v>365.25</v>
      </c>
      <c r="AE339" s="150"/>
      <c r="AF339" s="158"/>
      <c r="AG339" s="158"/>
      <c r="AH339" s="158"/>
      <c r="AI339" s="158"/>
      <c r="AJ339" s="158"/>
      <c r="AK339" s="158"/>
      <c r="AL339" s="158"/>
      <c r="AM339" s="158"/>
      <c r="AN339" s="158"/>
      <c r="AO339" s="158"/>
      <c r="AP339" s="158"/>
      <c r="AQ339" s="158"/>
      <c r="AR339" s="158"/>
      <c r="AS339" s="158"/>
      <c r="AT339" s="158"/>
      <c r="AV339" s="413"/>
      <c r="AW339" s="413"/>
      <c r="AX339" s="414"/>
      <c r="AY339" s="415"/>
      <c r="AZ339" s="416"/>
      <c r="BA339" s="448"/>
    </row>
    <row r="340" spans="1:53">
      <c r="A340" s="5" t="str">
        <f t="shared" si="30"/>
        <v>Bus - Public Rebates_Energy Star Steamer - 4 Pans</v>
      </c>
      <c r="B340" s="407">
        <v>337</v>
      </c>
      <c r="C340" s="407" t="s">
        <v>728</v>
      </c>
      <c r="D340" s="407" t="s">
        <v>182</v>
      </c>
      <c r="E340" s="408" t="s">
        <v>150</v>
      </c>
      <c r="F340" s="408">
        <v>1</v>
      </c>
      <c r="G340" s="409">
        <v>0.79</v>
      </c>
      <c r="H340" s="470">
        <v>12</v>
      </c>
      <c r="I340" s="463">
        <v>12</v>
      </c>
      <c r="J340" s="408">
        <v>25</v>
      </c>
      <c r="K340" s="408">
        <v>25</v>
      </c>
      <c r="L340" s="408">
        <v>25</v>
      </c>
      <c r="M340" s="408">
        <v>25</v>
      </c>
      <c r="N340" s="208">
        <f>'Food Equipment Detail'!$D$70</f>
        <v>1176.2945737965733</v>
      </c>
      <c r="O340" s="461">
        <f t="shared" si="29"/>
        <v>1176.2945737965733</v>
      </c>
      <c r="P340" s="461">
        <f t="shared" si="29"/>
        <v>1176.2945737965733</v>
      </c>
      <c r="Q340" s="461">
        <f t="shared" si="29"/>
        <v>1176.2945737965733</v>
      </c>
      <c r="R340" s="411"/>
      <c r="S340" s="411" t="s">
        <v>1046</v>
      </c>
      <c r="T340" s="411" t="s">
        <v>179</v>
      </c>
      <c r="U340" s="411" t="s">
        <v>178</v>
      </c>
      <c r="V340" s="447"/>
      <c r="W340" s="158" t="s">
        <v>177</v>
      </c>
      <c r="X340" s="158">
        <v>40</v>
      </c>
      <c r="Y340" s="158" t="s">
        <v>176</v>
      </c>
      <c r="Z340" s="158">
        <v>15</v>
      </c>
      <c r="AA340" s="150" t="s">
        <v>153</v>
      </c>
      <c r="AB340" s="158">
        <v>6</v>
      </c>
      <c r="AC340" s="150" t="s">
        <v>175</v>
      </c>
      <c r="AD340" s="158">
        <v>365.25</v>
      </c>
      <c r="AE340" s="150"/>
      <c r="AF340" s="158"/>
      <c r="AG340" s="158"/>
      <c r="AH340" s="158"/>
      <c r="AI340" s="158"/>
      <c r="AJ340" s="158"/>
      <c r="AK340" s="158"/>
      <c r="AL340" s="158"/>
      <c r="AM340" s="158"/>
      <c r="AN340" s="158"/>
      <c r="AO340" s="158"/>
      <c r="AP340" s="158"/>
      <c r="AQ340" s="158"/>
      <c r="AR340" s="158"/>
      <c r="AS340" s="158"/>
      <c r="AT340" s="158"/>
      <c r="AV340" s="413"/>
      <c r="AW340" s="413"/>
      <c r="AX340" s="414"/>
      <c r="AY340" s="415"/>
      <c r="AZ340" s="416"/>
      <c r="BA340" s="448"/>
    </row>
    <row r="341" spans="1:53">
      <c r="A341" s="5" t="str">
        <f t="shared" si="30"/>
        <v>Bus - Public Rebates_Energy Star Steamer - 5 Pans</v>
      </c>
      <c r="B341" s="407">
        <v>338</v>
      </c>
      <c r="C341" s="407" t="s">
        <v>728</v>
      </c>
      <c r="D341" s="407" t="s">
        <v>181</v>
      </c>
      <c r="E341" s="408" t="s">
        <v>150</v>
      </c>
      <c r="F341" s="408">
        <v>1</v>
      </c>
      <c r="G341" s="409">
        <v>0.79</v>
      </c>
      <c r="H341" s="470">
        <v>12</v>
      </c>
      <c r="I341" s="463">
        <v>12</v>
      </c>
      <c r="J341" s="408">
        <v>0</v>
      </c>
      <c r="K341" s="408">
        <v>0</v>
      </c>
      <c r="L341" s="408">
        <v>0</v>
      </c>
      <c r="M341" s="408">
        <v>0</v>
      </c>
      <c r="N341" s="208">
        <f>'Food Equipment Detail'!$E$70</f>
        <v>1417.7013369898457</v>
      </c>
      <c r="O341" s="461">
        <f t="shared" si="29"/>
        <v>1417.7013369898457</v>
      </c>
      <c r="P341" s="461">
        <f t="shared" si="29"/>
        <v>1417.7013369898457</v>
      </c>
      <c r="Q341" s="461">
        <f t="shared" si="29"/>
        <v>1417.7013369898457</v>
      </c>
      <c r="R341" s="411"/>
      <c r="S341" s="411" t="s">
        <v>1046</v>
      </c>
      <c r="T341" s="411" t="s">
        <v>179</v>
      </c>
      <c r="U341" s="411" t="s">
        <v>178</v>
      </c>
      <c r="V341" s="447"/>
      <c r="W341" s="158" t="s">
        <v>177</v>
      </c>
      <c r="X341" s="158">
        <v>40</v>
      </c>
      <c r="Y341" s="158" t="s">
        <v>176</v>
      </c>
      <c r="Z341" s="158">
        <v>15</v>
      </c>
      <c r="AA341" s="150" t="s">
        <v>153</v>
      </c>
      <c r="AB341" s="158">
        <v>6</v>
      </c>
      <c r="AC341" s="150" t="s">
        <v>175</v>
      </c>
      <c r="AD341" s="158">
        <v>365.25</v>
      </c>
      <c r="AE341" s="150"/>
      <c r="AF341" s="158"/>
      <c r="AG341" s="158"/>
      <c r="AH341" s="158"/>
      <c r="AI341" s="158"/>
      <c r="AJ341" s="158"/>
      <c r="AK341" s="158"/>
      <c r="AL341" s="158"/>
      <c r="AM341" s="158"/>
      <c r="AN341" s="158"/>
      <c r="AO341" s="158"/>
      <c r="AP341" s="158"/>
      <c r="AQ341" s="158"/>
      <c r="AR341" s="158"/>
      <c r="AS341" s="158"/>
      <c r="AT341" s="158"/>
      <c r="AV341" s="413"/>
      <c r="AW341" s="413"/>
      <c r="AX341" s="414"/>
      <c r="AY341" s="415"/>
      <c r="AZ341" s="416"/>
      <c r="BA341" s="448"/>
    </row>
    <row r="342" spans="1:53">
      <c r="A342" s="5" t="str">
        <f t="shared" si="30"/>
        <v>Bus - Public Rebates_Energy Star Steamer - 6 Pans</v>
      </c>
      <c r="B342" s="407">
        <v>339</v>
      </c>
      <c r="C342" s="407" t="s">
        <v>728</v>
      </c>
      <c r="D342" s="407" t="s">
        <v>180</v>
      </c>
      <c r="E342" s="408" t="s">
        <v>150</v>
      </c>
      <c r="F342" s="408">
        <v>1</v>
      </c>
      <c r="G342" s="409">
        <v>0.79</v>
      </c>
      <c r="H342" s="470">
        <v>12</v>
      </c>
      <c r="I342" s="463">
        <v>12</v>
      </c>
      <c r="J342" s="408">
        <v>0</v>
      </c>
      <c r="K342" s="408">
        <v>0</v>
      </c>
      <c r="L342" s="408">
        <v>0</v>
      </c>
      <c r="M342" s="408">
        <v>0</v>
      </c>
      <c r="N342" s="208">
        <f>'Food Equipment Detail'!$F$70</f>
        <v>1672.9098308667649</v>
      </c>
      <c r="O342" s="461">
        <f t="shared" si="29"/>
        <v>1672.9098308667649</v>
      </c>
      <c r="P342" s="461">
        <f t="shared" si="29"/>
        <v>1672.9098308667649</v>
      </c>
      <c r="Q342" s="461">
        <f t="shared" si="29"/>
        <v>1672.9098308667649</v>
      </c>
      <c r="R342" s="411"/>
      <c r="S342" s="411" t="s">
        <v>1046</v>
      </c>
      <c r="T342" s="411" t="s">
        <v>179</v>
      </c>
      <c r="U342" s="411" t="s">
        <v>178</v>
      </c>
      <c r="V342" s="447"/>
      <c r="W342" s="158" t="s">
        <v>177</v>
      </c>
      <c r="X342" s="158">
        <v>40</v>
      </c>
      <c r="Y342" s="158" t="s">
        <v>176</v>
      </c>
      <c r="Z342" s="158">
        <v>15</v>
      </c>
      <c r="AA342" s="150" t="s">
        <v>153</v>
      </c>
      <c r="AB342" s="158">
        <v>6</v>
      </c>
      <c r="AC342" s="150" t="s">
        <v>175</v>
      </c>
      <c r="AD342" s="158">
        <v>365.25</v>
      </c>
      <c r="AE342" s="150"/>
      <c r="AF342" s="158"/>
      <c r="AG342" s="158"/>
      <c r="AH342" s="158"/>
      <c r="AI342" s="158"/>
      <c r="AJ342" s="158"/>
      <c r="AK342" s="158"/>
      <c r="AL342" s="158"/>
      <c r="AM342" s="158"/>
      <c r="AN342" s="158"/>
      <c r="AO342" s="158"/>
      <c r="AP342" s="158"/>
      <c r="AQ342" s="158"/>
      <c r="AR342" s="158"/>
      <c r="AS342" s="158"/>
      <c r="AT342" s="158"/>
      <c r="AV342" s="413"/>
      <c r="AW342" s="413"/>
      <c r="AX342" s="414"/>
      <c r="AY342" s="415"/>
      <c r="AZ342" s="416"/>
      <c r="BA342" s="448"/>
    </row>
    <row r="343" spans="1:53">
      <c r="A343" s="5" t="str">
        <f t="shared" si="30"/>
        <v>Bus - Public Rebates_Heat Recovery Grease Trap Filter</v>
      </c>
      <c r="B343" s="407">
        <v>340</v>
      </c>
      <c r="C343" s="407" t="s">
        <v>728</v>
      </c>
      <c r="D343" s="407" t="s">
        <v>151</v>
      </c>
      <c r="E343" s="408" t="s">
        <v>150</v>
      </c>
      <c r="F343" s="408">
        <v>1</v>
      </c>
      <c r="G343" s="409">
        <v>0.79</v>
      </c>
      <c r="H343" s="470">
        <v>15</v>
      </c>
      <c r="I343" s="463">
        <v>15</v>
      </c>
      <c r="J343" s="408">
        <v>8</v>
      </c>
      <c r="K343" s="408">
        <v>8</v>
      </c>
      <c r="L343" s="408">
        <v>8</v>
      </c>
      <c r="M343" s="408">
        <v>8</v>
      </c>
      <c r="N343" s="208">
        <f>((X343*Z343*AB343)*8.3*1*(AD343*AF343))/(AH343*100000)</f>
        <v>1757.3025600000001</v>
      </c>
      <c r="O343" s="461">
        <f t="shared" si="29"/>
        <v>1757.3025600000001</v>
      </c>
      <c r="P343" s="461">
        <f t="shared" si="29"/>
        <v>1757.3025600000001</v>
      </c>
      <c r="Q343" s="461">
        <f t="shared" si="29"/>
        <v>1757.3025600000001</v>
      </c>
      <c r="R343" s="411"/>
      <c r="S343" s="411" t="s">
        <v>1046</v>
      </c>
      <c r="T343" s="411" t="s">
        <v>149</v>
      </c>
      <c r="U343" s="411" t="s">
        <v>148</v>
      </c>
      <c r="V343" s="158" t="s">
        <v>141</v>
      </c>
      <c r="W343" s="158" t="s">
        <v>147</v>
      </c>
      <c r="X343" s="158">
        <v>780</v>
      </c>
      <c r="Y343" s="158" t="s">
        <v>146</v>
      </c>
      <c r="Z343" s="158">
        <v>3</v>
      </c>
      <c r="AA343" s="150" t="s">
        <v>145</v>
      </c>
      <c r="AB343" s="158">
        <v>312</v>
      </c>
      <c r="AC343" s="150" t="s">
        <v>144</v>
      </c>
      <c r="AD343" s="158">
        <v>5.8</v>
      </c>
      <c r="AE343" s="150" t="s">
        <v>143</v>
      </c>
      <c r="AF343" s="158">
        <v>4</v>
      </c>
      <c r="AG343" s="158" t="s">
        <v>142</v>
      </c>
      <c r="AH343" s="423">
        <v>0.8</v>
      </c>
      <c r="AI343" s="158"/>
      <c r="AJ343" s="158"/>
      <c r="AK343" s="158"/>
      <c r="AL343" s="158"/>
      <c r="AM343" s="158"/>
      <c r="AN343" s="158"/>
      <c r="AO343" s="158"/>
      <c r="AP343" s="158"/>
      <c r="AQ343" s="158"/>
      <c r="AR343" s="158"/>
      <c r="AS343" s="158"/>
      <c r="AT343" s="158"/>
      <c r="AV343" s="413"/>
      <c r="AW343" s="413"/>
      <c r="AX343" s="414"/>
      <c r="AY343" s="415"/>
      <c r="AZ343" s="416"/>
      <c r="BA343" s="448"/>
    </row>
    <row r="344" spans="1:53">
      <c r="A344" s="5" t="str">
        <f t="shared" si="30"/>
        <v>Bus - Public Rebates_Infrared Charbroiler</v>
      </c>
      <c r="B344" s="407">
        <v>341</v>
      </c>
      <c r="C344" s="407" t="s">
        <v>728</v>
      </c>
      <c r="D344" s="407" t="s">
        <v>174</v>
      </c>
      <c r="E344" s="408" t="s">
        <v>150</v>
      </c>
      <c r="F344" s="408">
        <v>1</v>
      </c>
      <c r="G344" s="409">
        <v>0.79</v>
      </c>
      <c r="H344" s="470">
        <v>12</v>
      </c>
      <c r="I344" s="463">
        <v>12</v>
      </c>
      <c r="J344" s="408">
        <v>5</v>
      </c>
      <c r="K344" s="408">
        <v>5</v>
      </c>
      <c r="L344" s="408">
        <v>5</v>
      </c>
      <c r="M344" s="408">
        <v>5</v>
      </c>
      <c r="N344" s="208">
        <f>((X344-Z344)*AB344*AD344/60+((AF344-AH344)*AJ344*AL344))*312/100000</f>
        <v>706.68</v>
      </c>
      <c r="O344" s="461">
        <f t="shared" si="29"/>
        <v>706.68</v>
      </c>
      <c r="P344" s="461">
        <f t="shared" si="29"/>
        <v>706.68</v>
      </c>
      <c r="Q344" s="461">
        <f t="shared" si="29"/>
        <v>706.68</v>
      </c>
      <c r="R344" s="411"/>
      <c r="S344" s="411" t="s">
        <v>1046</v>
      </c>
      <c r="T344" s="411" t="s">
        <v>173</v>
      </c>
      <c r="U344" s="411" t="s">
        <v>172</v>
      </c>
      <c r="V344" s="158" t="s">
        <v>166</v>
      </c>
      <c r="W344" s="158" t="s">
        <v>171</v>
      </c>
      <c r="X344" s="158">
        <v>64000</v>
      </c>
      <c r="Y344" s="158" t="s">
        <v>170</v>
      </c>
      <c r="Z344" s="158">
        <v>54000</v>
      </c>
      <c r="AA344" s="150" t="s">
        <v>169</v>
      </c>
      <c r="AB344" s="158">
        <v>1</v>
      </c>
      <c r="AC344" s="150" t="s">
        <v>168</v>
      </c>
      <c r="AD344" s="158">
        <v>15</v>
      </c>
      <c r="AE344" s="150" t="s">
        <v>167</v>
      </c>
      <c r="AF344" s="158">
        <v>140000</v>
      </c>
      <c r="AG344" s="158" t="s">
        <v>155</v>
      </c>
      <c r="AH344" s="158">
        <v>105000</v>
      </c>
      <c r="AI344" s="158" t="s">
        <v>154</v>
      </c>
      <c r="AJ344" s="429">
        <v>0.8</v>
      </c>
      <c r="AK344" s="158" t="s">
        <v>153</v>
      </c>
      <c r="AL344" s="158">
        <v>8</v>
      </c>
      <c r="AM344" s="158"/>
      <c r="AN344" s="158"/>
      <c r="AO344" s="158"/>
      <c r="AP344" s="158"/>
      <c r="AQ344" s="158"/>
      <c r="AR344" s="158"/>
      <c r="AS344" s="158"/>
      <c r="AT344" s="158"/>
      <c r="AV344" s="413"/>
      <c r="AW344" s="413"/>
      <c r="AX344" s="414"/>
      <c r="AY344" s="415"/>
      <c r="AZ344" s="416"/>
      <c r="BA344" s="448"/>
    </row>
    <row r="345" spans="1:53">
      <c r="A345" s="5" t="str">
        <f t="shared" si="30"/>
        <v>Bus - Public Rebates_Infrared Rotisserie Oven</v>
      </c>
      <c r="B345" s="407">
        <v>342</v>
      </c>
      <c r="C345" s="407" t="s">
        <v>728</v>
      </c>
      <c r="D345" s="407" t="s">
        <v>165</v>
      </c>
      <c r="E345" s="408" t="s">
        <v>150</v>
      </c>
      <c r="F345" s="408">
        <v>1</v>
      </c>
      <c r="G345" s="409">
        <v>0.79</v>
      </c>
      <c r="H345" s="470">
        <v>12</v>
      </c>
      <c r="I345" s="463">
        <v>12</v>
      </c>
      <c r="J345" s="408">
        <v>4</v>
      </c>
      <c r="K345" s="408">
        <v>4</v>
      </c>
      <c r="L345" s="408">
        <v>4</v>
      </c>
      <c r="M345" s="408">
        <v>4</v>
      </c>
      <c r="N345" s="208">
        <f>(X345-Z345)*AB345*AD345/100000</f>
        <v>599.04</v>
      </c>
      <c r="O345" s="461">
        <f t="shared" si="29"/>
        <v>599.04</v>
      </c>
      <c r="P345" s="461">
        <f t="shared" si="29"/>
        <v>599.04</v>
      </c>
      <c r="Q345" s="461">
        <f t="shared" si="29"/>
        <v>599.04</v>
      </c>
      <c r="R345" s="411"/>
      <c r="S345" s="411" t="s">
        <v>1046</v>
      </c>
      <c r="T345" s="411" t="s">
        <v>164</v>
      </c>
      <c r="U345" s="411" t="s">
        <v>163</v>
      </c>
      <c r="V345" s="158" t="s">
        <v>152</v>
      </c>
      <c r="W345" s="158" t="s">
        <v>156</v>
      </c>
      <c r="X345" s="158">
        <v>90000</v>
      </c>
      <c r="Y345" s="158" t="s">
        <v>155</v>
      </c>
      <c r="Z345" s="158">
        <v>50000</v>
      </c>
      <c r="AA345" s="150" t="s">
        <v>154</v>
      </c>
      <c r="AB345" s="429">
        <v>0.6</v>
      </c>
      <c r="AC345" s="150" t="s">
        <v>153</v>
      </c>
      <c r="AD345" s="158">
        <v>2496</v>
      </c>
      <c r="AE345" s="150"/>
      <c r="AF345" s="158"/>
      <c r="AG345" s="158"/>
      <c r="AH345" s="158"/>
      <c r="AI345" s="158"/>
      <c r="AJ345" s="158"/>
      <c r="AK345" s="158"/>
      <c r="AL345" s="158"/>
      <c r="AM345" s="158"/>
      <c r="AN345" s="158"/>
      <c r="AO345" s="158"/>
      <c r="AP345" s="158"/>
      <c r="AQ345" s="158"/>
      <c r="AR345" s="158"/>
      <c r="AS345" s="158"/>
      <c r="AT345" s="158"/>
      <c r="AV345" s="413"/>
      <c r="AW345" s="413"/>
      <c r="AX345" s="414"/>
      <c r="AY345" s="415"/>
      <c r="AZ345" s="416"/>
      <c r="BA345" s="448"/>
    </row>
    <row r="346" spans="1:53">
      <c r="A346" s="5" t="str">
        <f t="shared" si="30"/>
        <v>Bus - Public Rebates_Infrared Salamander Broiler</v>
      </c>
      <c r="B346" s="407">
        <v>343</v>
      </c>
      <c r="C346" s="407" t="s">
        <v>728</v>
      </c>
      <c r="D346" s="407" t="s">
        <v>162</v>
      </c>
      <c r="E346" s="408" t="s">
        <v>150</v>
      </c>
      <c r="F346" s="408">
        <v>1</v>
      </c>
      <c r="G346" s="409">
        <v>0.79</v>
      </c>
      <c r="H346" s="470">
        <v>12</v>
      </c>
      <c r="I346" s="463">
        <v>12</v>
      </c>
      <c r="J346" s="408">
        <v>0</v>
      </c>
      <c r="K346" s="408">
        <v>0</v>
      </c>
      <c r="L346" s="408">
        <v>0</v>
      </c>
      <c r="M346" s="408">
        <v>0</v>
      </c>
      <c r="N346" s="208">
        <f>(X346-Z346)*AB346*AD346/100000</f>
        <v>240.24</v>
      </c>
      <c r="O346" s="461">
        <f t="shared" ref="O346:Q349" si="31">N346</f>
        <v>240.24</v>
      </c>
      <c r="P346" s="461">
        <f t="shared" si="31"/>
        <v>240.24</v>
      </c>
      <c r="Q346" s="461">
        <f t="shared" si="31"/>
        <v>240.24</v>
      </c>
      <c r="R346" s="411"/>
      <c r="S346" s="411" t="s">
        <v>1046</v>
      </c>
      <c r="T346" s="411" t="s">
        <v>161</v>
      </c>
      <c r="U346" s="411" t="s">
        <v>160</v>
      </c>
      <c r="V346" s="158" t="s">
        <v>152</v>
      </c>
      <c r="W346" s="158" t="s">
        <v>156</v>
      </c>
      <c r="X346" s="158">
        <v>38500</v>
      </c>
      <c r="Y346" s="158" t="s">
        <v>155</v>
      </c>
      <c r="Z346" s="158">
        <v>24750</v>
      </c>
      <c r="AA346" s="150" t="s">
        <v>154</v>
      </c>
      <c r="AB346" s="429">
        <v>0.7</v>
      </c>
      <c r="AC346" s="150" t="s">
        <v>153</v>
      </c>
      <c r="AD346" s="158">
        <v>2496</v>
      </c>
      <c r="AE346" s="150"/>
      <c r="AF346" s="158"/>
      <c r="AG346" s="158"/>
      <c r="AH346" s="158"/>
      <c r="AI346" s="158"/>
      <c r="AJ346" s="158"/>
      <c r="AK346" s="158"/>
      <c r="AL346" s="158"/>
      <c r="AM346" s="158"/>
      <c r="AN346" s="158"/>
      <c r="AO346" s="158"/>
      <c r="AP346" s="158"/>
      <c r="AQ346" s="158"/>
      <c r="AR346" s="158"/>
      <c r="AS346" s="158"/>
      <c r="AT346" s="158"/>
      <c r="AV346" s="413"/>
      <c r="AW346" s="413"/>
      <c r="AX346" s="414"/>
      <c r="AY346" s="415"/>
      <c r="AZ346" s="416"/>
      <c r="BA346" s="448"/>
    </row>
    <row r="347" spans="1:53">
      <c r="A347" s="5" t="str">
        <f t="shared" si="30"/>
        <v>Bus - Public Rebates_Infrared Upright Broiler</v>
      </c>
      <c r="B347" s="407">
        <v>344</v>
      </c>
      <c r="C347" s="407" t="s">
        <v>728</v>
      </c>
      <c r="D347" s="407" t="s">
        <v>159</v>
      </c>
      <c r="E347" s="408" t="s">
        <v>150</v>
      </c>
      <c r="F347" s="408">
        <v>1</v>
      </c>
      <c r="G347" s="409">
        <v>0.79</v>
      </c>
      <c r="H347" s="470">
        <v>12</v>
      </c>
      <c r="I347" s="463">
        <v>12</v>
      </c>
      <c r="J347" s="408">
        <v>0</v>
      </c>
      <c r="K347" s="408">
        <v>0</v>
      </c>
      <c r="L347" s="408">
        <v>0</v>
      </c>
      <c r="M347" s="408">
        <v>0</v>
      </c>
      <c r="N347" s="208">
        <f>(X347-Z347)*AB347*AD347/100000</f>
        <v>943.48800000000006</v>
      </c>
      <c r="O347" s="461">
        <f t="shared" si="31"/>
        <v>943.48800000000006</v>
      </c>
      <c r="P347" s="461">
        <f t="shared" si="31"/>
        <v>943.48800000000006</v>
      </c>
      <c r="Q347" s="461">
        <f t="shared" si="31"/>
        <v>943.48800000000006</v>
      </c>
      <c r="R347" s="411"/>
      <c r="S347" s="411" t="s">
        <v>1046</v>
      </c>
      <c r="T347" s="411" t="s">
        <v>158</v>
      </c>
      <c r="U347" s="411" t="s">
        <v>157</v>
      </c>
      <c r="V347" s="158" t="s">
        <v>152</v>
      </c>
      <c r="W347" s="158" t="s">
        <v>156</v>
      </c>
      <c r="X347" s="158">
        <v>144000</v>
      </c>
      <c r="Y347" s="158" t="s">
        <v>155</v>
      </c>
      <c r="Z347" s="158">
        <v>90000</v>
      </c>
      <c r="AA347" s="150" t="s">
        <v>154</v>
      </c>
      <c r="AB347" s="429">
        <v>0.7</v>
      </c>
      <c r="AC347" s="150" t="s">
        <v>153</v>
      </c>
      <c r="AD347" s="158">
        <v>2496</v>
      </c>
      <c r="AE347" s="150"/>
      <c r="AF347" s="158"/>
      <c r="AG347" s="158"/>
      <c r="AH347" s="158"/>
      <c r="AI347" s="158"/>
      <c r="AJ347" s="158"/>
      <c r="AK347" s="158"/>
      <c r="AL347" s="158"/>
      <c r="AM347" s="158"/>
      <c r="AN347" s="158"/>
      <c r="AO347" s="158"/>
      <c r="AP347" s="158"/>
      <c r="AQ347" s="158"/>
      <c r="AR347" s="158"/>
      <c r="AS347" s="158"/>
      <c r="AT347" s="158"/>
      <c r="AV347" s="413"/>
      <c r="AW347" s="413"/>
      <c r="AX347" s="414"/>
      <c r="AY347" s="415"/>
      <c r="AZ347" s="416"/>
      <c r="BA347" s="448"/>
    </row>
    <row r="348" spans="1:53">
      <c r="A348" s="5" t="str">
        <f t="shared" si="30"/>
        <v>Bus - Public Rebates_CI Custom</v>
      </c>
      <c r="B348" s="407">
        <v>345</v>
      </c>
      <c r="C348" s="407" t="s">
        <v>728</v>
      </c>
      <c r="D348" s="407" t="s">
        <v>675</v>
      </c>
      <c r="E348" s="408" t="s">
        <v>150</v>
      </c>
      <c r="F348" s="408">
        <v>1</v>
      </c>
      <c r="G348" s="409">
        <v>0.69</v>
      </c>
      <c r="H348" s="470">
        <v>15</v>
      </c>
      <c r="I348" s="463">
        <v>15</v>
      </c>
      <c r="J348" s="408">
        <v>23</v>
      </c>
      <c r="K348" s="408">
        <v>23</v>
      </c>
      <c r="L348" s="408">
        <v>23</v>
      </c>
      <c r="M348" s="408">
        <v>23</v>
      </c>
      <c r="N348" s="208">
        <v>19720</v>
      </c>
      <c r="O348" s="461">
        <f t="shared" si="31"/>
        <v>19720</v>
      </c>
      <c r="P348" s="461">
        <f t="shared" si="31"/>
        <v>19720</v>
      </c>
      <c r="Q348" s="461">
        <f t="shared" si="31"/>
        <v>19720</v>
      </c>
      <c r="R348" s="407"/>
      <c r="S348" s="407" t="s">
        <v>140</v>
      </c>
      <c r="T348" s="407" t="s">
        <v>140</v>
      </c>
      <c r="U348" s="407" t="s">
        <v>140</v>
      </c>
      <c r="V348" s="412"/>
      <c r="W348" s="161"/>
      <c r="X348" s="161"/>
      <c r="Y348" s="412"/>
      <c r="Z348" s="412"/>
      <c r="AA348" s="162"/>
      <c r="AB348" s="412"/>
      <c r="AC348" s="149"/>
      <c r="AD348" s="412"/>
      <c r="AE348" s="149"/>
      <c r="AF348" s="412"/>
      <c r="AG348" s="412"/>
      <c r="AH348" s="412"/>
      <c r="AI348" s="412"/>
      <c r="AJ348" s="412"/>
      <c r="AK348" s="412"/>
      <c r="AL348" s="412"/>
      <c r="AM348" s="412"/>
      <c r="AN348" s="412"/>
      <c r="AO348" s="412"/>
      <c r="AP348" s="412"/>
      <c r="AQ348" s="412"/>
      <c r="AR348" s="412"/>
      <c r="AS348" s="412"/>
      <c r="AT348" s="412"/>
      <c r="AV348" s="413"/>
      <c r="AW348" s="413"/>
      <c r="AX348" s="414"/>
      <c r="AY348" s="415"/>
      <c r="AZ348" s="416"/>
      <c r="BA348" s="448"/>
    </row>
    <row r="349" spans="1:53">
      <c r="A349" s="5" t="str">
        <f t="shared" si="30"/>
        <v>Bus - Public Rebates_New Construction</v>
      </c>
      <c r="B349" s="407">
        <v>346</v>
      </c>
      <c r="C349" s="407" t="s">
        <v>728</v>
      </c>
      <c r="D349" s="407" t="s">
        <v>676</v>
      </c>
      <c r="E349" s="408" t="s">
        <v>150</v>
      </c>
      <c r="F349" s="408">
        <v>1</v>
      </c>
      <c r="G349" s="409">
        <v>0.77</v>
      </c>
      <c r="H349" s="470">
        <v>15</v>
      </c>
      <c r="I349" s="463">
        <v>15</v>
      </c>
      <c r="J349" s="408">
        <v>9</v>
      </c>
      <c r="K349" s="408">
        <v>9</v>
      </c>
      <c r="L349" s="408">
        <v>9</v>
      </c>
      <c r="M349" s="408">
        <v>9</v>
      </c>
      <c r="N349" s="208">
        <v>7600</v>
      </c>
      <c r="O349" s="461">
        <f t="shared" si="31"/>
        <v>7600</v>
      </c>
      <c r="P349" s="461">
        <f t="shared" si="31"/>
        <v>7600</v>
      </c>
      <c r="Q349" s="461">
        <f t="shared" si="31"/>
        <v>7600</v>
      </c>
      <c r="R349" s="407"/>
      <c r="S349" s="407" t="s">
        <v>140</v>
      </c>
      <c r="T349" s="407" t="s">
        <v>140</v>
      </c>
      <c r="U349" s="407" t="s">
        <v>140</v>
      </c>
      <c r="V349" s="412"/>
      <c r="W349" s="161"/>
      <c r="X349" s="161"/>
      <c r="Y349" s="412"/>
      <c r="Z349" s="412"/>
      <c r="AA349" s="162"/>
      <c r="AB349" s="412"/>
      <c r="AC349" s="149"/>
      <c r="AD349" s="412"/>
      <c r="AE349" s="149"/>
      <c r="AF349" s="412"/>
      <c r="AG349" s="412"/>
      <c r="AH349" s="412"/>
      <c r="AI349" s="412"/>
      <c r="AJ349" s="412"/>
      <c r="AK349" s="412"/>
      <c r="AL349" s="412"/>
      <c r="AM349" s="412"/>
      <c r="AN349" s="412"/>
      <c r="AO349" s="412"/>
      <c r="AP349" s="412"/>
      <c r="AQ349" s="412"/>
      <c r="AR349" s="412"/>
      <c r="AS349" s="412"/>
      <c r="AT349" s="412"/>
      <c r="AV349" s="413"/>
      <c r="AW349" s="413"/>
      <c r="AX349" s="414"/>
      <c r="AY349" s="415"/>
      <c r="AZ349" s="416"/>
      <c r="BA349" s="448"/>
    </row>
    <row r="350" spans="1:53">
      <c r="A350" s="5" t="str">
        <f t="shared" si="30"/>
        <v>Low Income - Outreach &amp; Education_Behavior 2018 1st Year</v>
      </c>
      <c r="B350" s="407">
        <v>347</v>
      </c>
      <c r="C350" s="408" t="s">
        <v>713</v>
      </c>
      <c r="D350" s="408" t="s">
        <v>781</v>
      </c>
      <c r="E350" s="408" t="s">
        <v>150</v>
      </c>
      <c r="F350" s="408">
        <v>1</v>
      </c>
      <c r="G350" s="409">
        <v>1</v>
      </c>
      <c r="H350" s="470">
        <v>1</v>
      </c>
      <c r="I350" s="463">
        <v>1</v>
      </c>
      <c r="J350" s="408">
        <v>0</v>
      </c>
      <c r="K350" s="408">
        <v>0</v>
      </c>
      <c r="L350" s="408">
        <v>0</v>
      </c>
      <c r="M350" s="408">
        <v>0</v>
      </c>
      <c r="N350" s="208">
        <v>17.606837606837608</v>
      </c>
      <c r="O350" s="461">
        <v>0</v>
      </c>
      <c r="P350" s="461">
        <v>0</v>
      </c>
      <c r="Q350" s="461">
        <v>0</v>
      </c>
      <c r="R350" s="411"/>
      <c r="S350" s="411" t="s">
        <v>1046</v>
      </c>
      <c r="T350" s="407" t="s">
        <v>759</v>
      </c>
      <c r="U350" s="407" t="s">
        <v>760</v>
      </c>
      <c r="V350" s="412"/>
      <c r="W350" s="161"/>
      <c r="X350" s="161"/>
      <c r="Y350" s="412"/>
      <c r="Z350" s="412"/>
      <c r="AA350" s="162"/>
      <c r="AB350" s="412"/>
      <c r="AC350" s="149"/>
      <c r="AD350" s="412"/>
      <c r="AE350" s="149"/>
      <c r="AF350" s="412"/>
      <c r="AG350" s="412"/>
      <c r="AH350" s="412"/>
      <c r="AI350" s="412"/>
      <c r="AJ350" s="412"/>
      <c r="AK350" s="412"/>
      <c r="AL350" s="412"/>
      <c r="AM350" s="412"/>
      <c r="AN350" s="412"/>
      <c r="AO350" s="412"/>
      <c r="AP350" s="412"/>
      <c r="AQ350" s="412"/>
      <c r="AR350" s="412"/>
      <c r="AS350" s="412"/>
      <c r="AT350" s="412"/>
      <c r="AV350" s="413"/>
      <c r="AW350" s="413"/>
      <c r="AX350" s="414"/>
      <c r="AY350" s="415"/>
      <c r="AZ350" s="416"/>
      <c r="BA350" s="448"/>
    </row>
    <row r="351" spans="1:53">
      <c r="A351" s="5" t="str">
        <f t="shared" si="30"/>
        <v>Low Income - Outreach &amp; Education_Behavior 2019 1st Year</v>
      </c>
      <c r="B351" s="407">
        <v>348</v>
      </c>
      <c r="C351" s="408" t="s">
        <v>713</v>
      </c>
      <c r="D351" s="408" t="s">
        <v>782</v>
      </c>
      <c r="E351" s="408" t="s">
        <v>150</v>
      </c>
      <c r="F351" s="408">
        <v>1</v>
      </c>
      <c r="G351" s="409">
        <v>1</v>
      </c>
      <c r="H351" s="470">
        <v>1</v>
      </c>
      <c r="I351" s="463">
        <v>1</v>
      </c>
      <c r="J351" s="408">
        <v>0</v>
      </c>
      <c r="K351" s="408">
        <v>0</v>
      </c>
      <c r="L351" s="408">
        <v>0</v>
      </c>
      <c r="M351" s="408">
        <v>0</v>
      </c>
      <c r="N351" s="208">
        <v>0</v>
      </c>
      <c r="O351" s="461">
        <v>10.03731923490032</v>
      </c>
      <c r="P351" s="461">
        <v>0</v>
      </c>
      <c r="Q351" s="461">
        <v>0</v>
      </c>
      <c r="R351" s="411"/>
      <c r="S351" s="411" t="s">
        <v>1046</v>
      </c>
      <c r="T351" s="407" t="s">
        <v>759</v>
      </c>
      <c r="U351" s="407" t="s">
        <v>760</v>
      </c>
      <c r="V351" s="412"/>
      <c r="W351" s="161"/>
      <c r="X351" s="161"/>
      <c r="Y351" s="412"/>
      <c r="Z351" s="412"/>
      <c r="AA351" s="162"/>
      <c r="AB351" s="412"/>
      <c r="AC351" s="149"/>
      <c r="AD351" s="412"/>
      <c r="AE351" s="149"/>
      <c r="AF351" s="412"/>
      <c r="AG351" s="412"/>
      <c r="AH351" s="412"/>
      <c r="AI351" s="412"/>
      <c r="AJ351" s="412"/>
      <c r="AK351" s="412"/>
      <c r="AL351" s="412"/>
      <c r="AM351" s="412"/>
      <c r="AN351" s="412"/>
      <c r="AO351" s="412"/>
      <c r="AP351" s="412"/>
      <c r="AQ351" s="412"/>
      <c r="AR351" s="412"/>
      <c r="AS351" s="412"/>
      <c r="AT351" s="412"/>
      <c r="AV351" s="413"/>
      <c r="AW351" s="413"/>
      <c r="AX351" s="414"/>
      <c r="AY351" s="415"/>
      <c r="AZ351" s="416"/>
      <c r="BA351" s="448"/>
    </row>
    <row r="352" spans="1:53">
      <c r="A352" s="5" t="str">
        <f t="shared" si="30"/>
        <v>Low Income - Outreach &amp; Education_Behavior 2020 1st Year</v>
      </c>
      <c r="B352" s="407">
        <v>349</v>
      </c>
      <c r="C352" s="408" t="s">
        <v>713</v>
      </c>
      <c r="D352" s="408" t="s">
        <v>783</v>
      </c>
      <c r="E352" s="408" t="s">
        <v>150</v>
      </c>
      <c r="F352" s="408">
        <v>1</v>
      </c>
      <c r="G352" s="409">
        <v>1</v>
      </c>
      <c r="H352" s="470">
        <v>1</v>
      </c>
      <c r="I352" s="463">
        <v>1</v>
      </c>
      <c r="J352" s="408">
        <v>0</v>
      </c>
      <c r="K352" s="408">
        <v>0</v>
      </c>
      <c r="L352" s="408">
        <v>0</v>
      </c>
      <c r="M352" s="408">
        <v>0</v>
      </c>
      <c r="N352" s="208">
        <v>0</v>
      </c>
      <c r="O352" s="461">
        <v>0</v>
      </c>
      <c r="P352" s="461">
        <v>10.113623121804471</v>
      </c>
      <c r="Q352" s="461">
        <v>0</v>
      </c>
      <c r="R352" s="411"/>
      <c r="S352" s="411" t="s">
        <v>1046</v>
      </c>
      <c r="T352" s="407" t="s">
        <v>759</v>
      </c>
      <c r="U352" s="407" t="s">
        <v>760</v>
      </c>
      <c r="V352" s="412"/>
      <c r="W352" s="161"/>
      <c r="X352" s="161"/>
      <c r="Y352" s="412"/>
      <c r="Z352" s="412"/>
      <c r="AA352" s="162"/>
      <c r="AB352" s="412"/>
      <c r="AC352" s="149"/>
      <c r="AD352" s="412"/>
      <c r="AE352" s="149"/>
      <c r="AF352" s="412"/>
      <c r="AG352" s="412"/>
      <c r="AH352" s="412"/>
      <c r="AI352" s="412"/>
      <c r="AJ352" s="412"/>
      <c r="AK352" s="412"/>
      <c r="AL352" s="412"/>
      <c r="AM352" s="412"/>
      <c r="AN352" s="412"/>
      <c r="AO352" s="412"/>
      <c r="AP352" s="412"/>
      <c r="AQ352" s="412"/>
      <c r="AR352" s="412"/>
      <c r="AS352" s="412"/>
      <c r="AT352" s="412"/>
      <c r="AV352" s="413"/>
      <c r="AW352" s="413"/>
      <c r="AX352" s="414"/>
      <c r="AY352" s="415"/>
      <c r="AZ352" s="416"/>
      <c r="BA352" s="448"/>
    </row>
    <row r="353" spans="1:53">
      <c r="A353" s="5" t="str">
        <f t="shared" si="30"/>
        <v>Low Income - Outreach &amp; Education_Behavior 2021 1st Year</v>
      </c>
      <c r="B353" s="407">
        <v>350</v>
      </c>
      <c r="C353" s="408" t="s">
        <v>713</v>
      </c>
      <c r="D353" s="408" t="s">
        <v>784</v>
      </c>
      <c r="E353" s="408" t="s">
        <v>150</v>
      </c>
      <c r="F353" s="408">
        <v>1</v>
      </c>
      <c r="G353" s="409">
        <v>1</v>
      </c>
      <c r="H353" s="470">
        <v>1</v>
      </c>
      <c r="I353" s="463">
        <v>1</v>
      </c>
      <c r="J353" s="408">
        <v>0</v>
      </c>
      <c r="K353" s="408">
        <v>0</v>
      </c>
      <c r="L353" s="408">
        <v>0</v>
      </c>
      <c r="M353" s="408">
        <v>0</v>
      </c>
      <c r="N353" s="208">
        <v>0</v>
      </c>
      <c r="O353" s="461">
        <v>0</v>
      </c>
      <c r="P353" s="461">
        <v>0</v>
      </c>
      <c r="Q353" s="461">
        <v>10.185900070979669</v>
      </c>
      <c r="R353" s="411"/>
      <c r="S353" s="411" t="s">
        <v>1046</v>
      </c>
      <c r="T353" s="407" t="s">
        <v>759</v>
      </c>
      <c r="U353" s="407" t="s">
        <v>760</v>
      </c>
      <c r="V353" s="412"/>
      <c r="W353" s="161"/>
      <c r="X353" s="161"/>
      <c r="Y353" s="412"/>
      <c r="Z353" s="412"/>
      <c r="AA353" s="162"/>
      <c r="AB353" s="412"/>
      <c r="AC353" s="149"/>
      <c r="AD353" s="412"/>
      <c r="AE353" s="149"/>
      <c r="AF353" s="412"/>
      <c r="AG353" s="412"/>
      <c r="AH353" s="412"/>
      <c r="AI353" s="412"/>
      <c r="AJ353" s="412"/>
      <c r="AK353" s="412"/>
      <c r="AL353" s="412"/>
      <c r="AM353" s="412"/>
      <c r="AN353" s="412"/>
      <c r="AO353" s="412"/>
      <c r="AP353" s="412"/>
      <c r="AQ353" s="412"/>
      <c r="AR353" s="412"/>
      <c r="AS353" s="412"/>
      <c r="AT353" s="412"/>
      <c r="AV353" s="413"/>
      <c r="AW353" s="413"/>
      <c r="AX353" s="414"/>
      <c r="AY353" s="415"/>
      <c r="AZ353" s="416"/>
      <c r="BA353" s="448"/>
    </row>
    <row r="354" spans="1:53">
      <c r="A354" s="5" t="str">
        <f t="shared" si="30"/>
        <v>Low Income - Outreach &amp; Education_Behavior 2018 Y1 Persistence</v>
      </c>
      <c r="B354" s="407">
        <v>351</v>
      </c>
      <c r="C354" s="408" t="s">
        <v>713</v>
      </c>
      <c r="D354" s="408" t="s">
        <v>765</v>
      </c>
      <c r="E354" s="408" t="s">
        <v>150</v>
      </c>
      <c r="F354" s="408">
        <v>1</v>
      </c>
      <c r="G354" s="409">
        <v>1</v>
      </c>
      <c r="H354" s="470">
        <v>0</v>
      </c>
      <c r="I354" s="463">
        <v>0</v>
      </c>
      <c r="J354" s="408">
        <v>0</v>
      </c>
      <c r="K354" s="408">
        <v>0</v>
      </c>
      <c r="L354" s="408">
        <v>0</v>
      </c>
      <c r="M354" s="408">
        <v>0</v>
      </c>
      <c r="N354" s="208">
        <v>7.741557072016807</v>
      </c>
      <c r="O354" s="461">
        <v>0</v>
      </c>
      <c r="P354" s="461">
        <v>0</v>
      </c>
      <c r="Q354" s="461">
        <v>0</v>
      </c>
      <c r="R354" s="411"/>
      <c r="S354" s="411" t="s">
        <v>1046</v>
      </c>
      <c r="T354" s="407" t="s">
        <v>759</v>
      </c>
      <c r="U354" s="407" t="s">
        <v>760</v>
      </c>
      <c r="V354" s="412"/>
      <c r="W354" s="161"/>
      <c r="X354" s="161"/>
      <c r="Y354" s="412"/>
      <c r="Z354" s="412"/>
      <c r="AA354" s="162"/>
      <c r="AB354" s="412"/>
      <c r="AC354" s="149"/>
      <c r="AD354" s="412"/>
      <c r="AE354" s="149"/>
      <c r="AF354" s="412"/>
      <c r="AG354" s="412"/>
      <c r="AH354" s="412"/>
      <c r="AI354" s="412"/>
      <c r="AJ354" s="412"/>
      <c r="AK354" s="412"/>
      <c r="AL354" s="412"/>
      <c r="AM354" s="412"/>
      <c r="AN354" s="412"/>
      <c r="AO354" s="412"/>
      <c r="AP354" s="412"/>
      <c r="AQ354" s="412"/>
      <c r="AR354" s="412"/>
      <c r="AS354" s="412"/>
      <c r="AT354" s="412"/>
      <c r="AV354" s="413"/>
      <c r="AW354" s="413"/>
      <c r="AX354" s="414"/>
      <c r="AY354" s="415"/>
      <c r="AZ354" s="416"/>
      <c r="BA354" s="448"/>
    </row>
    <row r="355" spans="1:53">
      <c r="A355" s="5" t="str">
        <f t="shared" si="30"/>
        <v>Low Income - Outreach &amp; Education_Behavior 2018 Y2 Persistence</v>
      </c>
      <c r="B355" s="407">
        <v>352</v>
      </c>
      <c r="C355" s="408" t="s">
        <v>713</v>
      </c>
      <c r="D355" s="408" t="s">
        <v>766</v>
      </c>
      <c r="E355" s="408" t="s">
        <v>150</v>
      </c>
      <c r="F355" s="408">
        <v>1</v>
      </c>
      <c r="G355" s="409">
        <v>1</v>
      </c>
      <c r="H355" s="470">
        <v>0</v>
      </c>
      <c r="I355" s="463">
        <v>0</v>
      </c>
      <c r="J355" s="408">
        <v>0</v>
      </c>
      <c r="K355" s="408">
        <v>0</v>
      </c>
      <c r="L355" s="408">
        <v>0</v>
      </c>
      <c r="M355" s="408">
        <v>0</v>
      </c>
      <c r="N355" s="208">
        <v>3.3618648400898157</v>
      </c>
      <c r="O355" s="461">
        <v>0</v>
      </c>
      <c r="P355" s="461">
        <v>0</v>
      </c>
      <c r="Q355" s="461">
        <v>0</v>
      </c>
      <c r="R355" s="411"/>
      <c r="S355" s="411" t="s">
        <v>1046</v>
      </c>
      <c r="T355" s="407" t="s">
        <v>759</v>
      </c>
      <c r="U355" s="407" t="s">
        <v>760</v>
      </c>
      <c r="V355" s="412"/>
      <c r="W355" s="161"/>
      <c r="X355" s="161"/>
      <c r="Y355" s="412"/>
      <c r="Z355" s="412"/>
      <c r="AA355" s="162"/>
      <c r="AB355" s="412"/>
      <c r="AC355" s="149"/>
      <c r="AD355" s="412"/>
      <c r="AE355" s="149"/>
      <c r="AF355" s="412"/>
      <c r="AG355" s="412"/>
      <c r="AH355" s="412"/>
      <c r="AI355" s="412"/>
      <c r="AJ355" s="412"/>
      <c r="AK355" s="412"/>
      <c r="AL355" s="412"/>
      <c r="AM355" s="412"/>
      <c r="AN355" s="412"/>
      <c r="AO355" s="412"/>
      <c r="AP355" s="412"/>
      <c r="AQ355" s="412"/>
      <c r="AR355" s="412"/>
      <c r="AS355" s="412"/>
      <c r="AT355" s="412"/>
      <c r="AV355" s="413"/>
      <c r="AW355" s="413"/>
      <c r="AX355" s="414"/>
      <c r="AY355" s="415"/>
      <c r="AZ355" s="416"/>
      <c r="BA355" s="448"/>
    </row>
    <row r="356" spans="1:53">
      <c r="A356" s="5" t="str">
        <f t="shared" si="30"/>
        <v>Low Income - Outreach &amp; Education_Behavior 2018 Y3 Persistence</v>
      </c>
      <c r="B356" s="407">
        <v>353</v>
      </c>
      <c r="C356" s="408" t="s">
        <v>713</v>
      </c>
      <c r="D356" s="408" t="s">
        <v>767</v>
      </c>
      <c r="E356" s="408" t="s">
        <v>150</v>
      </c>
      <c r="F356" s="408">
        <v>1</v>
      </c>
      <c r="G356" s="409">
        <v>1</v>
      </c>
      <c r="H356" s="470">
        <v>0</v>
      </c>
      <c r="I356" s="463">
        <v>0</v>
      </c>
      <c r="J356" s="408">
        <v>0</v>
      </c>
      <c r="K356" s="408">
        <v>0</v>
      </c>
      <c r="L356" s="408">
        <v>0</v>
      </c>
      <c r="M356" s="408">
        <v>0</v>
      </c>
      <c r="N356" s="208">
        <v>1.4781796202774511</v>
      </c>
      <c r="O356" s="461">
        <v>0</v>
      </c>
      <c r="P356" s="461">
        <v>0</v>
      </c>
      <c r="Q356" s="461">
        <v>0</v>
      </c>
      <c r="R356" s="411"/>
      <c r="S356" s="411" t="s">
        <v>1046</v>
      </c>
      <c r="T356" s="407" t="s">
        <v>759</v>
      </c>
      <c r="U356" s="407" t="s">
        <v>760</v>
      </c>
      <c r="V356" s="412"/>
      <c r="W356" s="161"/>
      <c r="X356" s="161"/>
      <c r="Y356" s="412"/>
      <c r="Z356" s="412"/>
      <c r="AA356" s="162"/>
      <c r="AB356" s="412"/>
      <c r="AC356" s="149"/>
      <c r="AD356" s="412"/>
      <c r="AE356" s="149"/>
      <c r="AF356" s="412"/>
      <c r="AG356" s="412"/>
      <c r="AH356" s="412"/>
      <c r="AI356" s="412"/>
      <c r="AJ356" s="412"/>
      <c r="AK356" s="412"/>
      <c r="AL356" s="412"/>
      <c r="AM356" s="412"/>
      <c r="AN356" s="412"/>
      <c r="AO356" s="412"/>
      <c r="AP356" s="412"/>
      <c r="AQ356" s="412"/>
      <c r="AR356" s="412"/>
      <c r="AS356" s="412"/>
      <c r="AT356" s="412"/>
      <c r="AV356" s="413"/>
      <c r="AW356" s="413"/>
      <c r="AX356" s="414"/>
      <c r="AY356" s="415"/>
      <c r="AZ356" s="416"/>
      <c r="BA356" s="448"/>
    </row>
    <row r="357" spans="1:53">
      <c r="A357" s="5" t="str">
        <f t="shared" si="30"/>
        <v>Low Income - Outreach &amp; Education_Behavior 2018 Y4 Persistence</v>
      </c>
      <c r="B357" s="407">
        <v>354</v>
      </c>
      <c r="C357" s="408" t="s">
        <v>713</v>
      </c>
      <c r="D357" s="408" t="s">
        <v>768</v>
      </c>
      <c r="E357" s="408" t="s">
        <v>150</v>
      </c>
      <c r="F357" s="408">
        <v>1</v>
      </c>
      <c r="G357" s="409">
        <v>1</v>
      </c>
      <c r="H357" s="470">
        <v>0</v>
      </c>
      <c r="I357" s="463">
        <v>0</v>
      </c>
      <c r="J357" s="408">
        <v>0</v>
      </c>
      <c r="K357" s="408">
        <v>0</v>
      </c>
      <c r="L357" s="408">
        <v>0</v>
      </c>
      <c r="M357" s="408">
        <v>0</v>
      </c>
      <c r="N357" s="208">
        <v>0.64191738774502805</v>
      </c>
      <c r="O357" s="461">
        <v>0</v>
      </c>
      <c r="P357" s="461">
        <v>0</v>
      </c>
      <c r="Q357" s="461">
        <v>0</v>
      </c>
      <c r="R357" s="411"/>
      <c r="S357" s="411" t="s">
        <v>1046</v>
      </c>
      <c r="T357" s="407" t="s">
        <v>759</v>
      </c>
      <c r="U357" s="407" t="s">
        <v>760</v>
      </c>
      <c r="V357" s="412"/>
      <c r="W357" s="161"/>
      <c r="X357" s="161"/>
      <c r="Y357" s="412"/>
      <c r="Z357" s="412"/>
      <c r="AA357" s="162"/>
      <c r="AB357" s="412"/>
      <c r="AC357" s="149"/>
      <c r="AD357" s="412"/>
      <c r="AE357" s="149"/>
      <c r="AF357" s="412"/>
      <c r="AG357" s="412"/>
      <c r="AH357" s="412"/>
      <c r="AI357" s="412"/>
      <c r="AJ357" s="412"/>
      <c r="AK357" s="412"/>
      <c r="AL357" s="412"/>
      <c r="AM357" s="412"/>
      <c r="AN357" s="412"/>
      <c r="AO357" s="412"/>
      <c r="AP357" s="412"/>
      <c r="AQ357" s="412"/>
      <c r="AR357" s="412"/>
      <c r="AS357" s="412"/>
      <c r="AT357" s="412"/>
      <c r="AV357" s="413"/>
      <c r="AW357" s="413"/>
      <c r="AX357" s="414"/>
      <c r="AY357" s="415"/>
      <c r="AZ357" s="416"/>
      <c r="BA357" s="448"/>
    </row>
    <row r="358" spans="1:53">
      <c r="A358" s="5" t="str">
        <f t="shared" si="30"/>
        <v>Low Income - Outreach &amp; Education_Behavior 2019 Y1 Persistence</v>
      </c>
      <c r="B358" s="407">
        <v>355</v>
      </c>
      <c r="C358" s="408" t="s">
        <v>713</v>
      </c>
      <c r="D358" s="408" t="s">
        <v>769</v>
      </c>
      <c r="E358" s="408" t="s">
        <v>150</v>
      </c>
      <c r="F358" s="408">
        <v>1</v>
      </c>
      <c r="G358" s="409">
        <v>1</v>
      </c>
      <c r="H358" s="470">
        <v>0</v>
      </c>
      <c r="I358" s="463">
        <v>0</v>
      </c>
      <c r="J358" s="408">
        <v>0</v>
      </c>
      <c r="K358" s="408">
        <v>0</v>
      </c>
      <c r="L358" s="408">
        <v>0</v>
      </c>
      <c r="M358" s="408">
        <v>0</v>
      </c>
      <c r="N358" s="208">
        <v>0</v>
      </c>
      <c r="O358" s="461">
        <v>4.4133126823897326</v>
      </c>
      <c r="P358" s="461">
        <v>0</v>
      </c>
      <c r="Q358" s="461">
        <v>0</v>
      </c>
      <c r="R358" s="411"/>
      <c r="S358" s="411" t="s">
        <v>1046</v>
      </c>
      <c r="T358" s="407" t="s">
        <v>759</v>
      </c>
      <c r="U358" s="407" t="s">
        <v>760</v>
      </c>
      <c r="V358" s="412"/>
      <c r="W358" s="161"/>
      <c r="X358" s="161"/>
      <c r="Y358" s="412"/>
      <c r="Z358" s="412"/>
      <c r="AA358" s="162"/>
      <c r="AB358" s="412"/>
      <c r="AC358" s="149"/>
      <c r="AD358" s="412"/>
      <c r="AE358" s="149"/>
      <c r="AF358" s="412"/>
      <c r="AG358" s="412"/>
      <c r="AH358" s="412"/>
      <c r="AI358" s="412"/>
      <c r="AJ358" s="412"/>
      <c r="AK358" s="412"/>
      <c r="AL358" s="412"/>
      <c r="AM358" s="412"/>
      <c r="AN358" s="412"/>
      <c r="AO358" s="412"/>
      <c r="AP358" s="412"/>
      <c r="AQ358" s="412"/>
      <c r="AR358" s="412"/>
      <c r="AS358" s="412"/>
      <c r="AT358" s="412"/>
      <c r="AV358" s="413"/>
      <c r="AW358" s="413"/>
      <c r="AX358" s="414"/>
      <c r="AY358" s="415"/>
      <c r="AZ358" s="416"/>
      <c r="BA358" s="448"/>
    </row>
    <row r="359" spans="1:53">
      <c r="A359" s="5" t="str">
        <f t="shared" si="30"/>
        <v>Low Income - Outreach &amp; Education_Behavior 2019 Y2 Persistence</v>
      </c>
      <c r="B359" s="407">
        <v>356</v>
      </c>
      <c r="C359" s="408" t="s">
        <v>713</v>
      </c>
      <c r="D359" s="408" t="s">
        <v>770</v>
      </c>
      <c r="E359" s="408" t="s">
        <v>150</v>
      </c>
      <c r="F359" s="408">
        <v>1</v>
      </c>
      <c r="G359" s="409">
        <v>1</v>
      </c>
      <c r="H359" s="470">
        <v>0</v>
      </c>
      <c r="I359" s="463">
        <v>0</v>
      </c>
      <c r="J359" s="408">
        <v>0</v>
      </c>
      <c r="K359" s="408">
        <v>0</v>
      </c>
      <c r="L359" s="408">
        <v>0</v>
      </c>
      <c r="M359" s="408">
        <v>0</v>
      </c>
      <c r="N359" s="208">
        <v>0</v>
      </c>
      <c r="O359" s="461">
        <v>1.9165344383856917</v>
      </c>
      <c r="P359" s="461">
        <v>0</v>
      </c>
      <c r="Q359" s="461">
        <v>0</v>
      </c>
      <c r="R359" s="411"/>
      <c r="S359" s="411" t="s">
        <v>1046</v>
      </c>
      <c r="T359" s="407" t="s">
        <v>759</v>
      </c>
      <c r="U359" s="407" t="s">
        <v>760</v>
      </c>
      <c r="V359" s="412"/>
      <c r="W359" s="161"/>
      <c r="X359" s="161"/>
      <c r="Y359" s="412"/>
      <c r="Z359" s="412"/>
      <c r="AA359" s="162"/>
      <c r="AB359" s="412"/>
      <c r="AC359" s="149"/>
      <c r="AD359" s="412"/>
      <c r="AE359" s="149"/>
      <c r="AF359" s="412"/>
      <c r="AG359" s="412"/>
      <c r="AH359" s="412"/>
      <c r="AI359" s="412"/>
      <c r="AJ359" s="412"/>
      <c r="AK359" s="412"/>
      <c r="AL359" s="412"/>
      <c r="AM359" s="412"/>
      <c r="AN359" s="412"/>
      <c r="AO359" s="412"/>
      <c r="AP359" s="412"/>
      <c r="AQ359" s="412"/>
      <c r="AR359" s="412"/>
      <c r="AS359" s="412"/>
      <c r="AT359" s="412"/>
      <c r="AV359" s="413"/>
      <c r="AW359" s="413"/>
      <c r="AX359" s="414"/>
      <c r="AY359" s="415"/>
      <c r="AZ359" s="416"/>
      <c r="BA359" s="448"/>
    </row>
    <row r="360" spans="1:53">
      <c r="A360" s="5" t="str">
        <f t="shared" si="30"/>
        <v>Low Income - Outreach &amp; Education_Behavior 2019 Y3 Persistence</v>
      </c>
      <c r="B360" s="407">
        <v>357</v>
      </c>
      <c r="C360" s="408" t="s">
        <v>713</v>
      </c>
      <c r="D360" s="408" t="s">
        <v>771</v>
      </c>
      <c r="E360" s="408" t="s">
        <v>150</v>
      </c>
      <c r="F360" s="408">
        <v>1</v>
      </c>
      <c r="G360" s="409">
        <v>1</v>
      </c>
      <c r="H360" s="470">
        <v>0</v>
      </c>
      <c r="I360" s="463">
        <v>0</v>
      </c>
      <c r="J360" s="408">
        <v>0</v>
      </c>
      <c r="K360" s="408">
        <v>0</v>
      </c>
      <c r="L360" s="408">
        <v>0</v>
      </c>
      <c r="M360" s="408">
        <v>0</v>
      </c>
      <c r="N360" s="208">
        <v>0</v>
      </c>
      <c r="O360" s="461">
        <v>0.84268175049712424</v>
      </c>
      <c r="P360" s="461">
        <v>0</v>
      </c>
      <c r="Q360" s="461">
        <v>0</v>
      </c>
      <c r="R360" s="411"/>
      <c r="S360" s="411" t="s">
        <v>1046</v>
      </c>
      <c r="T360" s="407" t="s">
        <v>759</v>
      </c>
      <c r="U360" s="407" t="s">
        <v>760</v>
      </c>
      <c r="V360" s="412"/>
      <c r="W360" s="161"/>
      <c r="X360" s="161"/>
      <c r="Y360" s="412"/>
      <c r="Z360" s="412"/>
      <c r="AA360" s="162"/>
      <c r="AB360" s="412"/>
      <c r="AC360" s="149"/>
      <c r="AD360" s="412"/>
      <c r="AE360" s="149"/>
      <c r="AF360" s="412"/>
      <c r="AG360" s="412"/>
      <c r="AH360" s="412"/>
      <c r="AI360" s="412"/>
      <c r="AJ360" s="412"/>
      <c r="AK360" s="412"/>
      <c r="AL360" s="412"/>
      <c r="AM360" s="412"/>
      <c r="AN360" s="412"/>
      <c r="AO360" s="412"/>
      <c r="AP360" s="412"/>
      <c r="AQ360" s="412"/>
      <c r="AR360" s="412"/>
      <c r="AS360" s="412"/>
      <c r="AT360" s="412"/>
      <c r="AV360" s="413"/>
      <c r="AW360" s="413"/>
      <c r="AX360" s="414"/>
      <c r="AY360" s="415"/>
      <c r="AZ360" s="416"/>
      <c r="BA360" s="448"/>
    </row>
    <row r="361" spans="1:53">
      <c r="A361" s="5" t="str">
        <f t="shared" si="30"/>
        <v>Low Income - Outreach &amp; Education_Behavior 2019 Y4 Persistence</v>
      </c>
      <c r="B361" s="407">
        <v>358</v>
      </c>
      <c r="C361" s="408" t="s">
        <v>713</v>
      </c>
      <c r="D361" s="408" t="s">
        <v>772</v>
      </c>
      <c r="E361" s="408" t="s">
        <v>150</v>
      </c>
      <c r="F361" s="408">
        <v>1</v>
      </c>
      <c r="G361" s="409">
        <v>1</v>
      </c>
      <c r="H361" s="470">
        <v>0</v>
      </c>
      <c r="I361" s="463">
        <v>0</v>
      </c>
      <c r="J361" s="408">
        <v>0</v>
      </c>
      <c r="K361" s="408">
        <v>0</v>
      </c>
      <c r="L361" s="408">
        <v>0</v>
      </c>
      <c r="M361" s="408">
        <v>0</v>
      </c>
      <c r="N361" s="208">
        <v>0</v>
      </c>
      <c r="O361" s="461">
        <v>0.36594474755239126</v>
      </c>
      <c r="P361" s="461">
        <v>0</v>
      </c>
      <c r="Q361" s="461">
        <v>0</v>
      </c>
      <c r="R361" s="411"/>
      <c r="S361" s="411" t="s">
        <v>1046</v>
      </c>
      <c r="T361" s="407" t="s">
        <v>759</v>
      </c>
      <c r="U361" s="407" t="s">
        <v>760</v>
      </c>
      <c r="V361" s="412"/>
      <c r="W361" s="161"/>
      <c r="X361" s="161"/>
      <c r="Y361" s="412"/>
      <c r="Z361" s="412"/>
      <c r="AA361" s="162"/>
      <c r="AB361" s="412"/>
      <c r="AC361" s="149"/>
      <c r="AD361" s="412"/>
      <c r="AE361" s="149"/>
      <c r="AF361" s="412"/>
      <c r="AG361" s="412"/>
      <c r="AH361" s="412"/>
      <c r="AI361" s="412"/>
      <c r="AJ361" s="412"/>
      <c r="AK361" s="412"/>
      <c r="AL361" s="412"/>
      <c r="AM361" s="412"/>
      <c r="AN361" s="412"/>
      <c r="AO361" s="412"/>
      <c r="AP361" s="412"/>
      <c r="AQ361" s="412"/>
      <c r="AR361" s="412"/>
      <c r="AS361" s="412"/>
      <c r="AT361" s="412"/>
      <c r="AV361" s="413"/>
      <c r="AW361" s="413"/>
      <c r="AX361" s="414"/>
      <c r="AY361" s="415"/>
      <c r="AZ361" s="416"/>
      <c r="BA361" s="448"/>
    </row>
    <row r="362" spans="1:53">
      <c r="A362" s="5" t="str">
        <f t="shared" si="30"/>
        <v>Low Income - Outreach &amp; Education_Behavior 2020 Y1 Persistence</v>
      </c>
      <c r="B362" s="407">
        <v>359</v>
      </c>
      <c r="C362" s="408" t="s">
        <v>713</v>
      </c>
      <c r="D362" s="408" t="s">
        <v>773</v>
      </c>
      <c r="E362" s="408" t="s">
        <v>150</v>
      </c>
      <c r="F362" s="408">
        <v>1</v>
      </c>
      <c r="G362" s="409">
        <v>1</v>
      </c>
      <c r="H362" s="470">
        <v>0</v>
      </c>
      <c r="I362" s="463">
        <v>0</v>
      </c>
      <c r="J362" s="408">
        <v>0</v>
      </c>
      <c r="K362" s="408">
        <v>0</v>
      </c>
      <c r="L362" s="408">
        <v>0</v>
      </c>
      <c r="M362" s="408">
        <v>0</v>
      </c>
      <c r="N362" s="208">
        <v>0</v>
      </c>
      <c r="O362" s="461">
        <v>0</v>
      </c>
      <c r="P362" s="461">
        <v>4.4468627672190371</v>
      </c>
      <c r="Q362" s="461">
        <v>0</v>
      </c>
      <c r="R362" s="411"/>
      <c r="S362" s="411" t="s">
        <v>1046</v>
      </c>
      <c r="T362" s="407" t="s">
        <v>759</v>
      </c>
      <c r="U362" s="407" t="s">
        <v>760</v>
      </c>
      <c r="V362" s="412"/>
      <c r="W362" s="161"/>
      <c r="X362" s="161"/>
      <c r="Y362" s="412"/>
      <c r="Z362" s="412"/>
      <c r="AA362" s="162"/>
      <c r="AB362" s="412"/>
      <c r="AC362" s="149"/>
      <c r="AD362" s="412"/>
      <c r="AE362" s="149"/>
      <c r="AF362" s="412"/>
      <c r="AG362" s="412"/>
      <c r="AH362" s="412"/>
      <c r="AI362" s="412"/>
      <c r="AJ362" s="412"/>
      <c r="AK362" s="412"/>
      <c r="AL362" s="412"/>
      <c r="AM362" s="412"/>
      <c r="AN362" s="412"/>
      <c r="AO362" s="412"/>
      <c r="AP362" s="412"/>
      <c r="AQ362" s="412"/>
      <c r="AR362" s="412"/>
      <c r="AS362" s="412"/>
      <c r="AT362" s="412"/>
      <c r="AV362" s="413"/>
      <c r="AW362" s="413"/>
      <c r="AX362" s="414"/>
      <c r="AY362" s="415"/>
      <c r="AZ362" s="416"/>
      <c r="BA362" s="448"/>
    </row>
    <row r="363" spans="1:53">
      <c r="A363" s="5" t="str">
        <f t="shared" si="30"/>
        <v>Low Income - Outreach &amp; Education_Behavior 2020 Y2 Persistence</v>
      </c>
      <c r="B363" s="407">
        <v>360</v>
      </c>
      <c r="C363" s="408" t="s">
        <v>713</v>
      </c>
      <c r="D363" s="408" t="s">
        <v>774</v>
      </c>
      <c r="E363" s="408" t="s">
        <v>150</v>
      </c>
      <c r="F363" s="408">
        <v>1</v>
      </c>
      <c r="G363" s="409">
        <v>1</v>
      </c>
      <c r="H363" s="470">
        <v>0</v>
      </c>
      <c r="I363" s="463">
        <v>0</v>
      </c>
      <c r="J363" s="408">
        <v>0</v>
      </c>
      <c r="K363" s="408">
        <v>0</v>
      </c>
      <c r="L363" s="408">
        <v>0</v>
      </c>
      <c r="M363" s="408">
        <v>0</v>
      </c>
      <c r="N363" s="208">
        <v>0</v>
      </c>
      <c r="O363" s="461">
        <v>0</v>
      </c>
      <c r="P363" s="461">
        <v>1.93110396871666</v>
      </c>
      <c r="Q363" s="461">
        <v>0</v>
      </c>
      <c r="R363" s="411"/>
      <c r="S363" s="411" t="s">
        <v>1046</v>
      </c>
      <c r="T363" s="407" t="s">
        <v>759</v>
      </c>
      <c r="U363" s="407" t="s">
        <v>760</v>
      </c>
      <c r="V363" s="412"/>
      <c r="W363" s="161"/>
      <c r="X363" s="161"/>
      <c r="Y363" s="412"/>
      <c r="Z363" s="412"/>
      <c r="AA363" s="162"/>
      <c r="AB363" s="412"/>
      <c r="AC363" s="149"/>
      <c r="AD363" s="412"/>
      <c r="AE363" s="149"/>
      <c r="AF363" s="412"/>
      <c r="AG363" s="412"/>
      <c r="AH363" s="412"/>
      <c r="AI363" s="412"/>
      <c r="AJ363" s="412"/>
      <c r="AK363" s="412"/>
      <c r="AL363" s="412"/>
      <c r="AM363" s="412"/>
      <c r="AN363" s="412"/>
      <c r="AO363" s="412"/>
      <c r="AP363" s="412"/>
      <c r="AQ363" s="412"/>
      <c r="AR363" s="412"/>
      <c r="AS363" s="412"/>
      <c r="AT363" s="412"/>
      <c r="AV363" s="413"/>
      <c r="AW363" s="413"/>
      <c r="AX363" s="414"/>
      <c r="AY363" s="415"/>
      <c r="AZ363" s="416"/>
      <c r="BA363" s="448"/>
    </row>
    <row r="364" spans="1:53">
      <c r="A364" s="5" t="str">
        <f t="shared" si="30"/>
        <v>Low Income - Outreach &amp; Education_Behavior 2020 Y3 Persistence</v>
      </c>
      <c r="B364" s="407">
        <v>361</v>
      </c>
      <c r="C364" s="408" t="s">
        <v>713</v>
      </c>
      <c r="D364" s="408" t="s">
        <v>775</v>
      </c>
      <c r="E364" s="408" t="s">
        <v>150</v>
      </c>
      <c r="F364" s="408">
        <v>1</v>
      </c>
      <c r="G364" s="409">
        <v>1</v>
      </c>
      <c r="H364" s="470">
        <v>0</v>
      </c>
      <c r="I364" s="463">
        <v>0</v>
      </c>
      <c r="J364" s="408">
        <v>0</v>
      </c>
      <c r="K364" s="408">
        <v>0</v>
      </c>
      <c r="L364" s="408">
        <v>0</v>
      </c>
      <c r="M364" s="408">
        <v>0</v>
      </c>
      <c r="N364" s="208">
        <v>0</v>
      </c>
      <c r="O364" s="461">
        <v>0</v>
      </c>
      <c r="P364" s="461">
        <v>0.84908783278676081</v>
      </c>
      <c r="Q364" s="461">
        <v>0</v>
      </c>
      <c r="R364" s="411"/>
      <c r="S364" s="411" t="s">
        <v>1046</v>
      </c>
      <c r="T364" s="407" t="s">
        <v>759</v>
      </c>
      <c r="U364" s="407" t="s">
        <v>760</v>
      </c>
      <c r="V364" s="412"/>
      <c r="W364" s="161"/>
      <c r="X364" s="161"/>
      <c r="Y364" s="412"/>
      <c r="Z364" s="412"/>
      <c r="AA364" s="162"/>
      <c r="AB364" s="412"/>
      <c r="AC364" s="149"/>
      <c r="AD364" s="412"/>
      <c r="AE364" s="149"/>
      <c r="AF364" s="412"/>
      <c r="AG364" s="412"/>
      <c r="AH364" s="412"/>
      <c r="AI364" s="412"/>
      <c r="AJ364" s="412"/>
      <c r="AK364" s="412"/>
      <c r="AL364" s="412"/>
      <c r="AM364" s="412"/>
      <c r="AN364" s="412"/>
      <c r="AO364" s="412"/>
      <c r="AP364" s="412"/>
      <c r="AQ364" s="412"/>
      <c r="AR364" s="412"/>
      <c r="AS364" s="412"/>
      <c r="AT364" s="412"/>
      <c r="AV364" s="413"/>
      <c r="AW364" s="413"/>
      <c r="AX364" s="414"/>
      <c r="AY364" s="415"/>
      <c r="AZ364" s="416"/>
      <c r="BA364" s="448"/>
    </row>
    <row r="365" spans="1:53">
      <c r="A365" s="5" t="str">
        <f t="shared" si="30"/>
        <v>Low Income - Outreach &amp; Education_Behavior 2020 Y4 Persistence</v>
      </c>
      <c r="B365" s="407">
        <v>362</v>
      </c>
      <c r="C365" s="408" t="s">
        <v>713</v>
      </c>
      <c r="D365" s="408" t="s">
        <v>776</v>
      </c>
      <c r="E365" s="408" t="s">
        <v>150</v>
      </c>
      <c r="F365" s="408">
        <v>1</v>
      </c>
      <c r="G365" s="409">
        <v>1</v>
      </c>
      <c r="H365" s="470">
        <v>0</v>
      </c>
      <c r="I365" s="463">
        <v>0</v>
      </c>
      <c r="J365" s="408">
        <v>0</v>
      </c>
      <c r="K365" s="408">
        <v>0</v>
      </c>
      <c r="L365" s="408">
        <v>0</v>
      </c>
      <c r="M365" s="408">
        <v>0</v>
      </c>
      <c r="N365" s="208">
        <v>0</v>
      </c>
      <c r="O365" s="461">
        <v>0</v>
      </c>
      <c r="P365" s="461">
        <v>0.3687266663074823</v>
      </c>
      <c r="Q365" s="461">
        <v>0</v>
      </c>
      <c r="R365" s="411"/>
      <c r="S365" s="411" t="s">
        <v>1046</v>
      </c>
      <c r="T365" s="407" t="s">
        <v>759</v>
      </c>
      <c r="U365" s="407" t="s">
        <v>760</v>
      </c>
      <c r="V365" s="412"/>
      <c r="W365" s="161"/>
      <c r="X365" s="161"/>
      <c r="Y365" s="412"/>
      <c r="Z365" s="412"/>
      <c r="AA365" s="162"/>
      <c r="AB365" s="412"/>
      <c r="AC365" s="149"/>
      <c r="AD365" s="412"/>
      <c r="AE365" s="149"/>
      <c r="AF365" s="412"/>
      <c r="AG365" s="412"/>
      <c r="AH365" s="412"/>
      <c r="AI365" s="412"/>
      <c r="AJ365" s="412"/>
      <c r="AK365" s="412"/>
      <c r="AL365" s="412"/>
      <c r="AM365" s="412"/>
      <c r="AN365" s="412"/>
      <c r="AO365" s="412"/>
      <c r="AP365" s="412"/>
      <c r="AQ365" s="412"/>
      <c r="AR365" s="412"/>
      <c r="AS365" s="412"/>
      <c r="AT365" s="412"/>
      <c r="AV365" s="413"/>
      <c r="AW365" s="413"/>
      <c r="AX365" s="414"/>
      <c r="AY365" s="415"/>
      <c r="AZ365" s="416"/>
      <c r="BA365" s="448"/>
    </row>
    <row r="366" spans="1:53">
      <c r="A366" s="5" t="str">
        <f t="shared" si="30"/>
        <v>Low Income - Outreach &amp; Education_Behavior 2021 Y1 Persistence</v>
      </c>
      <c r="B366" s="407">
        <v>363</v>
      </c>
      <c r="C366" s="408" t="s">
        <v>713</v>
      </c>
      <c r="D366" s="408" t="s">
        <v>777</v>
      </c>
      <c r="E366" s="408" t="s">
        <v>150</v>
      </c>
      <c r="F366" s="408">
        <v>1</v>
      </c>
      <c r="G366" s="409">
        <v>1</v>
      </c>
      <c r="H366" s="470">
        <v>0</v>
      </c>
      <c r="I366" s="463">
        <v>0</v>
      </c>
      <c r="J366" s="408">
        <v>0</v>
      </c>
      <c r="K366" s="408">
        <v>0</v>
      </c>
      <c r="L366" s="408">
        <v>0</v>
      </c>
      <c r="M366" s="408">
        <v>0</v>
      </c>
      <c r="N366" s="208">
        <v>0</v>
      </c>
      <c r="O366" s="461">
        <v>0</v>
      </c>
      <c r="P366" s="461">
        <v>0</v>
      </c>
      <c r="Q366" s="461">
        <v>4.4786422462785671</v>
      </c>
      <c r="R366" s="411"/>
      <c r="S366" s="411" t="s">
        <v>1046</v>
      </c>
      <c r="T366" s="407" t="s">
        <v>759</v>
      </c>
      <c r="U366" s="407" t="s">
        <v>760</v>
      </c>
      <c r="V366" s="412"/>
      <c r="W366" s="161"/>
      <c r="X366" s="161"/>
      <c r="Y366" s="412"/>
      <c r="Z366" s="412"/>
      <c r="AA366" s="162"/>
      <c r="AB366" s="412"/>
      <c r="AC366" s="149"/>
      <c r="AD366" s="412"/>
      <c r="AE366" s="149"/>
      <c r="AF366" s="412"/>
      <c r="AG366" s="412"/>
      <c r="AH366" s="412"/>
      <c r="AI366" s="412"/>
      <c r="AJ366" s="412"/>
      <c r="AK366" s="412"/>
      <c r="AL366" s="412"/>
      <c r="AM366" s="412"/>
      <c r="AN366" s="412"/>
      <c r="AO366" s="412"/>
      <c r="AP366" s="412"/>
      <c r="AQ366" s="412"/>
      <c r="AR366" s="412"/>
      <c r="AS366" s="412"/>
      <c r="AT366" s="412"/>
      <c r="AV366" s="413"/>
      <c r="AW366" s="413"/>
      <c r="AX366" s="414"/>
      <c r="AY366" s="415"/>
      <c r="AZ366" s="416"/>
      <c r="BA366" s="448"/>
    </row>
    <row r="367" spans="1:53">
      <c r="A367" s="5" t="str">
        <f t="shared" si="30"/>
        <v>Low Income - Outreach &amp; Education_Behavior 2021 Y2 Persistence</v>
      </c>
      <c r="B367" s="407">
        <v>364</v>
      </c>
      <c r="C367" s="408" t="s">
        <v>713</v>
      </c>
      <c r="D367" s="408" t="s">
        <v>778</v>
      </c>
      <c r="E367" s="408" t="s">
        <v>150</v>
      </c>
      <c r="F367" s="408">
        <v>1</v>
      </c>
      <c r="G367" s="409">
        <v>1</v>
      </c>
      <c r="H367" s="470">
        <v>0</v>
      </c>
      <c r="I367" s="463">
        <v>0</v>
      </c>
      <c r="J367" s="408">
        <v>0</v>
      </c>
      <c r="K367" s="408">
        <v>0</v>
      </c>
      <c r="L367" s="408">
        <v>0</v>
      </c>
      <c r="M367" s="408">
        <v>0</v>
      </c>
      <c r="N367" s="208">
        <v>0</v>
      </c>
      <c r="O367" s="461">
        <v>0</v>
      </c>
      <c r="P367" s="461">
        <v>0</v>
      </c>
      <c r="Q367" s="461">
        <v>1.9449045920657781</v>
      </c>
      <c r="R367" s="411"/>
      <c r="S367" s="411" t="s">
        <v>1046</v>
      </c>
      <c r="T367" s="407" t="s">
        <v>759</v>
      </c>
      <c r="U367" s="407" t="s">
        <v>760</v>
      </c>
      <c r="V367" s="412"/>
      <c r="W367" s="161"/>
      <c r="X367" s="161"/>
      <c r="Y367" s="412"/>
      <c r="Z367" s="412"/>
      <c r="AA367" s="162"/>
      <c r="AB367" s="412"/>
      <c r="AC367" s="149"/>
      <c r="AD367" s="412"/>
      <c r="AE367" s="149"/>
      <c r="AF367" s="412"/>
      <c r="AG367" s="412"/>
      <c r="AH367" s="412"/>
      <c r="AI367" s="412"/>
      <c r="AJ367" s="412"/>
      <c r="AK367" s="412"/>
      <c r="AL367" s="412"/>
      <c r="AM367" s="412"/>
      <c r="AN367" s="412"/>
      <c r="AO367" s="412"/>
      <c r="AP367" s="412"/>
      <c r="AQ367" s="412"/>
      <c r="AR367" s="412"/>
      <c r="AS367" s="412"/>
      <c r="AT367" s="412"/>
      <c r="AV367" s="413"/>
      <c r="AW367" s="413"/>
      <c r="AX367" s="414"/>
      <c r="AY367" s="415"/>
      <c r="AZ367" s="416"/>
      <c r="BA367" s="448"/>
    </row>
    <row r="368" spans="1:53">
      <c r="A368" s="5" t="str">
        <f t="shared" si="30"/>
        <v>Low Income - Outreach &amp; Education_Behavior 2021 Y3 Persistence</v>
      </c>
      <c r="B368" s="407">
        <v>365</v>
      </c>
      <c r="C368" s="408" t="s">
        <v>713</v>
      </c>
      <c r="D368" s="408" t="s">
        <v>779</v>
      </c>
      <c r="E368" s="408" t="s">
        <v>150</v>
      </c>
      <c r="F368" s="408">
        <v>1</v>
      </c>
      <c r="G368" s="409">
        <v>1</v>
      </c>
      <c r="H368" s="470">
        <v>0</v>
      </c>
      <c r="I368" s="463">
        <v>0</v>
      </c>
      <c r="J368" s="408">
        <v>0</v>
      </c>
      <c r="K368" s="408">
        <v>0</v>
      </c>
      <c r="L368" s="408">
        <v>0</v>
      </c>
      <c r="M368" s="408">
        <v>0</v>
      </c>
      <c r="N368" s="208">
        <v>0</v>
      </c>
      <c r="O368" s="461">
        <v>0</v>
      </c>
      <c r="P368" s="461">
        <v>0</v>
      </c>
      <c r="Q368" s="461">
        <v>0.85515583407536899</v>
      </c>
      <c r="R368" s="411"/>
      <c r="S368" s="411" t="s">
        <v>1046</v>
      </c>
      <c r="T368" s="407" t="s">
        <v>759</v>
      </c>
      <c r="U368" s="407" t="s">
        <v>760</v>
      </c>
      <c r="V368" s="412"/>
      <c r="W368" s="161"/>
      <c r="X368" s="161"/>
      <c r="Y368" s="412"/>
      <c r="Z368" s="412"/>
      <c r="AA368" s="162"/>
      <c r="AB368" s="412"/>
      <c r="AC368" s="149"/>
      <c r="AD368" s="412"/>
      <c r="AE368" s="149"/>
      <c r="AF368" s="412"/>
      <c r="AG368" s="412"/>
      <c r="AH368" s="412"/>
      <c r="AI368" s="412"/>
      <c r="AJ368" s="412"/>
      <c r="AK368" s="412"/>
      <c r="AL368" s="412"/>
      <c r="AM368" s="412"/>
      <c r="AN368" s="412"/>
      <c r="AO368" s="412"/>
      <c r="AP368" s="412"/>
      <c r="AQ368" s="412"/>
      <c r="AR368" s="412"/>
      <c r="AS368" s="412"/>
      <c r="AT368" s="412"/>
      <c r="AV368" s="413"/>
      <c r="AW368" s="413"/>
      <c r="AX368" s="414"/>
      <c r="AY368" s="415"/>
      <c r="AZ368" s="416"/>
      <c r="BA368" s="448"/>
    </row>
    <row r="369" spans="1:53">
      <c r="A369" s="5" t="str">
        <f t="shared" si="30"/>
        <v>Low Income - Outreach &amp; Education_Behavior 2021 Y4 Persistence</v>
      </c>
      <c r="B369" s="407">
        <v>366</v>
      </c>
      <c r="C369" s="408" t="s">
        <v>713</v>
      </c>
      <c r="D369" s="408" t="s">
        <v>780</v>
      </c>
      <c r="E369" s="408" t="s">
        <v>150</v>
      </c>
      <c r="F369" s="408">
        <v>1</v>
      </c>
      <c r="G369" s="409">
        <v>1</v>
      </c>
      <c r="H369" s="470">
        <v>0</v>
      </c>
      <c r="I369" s="463">
        <v>0</v>
      </c>
      <c r="J369" s="408">
        <v>0</v>
      </c>
      <c r="K369" s="408">
        <v>0</v>
      </c>
      <c r="L369" s="408">
        <v>0</v>
      </c>
      <c r="M369" s="408">
        <v>0</v>
      </c>
      <c r="N369" s="208">
        <v>0</v>
      </c>
      <c r="O369" s="461">
        <v>0</v>
      </c>
      <c r="P369" s="461">
        <v>0</v>
      </c>
      <c r="Q369" s="461">
        <v>0.37136176929671566</v>
      </c>
      <c r="R369" s="411"/>
      <c r="S369" s="411" t="s">
        <v>1046</v>
      </c>
      <c r="T369" s="407" t="s">
        <v>759</v>
      </c>
      <c r="U369" s="407" t="s">
        <v>760</v>
      </c>
      <c r="V369" s="412"/>
      <c r="W369" s="161"/>
      <c r="X369" s="161"/>
      <c r="Y369" s="412"/>
      <c r="Z369" s="412"/>
      <c r="AA369" s="162"/>
      <c r="AB369" s="412"/>
      <c r="AC369" s="149"/>
      <c r="AD369" s="412"/>
      <c r="AE369" s="149"/>
      <c r="AF369" s="412"/>
      <c r="AG369" s="412"/>
      <c r="AH369" s="412"/>
      <c r="AI369" s="412"/>
      <c r="AJ369" s="412"/>
      <c r="AK369" s="412"/>
      <c r="AL369" s="412"/>
      <c r="AM369" s="412"/>
      <c r="AN369" s="412"/>
      <c r="AO369" s="412"/>
      <c r="AP369" s="412"/>
      <c r="AQ369" s="412"/>
      <c r="AR369" s="412"/>
      <c r="AS369" s="412"/>
      <c r="AT369" s="412"/>
      <c r="AV369" s="413"/>
      <c r="AW369" s="413"/>
      <c r="AX369" s="414"/>
      <c r="AY369" s="415"/>
      <c r="AZ369" s="416"/>
      <c r="BA369" s="448"/>
    </row>
    <row r="370" spans="1:53">
      <c r="A370" s="5" t="str">
        <f t="shared" si="30"/>
        <v>Low Income - Outreach &amp; Education_Energy Education</v>
      </c>
      <c r="B370" s="407">
        <v>367</v>
      </c>
      <c r="C370" s="408" t="s">
        <v>713</v>
      </c>
      <c r="D370" s="408" t="s">
        <v>668</v>
      </c>
      <c r="E370" s="408" t="s">
        <v>150</v>
      </c>
      <c r="F370" s="408">
        <v>1</v>
      </c>
      <c r="G370" s="409">
        <v>1</v>
      </c>
      <c r="H370" s="470">
        <v>4</v>
      </c>
      <c r="I370" s="463">
        <v>4</v>
      </c>
      <c r="J370" s="408">
        <v>0</v>
      </c>
      <c r="K370" s="408">
        <v>0</v>
      </c>
      <c r="L370" s="408">
        <v>0</v>
      </c>
      <c r="M370" s="408">
        <v>0</v>
      </c>
      <c r="N370" s="208">
        <v>10</v>
      </c>
      <c r="O370" s="461">
        <f t="shared" ref="O370:Q389" si="32">N370</f>
        <v>10</v>
      </c>
      <c r="P370" s="461">
        <f t="shared" si="32"/>
        <v>10</v>
      </c>
      <c r="Q370" s="461">
        <f t="shared" si="32"/>
        <v>10</v>
      </c>
      <c r="R370" s="407"/>
      <c r="S370" s="407" t="s">
        <v>140</v>
      </c>
      <c r="T370" s="407" t="s">
        <v>140</v>
      </c>
      <c r="U370" s="407" t="s">
        <v>140</v>
      </c>
      <c r="V370" s="412"/>
      <c r="W370" s="161"/>
      <c r="X370" s="161"/>
      <c r="Y370" s="412"/>
      <c r="Z370" s="412"/>
      <c r="AA370" s="162"/>
      <c r="AB370" s="412"/>
      <c r="AC370" s="149"/>
      <c r="AD370" s="412"/>
      <c r="AE370" s="149"/>
      <c r="AF370" s="412"/>
      <c r="AG370" s="412"/>
      <c r="AH370" s="412"/>
      <c r="AI370" s="412"/>
      <c r="AJ370" s="412"/>
      <c r="AK370" s="412"/>
      <c r="AL370" s="412"/>
      <c r="AM370" s="412"/>
      <c r="AN370" s="412"/>
      <c r="AO370" s="412"/>
      <c r="AP370" s="412"/>
      <c r="AQ370" s="412"/>
      <c r="AR370" s="412"/>
      <c r="AS370" s="412"/>
      <c r="AT370" s="412"/>
      <c r="AV370" s="413"/>
      <c r="AW370" s="413"/>
      <c r="AX370" s="414"/>
      <c r="AY370" s="415"/>
      <c r="AZ370" s="416"/>
      <c r="BA370" s="448"/>
    </row>
    <row r="371" spans="1:53">
      <c r="A371" s="5" t="str">
        <f t="shared" si="30"/>
        <v>Low Income - SF Retrofit_Bathroom Aerator</v>
      </c>
      <c r="B371" s="407">
        <v>368</v>
      </c>
      <c r="C371" s="408" t="s">
        <v>714</v>
      </c>
      <c r="D371" s="407" t="s">
        <v>733</v>
      </c>
      <c r="E371" s="408" t="s">
        <v>150</v>
      </c>
      <c r="F371" s="408">
        <v>1</v>
      </c>
      <c r="G371" s="409">
        <v>1</v>
      </c>
      <c r="H371" s="470">
        <v>9</v>
      </c>
      <c r="I371" s="467">
        <v>10</v>
      </c>
      <c r="J371" s="408">
        <v>1493</v>
      </c>
      <c r="K371" s="408">
        <v>1493</v>
      </c>
      <c r="L371" s="408">
        <v>1493</v>
      </c>
      <c r="M371" s="408">
        <v>1493</v>
      </c>
      <c r="N371" s="461">
        <f>100%*(((X371*AB371)-(Z371*AB371))*AL371*365.25*AD371/AF371)*AH371*AJ371</f>
        <v>0.90849584455671673</v>
      </c>
      <c r="O371" s="461">
        <f t="shared" si="32"/>
        <v>0.90849584455671673</v>
      </c>
      <c r="P371" s="461">
        <f t="shared" si="32"/>
        <v>0.90849584455671673</v>
      </c>
      <c r="Q371" s="461">
        <f t="shared" si="32"/>
        <v>0.90849584455671673</v>
      </c>
      <c r="R371" s="411"/>
      <c r="S371" s="411" t="s">
        <v>1046</v>
      </c>
      <c r="T371" s="411" t="s">
        <v>470</v>
      </c>
      <c r="U371" s="411" t="s">
        <v>469</v>
      </c>
      <c r="V371" s="412" t="s">
        <v>467</v>
      </c>
      <c r="W371" s="417" t="s">
        <v>359</v>
      </c>
      <c r="X371" s="417">
        <v>1.53</v>
      </c>
      <c r="Y371" s="412" t="s">
        <v>358</v>
      </c>
      <c r="Z371" s="412">
        <v>0.94</v>
      </c>
      <c r="AA371" s="149" t="s">
        <v>357</v>
      </c>
      <c r="AB371" s="412">
        <v>1.6</v>
      </c>
      <c r="AC371" s="149" t="s">
        <v>468</v>
      </c>
      <c r="AD371" s="418">
        <v>0.9</v>
      </c>
      <c r="AE371" s="149" t="s">
        <v>364</v>
      </c>
      <c r="AF371" s="412">
        <v>2.83</v>
      </c>
      <c r="AG371" s="412" t="s">
        <v>355</v>
      </c>
      <c r="AH371" s="419">
        <f>8.33*1*(86-54.1)/(AN371*100000)</f>
        <v>3.4067564102564099E-3</v>
      </c>
      <c r="AI371" s="412" t="s">
        <v>354</v>
      </c>
      <c r="AJ371" s="412">
        <v>0.95</v>
      </c>
      <c r="AK371" s="412" t="s">
        <v>462</v>
      </c>
      <c r="AL371" s="412">
        <v>2.56</v>
      </c>
      <c r="AM371" s="412" t="s">
        <v>461</v>
      </c>
      <c r="AN371" s="418">
        <v>0.78</v>
      </c>
      <c r="AO371" s="158"/>
      <c r="AP371" s="158"/>
      <c r="AQ371" s="158"/>
      <c r="AR371" s="158"/>
      <c r="AS371" s="158"/>
      <c r="AT371" s="158"/>
      <c r="AV371" s="413"/>
      <c r="AW371" s="413"/>
      <c r="AX371" s="414"/>
      <c r="AY371" s="415"/>
      <c r="AZ371" s="416"/>
      <c r="BA371" s="448"/>
    </row>
    <row r="372" spans="1:53">
      <c r="A372" s="5" t="str">
        <f t="shared" si="30"/>
        <v>Low Income - SF Retrofit_Kitchen Aerator</v>
      </c>
      <c r="B372" s="407">
        <v>369</v>
      </c>
      <c r="C372" s="408" t="s">
        <v>714</v>
      </c>
      <c r="D372" s="407" t="s">
        <v>732</v>
      </c>
      <c r="E372" s="408" t="s">
        <v>150</v>
      </c>
      <c r="F372" s="408">
        <v>1</v>
      </c>
      <c r="G372" s="409">
        <v>1</v>
      </c>
      <c r="H372" s="470">
        <v>9</v>
      </c>
      <c r="I372" s="467">
        <v>10</v>
      </c>
      <c r="J372" s="408">
        <v>746</v>
      </c>
      <c r="K372" s="408">
        <v>746</v>
      </c>
      <c r="L372" s="408">
        <v>746</v>
      </c>
      <c r="M372" s="408">
        <v>746</v>
      </c>
      <c r="N372" s="461">
        <f>100%*(((X372*AB372)-(Z372*AB372))*AL372*365.25*AD372/AF372)*AH372*AJ372</f>
        <v>8.5936302377584592</v>
      </c>
      <c r="O372" s="461">
        <f t="shared" si="32"/>
        <v>8.5936302377584592</v>
      </c>
      <c r="P372" s="461">
        <f t="shared" si="32"/>
        <v>8.5936302377584592</v>
      </c>
      <c r="Q372" s="461">
        <f t="shared" si="32"/>
        <v>8.5936302377584592</v>
      </c>
      <c r="R372" s="411"/>
      <c r="S372" s="411" t="s">
        <v>1046</v>
      </c>
      <c r="T372" s="411" t="s">
        <v>470</v>
      </c>
      <c r="U372" s="411" t="s">
        <v>469</v>
      </c>
      <c r="V372" s="412" t="s">
        <v>467</v>
      </c>
      <c r="W372" s="417" t="s">
        <v>359</v>
      </c>
      <c r="X372" s="417">
        <v>1.63</v>
      </c>
      <c r="Y372" s="412" t="s">
        <v>358</v>
      </c>
      <c r="Z372" s="412">
        <v>0.94</v>
      </c>
      <c r="AA372" s="149" t="s">
        <v>357</v>
      </c>
      <c r="AB372" s="412">
        <v>4.5</v>
      </c>
      <c r="AC372" s="149" t="s">
        <v>468</v>
      </c>
      <c r="AD372" s="418">
        <v>0.75</v>
      </c>
      <c r="AE372" s="149" t="s">
        <v>364</v>
      </c>
      <c r="AF372" s="412">
        <v>1</v>
      </c>
      <c r="AG372" s="412" t="s">
        <v>355</v>
      </c>
      <c r="AH372" s="419">
        <f>8.33*1*(93-54.1)/(AN372*100000)</f>
        <v>4.1543205128205122E-3</v>
      </c>
      <c r="AI372" s="412" t="s">
        <v>354</v>
      </c>
      <c r="AJ372" s="412">
        <v>0.95</v>
      </c>
      <c r="AK372" s="412" t="s">
        <v>462</v>
      </c>
      <c r="AL372" s="412">
        <v>2.56</v>
      </c>
      <c r="AM372" s="412" t="s">
        <v>461</v>
      </c>
      <c r="AN372" s="418">
        <v>0.78</v>
      </c>
      <c r="AO372" s="158"/>
      <c r="AP372" s="158"/>
      <c r="AQ372" s="158"/>
      <c r="AR372" s="158"/>
      <c r="AS372" s="158"/>
      <c r="AT372" s="158"/>
      <c r="AV372" s="413"/>
      <c r="AW372" s="413"/>
      <c r="AX372" s="414"/>
      <c r="AY372" s="416"/>
      <c r="AZ372" s="416"/>
      <c r="BA372" s="448"/>
    </row>
    <row r="373" spans="1:53">
      <c r="A373" s="5" t="str">
        <f t="shared" si="30"/>
        <v>Low Income - SF Retrofit_Showerhead</v>
      </c>
      <c r="B373" s="407">
        <v>370</v>
      </c>
      <c r="C373" s="408" t="s">
        <v>714</v>
      </c>
      <c r="D373" s="407" t="s">
        <v>731</v>
      </c>
      <c r="E373" s="408" t="s">
        <v>150</v>
      </c>
      <c r="F373" s="408">
        <v>1</v>
      </c>
      <c r="G373" s="409">
        <v>1</v>
      </c>
      <c r="H373" s="470">
        <v>10</v>
      </c>
      <c r="I373" s="463">
        <v>10</v>
      </c>
      <c r="J373" s="408">
        <v>896</v>
      </c>
      <c r="K373" s="408">
        <v>896</v>
      </c>
      <c r="L373" s="408">
        <v>896</v>
      </c>
      <c r="M373" s="408">
        <v>896</v>
      </c>
      <c r="N373" s="461">
        <f>100%*((X373*AB373-Z373*AB373)*AL373*AF373*365.25/AH373)*AD373*AJ373</f>
        <v>8.7892072937103034</v>
      </c>
      <c r="O373" s="461">
        <f t="shared" si="32"/>
        <v>8.7892072937103034</v>
      </c>
      <c r="P373" s="461">
        <f t="shared" si="32"/>
        <v>8.7892072937103034</v>
      </c>
      <c r="Q373" s="461">
        <f t="shared" si="32"/>
        <v>8.7892072937103034</v>
      </c>
      <c r="R373" s="411"/>
      <c r="S373" s="411" t="s">
        <v>1046</v>
      </c>
      <c r="T373" s="411" t="s">
        <v>466</v>
      </c>
      <c r="U373" s="411" t="s">
        <v>465</v>
      </c>
      <c r="V373" s="412" t="s">
        <v>460</v>
      </c>
      <c r="W373" s="417" t="s">
        <v>359</v>
      </c>
      <c r="X373" s="417">
        <v>2.2400000000000002</v>
      </c>
      <c r="Y373" s="412" t="s">
        <v>358</v>
      </c>
      <c r="Z373" s="412">
        <v>1.5</v>
      </c>
      <c r="AA373" s="149" t="s">
        <v>357</v>
      </c>
      <c r="AB373" s="412">
        <v>7.8</v>
      </c>
      <c r="AC373" s="149" t="s">
        <v>355</v>
      </c>
      <c r="AD373" s="419">
        <f>8.33*1*(101-54.1)/(AN373*100000)</f>
        <v>5.0086794871794871E-3</v>
      </c>
      <c r="AE373" s="149" t="s">
        <v>464</v>
      </c>
      <c r="AF373" s="412">
        <v>0.6</v>
      </c>
      <c r="AG373" s="412" t="s">
        <v>463</v>
      </c>
      <c r="AH373" s="412">
        <v>1.79</v>
      </c>
      <c r="AI373" s="491" t="s">
        <v>354</v>
      </c>
      <c r="AJ373" s="491">
        <v>0.97</v>
      </c>
      <c r="AK373" s="412" t="s">
        <v>462</v>
      </c>
      <c r="AL373" s="412">
        <v>2.56</v>
      </c>
      <c r="AM373" s="412" t="s">
        <v>461</v>
      </c>
      <c r="AN373" s="418">
        <v>0.78</v>
      </c>
      <c r="AO373" s="158"/>
      <c r="AP373" s="158"/>
      <c r="AQ373" s="158"/>
      <c r="AR373" s="158"/>
      <c r="AS373" s="158"/>
      <c r="AT373" s="158"/>
      <c r="AV373" s="413"/>
      <c r="AW373" s="413"/>
      <c r="AX373" s="414"/>
      <c r="AY373" s="449"/>
      <c r="AZ373" s="416"/>
      <c r="BA373" s="448"/>
    </row>
    <row r="374" spans="1:53">
      <c r="A374" s="5" t="str">
        <f t="shared" si="30"/>
        <v>Low Income - SF Retrofit_Pipe Insulation (DHW)</v>
      </c>
      <c r="B374" s="407">
        <v>371</v>
      </c>
      <c r="C374" s="408" t="s">
        <v>714</v>
      </c>
      <c r="D374" s="407" t="s">
        <v>1056</v>
      </c>
      <c r="E374" s="408" t="s">
        <v>210</v>
      </c>
      <c r="F374" s="408">
        <v>3</v>
      </c>
      <c r="G374" s="409">
        <v>1</v>
      </c>
      <c r="H374" s="470">
        <v>15</v>
      </c>
      <c r="I374" s="463">
        <v>15</v>
      </c>
      <c r="J374" s="408">
        <v>1101</v>
      </c>
      <c r="K374" s="408">
        <v>1101</v>
      </c>
      <c r="L374" s="408">
        <v>1101</v>
      </c>
      <c r="M374" s="408">
        <v>1101</v>
      </c>
      <c r="N374" s="394">
        <f xml:space="preserve"> ((X374 / Z374 - AB374 / AD374) * AF374 * AH374 * 8766) / AJ374 / 100000</f>
        <v>0.77039653846153844</v>
      </c>
      <c r="O374" s="462">
        <f t="shared" si="32"/>
        <v>0.77039653846153844</v>
      </c>
      <c r="P374" s="462">
        <f t="shared" si="32"/>
        <v>0.77039653846153844</v>
      </c>
      <c r="Q374" s="462">
        <f t="shared" si="32"/>
        <v>0.77039653846153844</v>
      </c>
      <c r="R374" s="411"/>
      <c r="S374" s="411" t="s">
        <v>1046</v>
      </c>
      <c r="T374" s="411" t="s">
        <v>459</v>
      </c>
      <c r="U374" s="411" t="s">
        <v>458</v>
      </c>
      <c r="V374" s="421" t="s">
        <v>846</v>
      </c>
      <c r="W374" s="150" t="s">
        <v>451</v>
      </c>
      <c r="X374" s="158">
        <v>0.19600000000000001</v>
      </c>
      <c r="Y374" s="158" t="s">
        <v>454</v>
      </c>
      <c r="Z374" s="158">
        <v>1</v>
      </c>
      <c r="AA374" s="391" t="s">
        <v>847</v>
      </c>
      <c r="AB374" s="421">
        <v>0.32700000000000001</v>
      </c>
      <c r="AC374" s="158" t="s">
        <v>453</v>
      </c>
      <c r="AD374" s="158">
        <f>(1+3)</f>
        <v>4</v>
      </c>
      <c r="AE374" s="150" t="s">
        <v>260</v>
      </c>
      <c r="AF374" s="158">
        <v>1</v>
      </c>
      <c r="AG374" s="150" t="s">
        <v>304</v>
      </c>
      <c r="AH374" s="158">
        <v>60</v>
      </c>
      <c r="AI374" s="158" t="s">
        <v>457</v>
      </c>
      <c r="AJ374" s="158">
        <v>0.78</v>
      </c>
      <c r="AK374" s="158"/>
      <c r="AL374" s="158"/>
      <c r="AM374" s="158"/>
      <c r="AN374" s="158"/>
      <c r="AO374" s="158"/>
      <c r="AP374" s="158"/>
      <c r="AQ374" s="158"/>
      <c r="AR374" s="158"/>
      <c r="AS374" s="158"/>
      <c r="AT374" s="158"/>
      <c r="AV374" s="413"/>
      <c r="AW374" s="413"/>
      <c r="AX374" s="414"/>
      <c r="AY374" s="415"/>
      <c r="AZ374" s="416"/>
      <c r="BA374" s="448"/>
    </row>
    <row r="375" spans="1:53">
      <c r="A375" s="5" t="str">
        <f t="shared" si="30"/>
        <v>Low Income - SF Retrofit_Pipe Insulation (Boiler)</v>
      </c>
      <c r="B375" s="407">
        <v>372</v>
      </c>
      <c r="C375" s="408" t="s">
        <v>714</v>
      </c>
      <c r="D375" s="407" t="s">
        <v>701</v>
      </c>
      <c r="E375" s="408" t="s">
        <v>210</v>
      </c>
      <c r="F375" s="408">
        <v>3</v>
      </c>
      <c r="G375" s="409">
        <v>1</v>
      </c>
      <c r="H375" s="470">
        <v>15</v>
      </c>
      <c r="I375" s="463">
        <v>15</v>
      </c>
      <c r="J375" s="408">
        <v>537</v>
      </c>
      <c r="K375" s="408">
        <v>537</v>
      </c>
      <c r="L375" s="408">
        <v>537</v>
      </c>
      <c r="M375" s="408">
        <v>537</v>
      </c>
      <c r="N375" s="208">
        <f>((1/X375*AD375-1/Z375*AF375)*AB375*AH375*AJ375/AL375/100000)</f>
        <v>0.41554055468341189</v>
      </c>
      <c r="O375" s="461">
        <f t="shared" si="32"/>
        <v>0.41554055468341189</v>
      </c>
      <c r="P375" s="461">
        <f t="shared" si="32"/>
        <v>0.41554055468341189</v>
      </c>
      <c r="Q375" s="461">
        <f t="shared" si="32"/>
        <v>0.41554055468341189</v>
      </c>
      <c r="R375" s="411"/>
      <c r="S375" s="411" t="s">
        <v>1046</v>
      </c>
      <c r="T375" s="411" t="s">
        <v>456</v>
      </c>
      <c r="U375" s="411" t="s">
        <v>455</v>
      </c>
      <c r="V375" s="158" t="s">
        <v>448</v>
      </c>
      <c r="W375" s="158" t="s">
        <v>454</v>
      </c>
      <c r="X375" s="158">
        <v>0.5</v>
      </c>
      <c r="Y375" s="158" t="s">
        <v>453</v>
      </c>
      <c r="Z375" s="158">
        <f>3+0.5</f>
        <v>3.5</v>
      </c>
      <c r="AA375" s="150" t="s">
        <v>452</v>
      </c>
      <c r="AB375" s="158">
        <v>1840</v>
      </c>
      <c r="AC375" s="150" t="s">
        <v>451</v>
      </c>
      <c r="AD375" s="158">
        <f>(0.131+0.196)/2</f>
        <v>0.16350000000000001</v>
      </c>
      <c r="AE375" s="150" t="s">
        <v>450</v>
      </c>
      <c r="AF375" s="422">
        <f>(((0.5+1)+(0.75+1))/2)*3.14/12</f>
        <v>0.42520833333333335</v>
      </c>
      <c r="AG375" s="158" t="s">
        <v>260</v>
      </c>
      <c r="AH375" s="158">
        <v>1</v>
      </c>
      <c r="AI375" s="158" t="s">
        <v>304</v>
      </c>
      <c r="AJ375" s="158">
        <f>(110+70)/2</f>
        <v>90</v>
      </c>
      <c r="AK375" s="158" t="s">
        <v>449</v>
      </c>
      <c r="AL375" s="158">
        <v>0.81899999999999995</v>
      </c>
      <c r="AM375" s="158"/>
      <c r="AN375" s="158"/>
      <c r="AO375" s="158"/>
      <c r="AP375" s="158"/>
      <c r="AQ375" s="158"/>
      <c r="AR375" s="158"/>
      <c r="AS375" s="158"/>
      <c r="AT375" s="158"/>
      <c r="AV375" s="413"/>
      <c r="AW375" s="413"/>
      <c r="AX375" s="414"/>
      <c r="AY375" s="415"/>
      <c r="AZ375" s="416"/>
      <c r="BA375" s="448"/>
    </row>
    <row r="376" spans="1:53">
      <c r="A376" s="5" t="str">
        <f t="shared" si="30"/>
        <v>Low Income - SF Retrofit_Programmable Thermostat - Furnace</v>
      </c>
      <c r="B376" s="407">
        <v>373</v>
      </c>
      <c r="C376" s="408" t="s">
        <v>714</v>
      </c>
      <c r="D376" s="407" t="s">
        <v>702</v>
      </c>
      <c r="E376" s="408" t="s">
        <v>150</v>
      </c>
      <c r="F376" s="408">
        <v>1</v>
      </c>
      <c r="G376" s="409">
        <v>1</v>
      </c>
      <c r="H376" s="470">
        <v>5</v>
      </c>
      <c r="I376" s="467">
        <v>8</v>
      </c>
      <c r="J376" s="408">
        <v>199</v>
      </c>
      <c r="K376" s="408">
        <v>199</v>
      </c>
      <c r="L376" s="408">
        <v>199</v>
      </c>
      <c r="M376" s="408">
        <v>199</v>
      </c>
      <c r="N376" s="354">
        <f t="shared" ref="N376:N381" si="33">X376*Z376*AB376*AD376</f>
        <v>62.31</v>
      </c>
      <c r="O376" s="461">
        <f t="shared" si="32"/>
        <v>62.31</v>
      </c>
      <c r="P376" s="461">
        <f t="shared" si="32"/>
        <v>62.31</v>
      </c>
      <c r="Q376" s="461">
        <f t="shared" si="32"/>
        <v>62.31</v>
      </c>
      <c r="R376" s="411"/>
      <c r="S376" s="411" t="s">
        <v>1046</v>
      </c>
      <c r="T376" s="411" t="s">
        <v>447</v>
      </c>
      <c r="U376" s="411" t="s">
        <v>446</v>
      </c>
      <c r="V376" s="412" t="s">
        <v>441</v>
      </c>
      <c r="W376" s="151" t="s">
        <v>445</v>
      </c>
      <c r="X376" s="152">
        <v>1005</v>
      </c>
      <c r="Y376" s="153" t="s">
        <v>444</v>
      </c>
      <c r="Z376" s="154">
        <v>6.2E-2</v>
      </c>
      <c r="AA376" s="149" t="s">
        <v>392</v>
      </c>
      <c r="AB376" s="155">
        <v>1</v>
      </c>
      <c r="AC376" s="149" t="s">
        <v>443</v>
      </c>
      <c r="AD376" s="155">
        <v>1</v>
      </c>
      <c r="AE376" s="149" t="s">
        <v>442</v>
      </c>
      <c r="AF376" s="156">
        <v>3.1399999999999997E-2</v>
      </c>
      <c r="AG376" s="158"/>
      <c r="AH376" s="158"/>
      <c r="AI376" s="158"/>
      <c r="AJ376" s="158"/>
      <c r="AK376" s="158"/>
      <c r="AL376" s="158"/>
      <c r="AM376" s="158"/>
      <c r="AN376" s="158"/>
      <c r="AO376" s="158"/>
      <c r="AP376" s="158"/>
      <c r="AQ376" s="158"/>
      <c r="AR376" s="158"/>
      <c r="AS376" s="158"/>
      <c r="AT376" s="158"/>
      <c r="AV376" s="413"/>
      <c r="AW376" s="413"/>
      <c r="AX376" s="414"/>
      <c r="AY376" s="415"/>
      <c r="AZ376" s="416"/>
      <c r="BA376" s="448"/>
    </row>
    <row r="377" spans="1:53">
      <c r="A377" s="5" t="str">
        <f t="shared" si="30"/>
        <v>Low Income - SF Retrofit_Programmable Thermostat - Boiler</v>
      </c>
      <c r="B377" s="407">
        <v>374</v>
      </c>
      <c r="C377" s="408" t="s">
        <v>714</v>
      </c>
      <c r="D377" s="407" t="s">
        <v>1057</v>
      </c>
      <c r="E377" s="408" t="s">
        <v>150</v>
      </c>
      <c r="F377" s="408">
        <v>1</v>
      </c>
      <c r="G377" s="409">
        <v>1</v>
      </c>
      <c r="H377" s="470">
        <v>5</v>
      </c>
      <c r="I377" s="467">
        <v>8</v>
      </c>
      <c r="J377" s="408">
        <v>20</v>
      </c>
      <c r="K377" s="408">
        <v>20</v>
      </c>
      <c r="L377" s="408">
        <v>20</v>
      </c>
      <c r="M377" s="408">
        <v>20</v>
      </c>
      <c r="N377" s="354">
        <f t="shared" si="33"/>
        <v>75.516000000000005</v>
      </c>
      <c r="O377" s="461">
        <f t="shared" si="32"/>
        <v>75.516000000000005</v>
      </c>
      <c r="P377" s="461">
        <f t="shared" si="32"/>
        <v>75.516000000000005</v>
      </c>
      <c r="Q377" s="461">
        <f t="shared" si="32"/>
        <v>75.516000000000005</v>
      </c>
      <c r="R377" s="411"/>
      <c r="S377" s="411" t="s">
        <v>1046</v>
      </c>
      <c r="T377" s="411" t="s">
        <v>447</v>
      </c>
      <c r="U377" s="411" t="s">
        <v>446</v>
      </c>
      <c r="V377" s="412" t="s">
        <v>441</v>
      </c>
      <c r="W377" s="151" t="s">
        <v>445</v>
      </c>
      <c r="X377" s="152">
        <v>1218</v>
      </c>
      <c r="Y377" s="153" t="s">
        <v>444</v>
      </c>
      <c r="Z377" s="154">
        <v>6.2E-2</v>
      </c>
      <c r="AA377" s="149" t="s">
        <v>392</v>
      </c>
      <c r="AB377" s="155">
        <v>1</v>
      </c>
      <c r="AC377" s="149" t="s">
        <v>443</v>
      </c>
      <c r="AD377" s="155">
        <v>1</v>
      </c>
      <c r="AE377" s="149" t="s">
        <v>442</v>
      </c>
      <c r="AF377" s="156">
        <v>3.1399999999999997E-2</v>
      </c>
      <c r="AG377" s="158"/>
      <c r="AH377" s="158"/>
      <c r="AI377" s="158"/>
      <c r="AJ377" s="158"/>
      <c r="AK377" s="158"/>
      <c r="AL377" s="158"/>
      <c r="AM377" s="158"/>
      <c r="AN377" s="158"/>
      <c r="AO377" s="158"/>
      <c r="AP377" s="158"/>
      <c r="AQ377" s="158"/>
      <c r="AR377" s="158"/>
      <c r="AS377" s="158"/>
      <c r="AT377" s="158"/>
      <c r="AV377" s="413"/>
      <c r="AW377" s="413"/>
      <c r="AX377" s="414"/>
      <c r="AY377" s="415"/>
      <c r="AZ377" s="416"/>
      <c r="BA377" s="448"/>
    </row>
    <row r="378" spans="1:53">
      <c r="A378" s="5" t="str">
        <f t="shared" si="30"/>
        <v>Low Income - SF Retrofit_Advanced Thermostat - Furnace (Replace Manual)</v>
      </c>
      <c r="B378" s="407">
        <v>375</v>
      </c>
      <c r="C378" s="408" t="s">
        <v>714</v>
      </c>
      <c r="D378" s="407" t="s">
        <v>699</v>
      </c>
      <c r="E378" s="408" t="s">
        <v>150</v>
      </c>
      <c r="F378" s="408">
        <v>1</v>
      </c>
      <c r="G378" s="409">
        <v>1</v>
      </c>
      <c r="H378" s="470">
        <v>10</v>
      </c>
      <c r="I378" s="467">
        <v>11</v>
      </c>
      <c r="J378" s="408">
        <v>40</v>
      </c>
      <c r="K378" s="408">
        <v>40</v>
      </c>
      <c r="L378" s="408">
        <v>40</v>
      </c>
      <c r="M378" s="408">
        <v>40</v>
      </c>
      <c r="N378" s="208">
        <f t="shared" si="33"/>
        <v>88.44</v>
      </c>
      <c r="O378" s="461">
        <f t="shared" si="32"/>
        <v>88.44</v>
      </c>
      <c r="P378" s="461">
        <f t="shared" si="32"/>
        <v>88.44</v>
      </c>
      <c r="Q378" s="461">
        <f t="shared" si="32"/>
        <v>88.44</v>
      </c>
      <c r="R378" s="411"/>
      <c r="S378" s="411" t="s">
        <v>1046</v>
      </c>
      <c r="T378" s="411" t="s">
        <v>49</v>
      </c>
      <c r="U378" s="411" t="s">
        <v>60</v>
      </c>
      <c r="V378" s="412" t="s">
        <v>441</v>
      </c>
      <c r="W378" s="151" t="s">
        <v>445</v>
      </c>
      <c r="X378" s="152">
        <v>1005</v>
      </c>
      <c r="Y378" s="153" t="s">
        <v>444</v>
      </c>
      <c r="Z378" s="154">
        <v>8.7999999999999995E-2</v>
      </c>
      <c r="AA378" s="149" t="s">
        <v>392</v>
      </c>
      <c r="AB378" s="155">
        <v>1</v>
      </c>
      <c r="AC378" s="149" t="s">
        <v>443</v>
      </c>
      <c r="AD378" s="155">
        <v>1</v>
      </c>
      <c r="AE378" s="149" t="s">
        <v>442</v>
      </c>
      <c r="AF378" s="156">
        <v>3.1399999999999997E-2</v>
      </c>
      <c r="AG378" s="158"/>
      <c r="AH378" s="158"/>
      <c r="AI378" s="158"/>
      <c r="AJ378" s="158"/>
      <c r="AK378" s="158"/>
      <c r="AL378" s="158"/>
      <c r="AM378" s="158"/>
      <c r="AN378" s="158"/>
      <c r="AO378" s="158"/>
      <c r="AP378" s="158"/>
      <c r="AQ378" s="158"/>
      <c r="AR378" s="158"/>
      <c r="AS378" s="158"/>
      <c r="AT378" s="158"/>
      <c r="AV378" s="413"/>
      <c r="AW378" s="413"/>
      <c r="AX378" s="414"/>
      <c r="AY378" s="415"/>
      <c r="AZ378" s="416"/>
      <c r="BA378" s="448"/>
    </row>
    <row r="379" spans="1:53">
      <c r="A379" s="5" t="str">
        <f t="shared" si="30"/>
        <v>Low Income - SF Retrofit_Advanced Thermostat - Boiler (Replace Manual)</v>
      </c>
      <c r="B379" s="407">
        <v>376</v>
      </c>
      <c r="C379" s="408" t="s">
        <v>714</v>
      </c>
      <c r="D379" s="407" t="s">
        <v>1058</v>
      </c>
      <c r="E379" s="408" t="s">
        <v>150</v>
      </c>
      <c r="F379" s="408">
        <v>1</v>
      </c>
      <c r="G379" s="409">
        <v>1</v>
      </c>
      <c r="H379" s="470">
        <v>10</v>
      </c>
      <c r="I379" s="467">
        <v>11</v>
      </c>
      <c r="J379" s="408">
        <v>7</v>
      </c>
      <c r="K379" s="408">
        <v>7</v>
      </c>
      <c r="L379" s="408">
        <v>7</v>
      </c>
      <c r="M379" s="408">
        <v>7</v>
      </c>
      <c r="N379" s="208">
        <f t="shared" si="33"/>
        <v>107.184</v>
      </c>
      <c r="O379" s="461">
        <f t="shared" si="32"/>
        <v>107.184</v>
      </c>
      <c r="P379" s="461">
        <f t="shared" si="32"/>
        <v>107.184</v>
      </c>
      <c r="Q379" s="461">
        <f t="shared" si="32"/>
        <v>107.184</v>
      </c>
      <c r="R379" s="411"/>
      <c r="S379" s="411" t="s">
        <v>1046</v>
      </c>
      <c r="T379" s="411" t="s">
        <v>49</v>
      </c>
      <c r="U379" s="411" t="s">
        <v>60</v>
      </c>
      <c r="V379" s="412" t="s">
        <v>441</v>
      </c>
      <c r="W379" s="151" t="s">
        <v>445</v>
      </c>
      <c r="X379" s="152">
        <v>1218</v>
      </c>
      <c r="Y379" s="153" t="s">
        <v>444</v>
      </c>
      <c r="Z379" s="154">
        <v>8.7999999999999995E-2</v>
      </c>
      <c r="AA379" s="149" t="s">
        <v>392</v>
      </c>
      <c r="AB379" s="155">
        <v>1</v>
      </c>
      <c r="AC379" s="149" t="s">
        <v>443</v>
      </c>
      <c r="AD379" s="155">
        <v>1</v>
      </c>
      <c r="AE379" s="149" t="s">
        <v>442</v>
      </c>
      <c r="AF379" s="156">
        <v>3.1399999999999997E-2</v>
      </c>
      <c r="AG379" s="158"/>
      <c r="AH379" s="158"/>
      <c r="AI379" s="158"/>
      <c r="AJ379" s="158"/>
      <c r="AK379" s="158"/>
      <c r="AL379" s="158"/>
      <c r="AM379" s="158"/>
      <c r="AN379" s="158"/>
      <c r="AO379" s="158"/>
      <c r="AP379" s="158"/>
      <c r="AQ379" s="158"/>
      <c r="AR379" s="158"/>
      <c r="AS379" s="158"/>
      <c r="AT379" s="158"/>
      <c r="AV379" s="413"/>
      <c r="AW379" s="413"/>
      <c r="AX379" s="414"/>
      <c r="AY379" s="415"/>
      <c r="AZ379" s="416"/>
      <c r="BA379" s="448"/>
    </row>
    <row r="380" spans="1:53">
      <c r="A380" s="5" t="str">
        <f t="shared" si="30"/>
        <v>Low Income - SF Retrofit_Advanced Thermostat - Furnace (Replace Programmable)</v>
      </c>
      <c r="B380" s="407">
        <v>377</v>
      </c>
      <c r="C380" s="408" t="s">
        <v>714</v>
      </c>
      <c r="D380" s="407" t="s">
        <v>1059</v>
      </c>
      <c r="E380" s="408" t="s">
        <v>150</v>
      </c>
      <c r="F380" s="408">
        <v>1</v>
      </c>
      <c r="G380" s="409">
        <v>1</v>
      </c>
      <c r="H380" s="470">
        <v>10</v>
      </c>
      <c r="I380" s="467">
        <v>11</v>
      </c>
      <c r="J380" s="408">
        <v>40</v>
      </c>
      <c r="K380" s="408">
        <v>40</v>
      </c>
      <c r="L380" s="408">
        <v>40</v>
      </c>
      <c r="M380" s="408">
        <v>40</v>
      </c>
      <c r="N380" s="208">
        <f t="shared" si="33"/>
        <v>56.28</v>
      </c>
      <c r="O380" s="461">
        <f t="shared" si="32"/>
        <v>56.28</v>
      </c>
      <c r="P380" s="461">
        <f t="shared" si="32"/>
        <v>56.28</v>
      </c>
      <c r="Q380" s="461">
        <f t="shared" si="32"/>
        <v>56.28</v>
      </c>
      <c r="R380" s="411"/>
      <c r="S380" s="411" t="s">
        <v>1046</v>
      </c>
      <c r="T380" s="411" t="s">
        <v>49</v>
      </c>
      <c r="U380" s="411" t="s">
        <v>60</v>
      </c>
      <c r="V380" s="412" t="s">
        <v>441</v>
      </c>
      <c r="W380" s="151" t="s">
        <v>445</v>
      </c>
      <c r="X380" s="152">
        <v>1005</v>
      </c>
      <c r="Y380" s="153" t="s">
        <v>444</v>
      </c>
      <c r="Z380" s="154">
        <v>5.6000000000000001E-2</v>
      </c>
      <c r="AA380" s="149" t="s">
        <v>392</v>
      </c>
      <c r="AB380" s="155">
        <v>1</v>
      </c>
      <c r="AC380" s="149" t="s">
        <v>443</v>
      </c>
      <c r="AD380" s="155">
        <v>1</v>
      </c>
      <c r="AE380" s="149" t="s">
        <v>442</v>
      </c>
      <c r="AF380" s="156">
        <v>3.1399999999999997E-2</v>
      </c>
      <c r="AG380" s="158"/>
      <c r="AH380" s="158"/>
      <c r="AI380" s="158"/>
      <c r="AJ380" s="158"/>
      <c r="AK380" s="158"/>
      <c r="AL380" s="158"/>
      <c r="AM380" s="158"/>
      <c r="AN380" s="158"/>
      <c r="AO380" s="158"/>
      <c r="AP380" s="158"/>
      <c r="AQ380" s="158"/>
      <c r="AR380" s="158"/>
      <c r="AS380" s="158"/>
      <c r="AT380" s="158"/>
      <c r="AV380" s="413"/>
      <c r="AW380" s="413"/>
      <c r="AX380" s="414"/>
      <c r="AY380" s="415"/>
      <c r="AZ380" s="416"/>
      <c r="BA380" s="448"/>
    </row>
    <row r="381" spans="1:53">
      <c r="A381" s="5" t="str">
        <f t="shared" si="30"/>
        <v>Low Income - SF Retrofit_Advanced Thermostat - Boiler (Replace Programmable)</v>
      </c>
      <c r="B381" s="407">
        <v>378</v>
      </c>
      <c r="C381" s="408" t="s">
        <v>714</v>
      </c>
      <c r="D381" s="407" t="s">
        <v>704</v>
      </c>
      <c r="E381" s="408" t="s">
        <v>150</v>
      </c>
      <c r="F381" s="408">
        <v>1</v>
      </c>
      <c r="G381" s="409">
        <v>1</v>
      </c>
      <c r="H381" s="470">
        <v>10</v>
      </c>
      <c r="I381" s="467">
        <v>11</v>
      </c>
      <c r="J381" s="408">
        <v>7</v>
      </c>
      <c r="K381" s="408">
        <v>7</v>
      </c>
      <c r="L381" s="408">
        <v>7</v>
      </c>
      <c r="M381" s="408">
        <v>7</v>
      </c>
      <c r="N381" s="208">
        <f t="shared" si="33"/>
        <v>68.207999999999998</v>
      </c>
      <c r="O381" s="461">
        <f t="shared" si="32"/>
        <v>68.207999999999998</v>
      </c>
      <c r="P381" s="461">
        <f t="shared" si="32"/>
        <v>68.207999999999998</v>
      </c>
      <c r="Q381" s="461">
        <f t="shared" si="32"/>
        <v>68.207999999999998</v>
      </c>
      <c r="R381" s="411"/>
      <c r="S381" s="411" t="s">
        <v>1046</v>
      </c>
      <c r="T381" s="411" t="s">
        <v>49</v>
      </c>
      <c r="U381" s="411" t="s">
        <v>60</v>
      </c>
      <c r="V381" s="412" t="s">
        <v>441</v>
      </c>
      <c r="W381" s="151" t="s">
        <v>445</v>
      </c>
      <c r="X381" s="152">
        <v>1218</v>
      </c>
      <c r="Y381" s="153" t="s">
        <v>444</v>
      </c>
      <c r="Z381" s="154">
        <v>5.6000000000000001E-2</v>
      </c>
      <c r="AA381" s="149" t="s">
        <v>392</v>
      </c>
      <c r="AB381" s="155">
        <v>1</v>
      </c>
      <c r="AC381" s="149" t="s">
        <v>443</v>
      </c>
      <c r="AD381" s="155">
        <v>1</v>
      </c>
      <c r="AE381" s="149" t="s">
        <v>442</v>
      </c>
      <c r="AF381" s="156">
        <v>3.1399999999999997E-2</v>
      </c>
      <c r="AG381" s="158"/>
      <c r="AH381" s="158"/>
      <c r="AI381" s="158"/>
      <c r="AJ381" s="158"/>
      <c r="AK381" s="158"/>
      <c r="AL381" s="158"/>
      <c r="AM381" s="158"/>
      <c r="AN381" s="158"/>
      <c r="AO381" s="158"/>
      <c r="AP381" s="158"/>
      <c r="AQ381" s="158"/>
      <c r="AR381" s="158"/>
      <c r="AS381" s="158"/>
      <c r="AT381" s="158"/>
      <c r="AV381" s="413"/>
      <c r="AW381" s="413"/>
      <c r="AX381" s="414"/>
      <c r="AY381" s="415"/>
      <c r="AZ381" s="416"/>
      <c r="BA381" s="448"/>
    </row>
    <row r="382" spans="1:53">
      <c r="A382" s="5" t="str">
        <f t="shared" si="30"/>
        <v>Low Income - SF Retrofit_Water Heater Setback</v>
      </c>
      <c r="B382" s="407">
        <v>379</v>
      </c>
      <c r="C382" s="408" t="s">
        <v>714</v>
      </c>
      <c r="D382" s="407" t="s">
        <v>377</v>
      </c>
      <c r="E382" s="408" t="s">
        <v>150</v>
      </c>
      <c r="F382" s="408">
        <v>1</v>
      </c>
      <c r="G382" s="409">
        <v>1</v>
      </c>
      <c r="H382" s="470">
        <v>2</v>
      </c>
      <c r="I382" s="463">
        <v>2</v>
      </c>
      <c r="J382" s="408">
        <v>199</v>
      </c>
      <c r="K382" s="408">
        <v>199</v>
      </c>
      <c r="L382" s="408">
        <v>199</v>
      </c>
      <c r="M382" s="408">
        <v>199</v>
      </c>
      <c r="N382" s="461">
        <f>(AB382*AD382*(X382-Z382)*AF382)/(100000*AH382)</f>
        <v>3.4965719653846157</v>
      </c>
      <c r="O382" s="461">
        <f t="shared" si="32"/>
        <v>3.4965719653846157</v>
      </c>
      <c r="P382" s="461">
        <f t="shared" si="32"/>
        <v>3.4965719653846157</v>
      </c>
      <c r="Q382" s="461">
        <f t="shared" si="32"/>
        <v>3.4965719653846157</v>
      </c>
      <c r="R382" s="411"/>
      <c r="S382" s="411" t="s">
        <v>1046</v>
      </c>
      <c r="T382" s="407" t="s">
        <v>376</v>
      </c>
      <c r="U382" s="407" t="s">
        <v>375</v>
      </c>
      <c r="V382" s="412" t="s">
        <v>369</v>
      </c>
      <c r="W382" s="412" t="s">
        <v>374</v>
      </c>
      <c r="X382" s="412">
        <v>135</v>
      </c>
      <c r="Y382" s="412" t="s">
        <v>373</v>
      </c>
      <c r="Z382" s="412">
        <v>120</v>
      </c>
      <c r="AA382" s="412" t="s">
        <v>372</v>
      </c>
      <c r="AB382" s="412">
        <v>8.3000000000000004E-2</v>
      </c>
      <c r="AC382" s="412" t="s">
        <v>371</v>
      </c>
      <c r="AD382" s="412">
        <v>24.99</v>
      </c>
      <c r="AE382" s="412" t="s">
        <v>153</v>
      </c>
      <c r="AF382" s="412">
        <v>8766</v>
      </c>
      <c r="AG382" s="412" t="s">
        <v>370</v>
      </c>
      <c r="AH382" s="450">
        <v>0.78</v>
      </c>
      <c r="AI382" s="412"/>
      <c r="AJ382" s="412"/>
      <c r="AK382" s="412"/>
      <c r="AL382" s="412"/>
      <c r="AM382" s="412"/>
      <c r="AN382" s="412"/>
      <c r="AO382" s="412"/>
      <c r="AP382" s="412"/>
      <c r="AQ382" s="412"/>
      <c r="AR382" s="412"/>
      <c r="AS382" s="412"/>
      <c r="AT382" s="412"/>
      <c r="AV382" s="413"/>
      <c r="AW382" s="413"/>
      <c r="AX382" s="414"/>
      <c r="AY382" s="415"/>
      <c r="AZ382" s="416"/>
      <c r="BA382" s="448"/>
    </row>
    <row r="383" spans="1:53">
      <c r="A383" s="5" t="str">
        <f t="shared" si="30"/>
        <v>Low Income - SF Retrofit_Air Sealing</v>
      </c>
      <c r="B383" s="407">
        <v>380</v>
      </c>
      <c r="C383" s="408" t="s">
        <v>714</v>
      </c>
      <c r="D383" s="407" t="s">
        <v>678</v>
      </c>
      <c r="E383" s="408" t="s">
        <v>439</v>
      </c>
      <c r="F383" s="408">
        <v>2000</v>
      </c>
      <c r="G383" s="409">
        <v>1</v>
      </c>
      <c r="H383" s="470">
        <v>15</v>
      </c>
      <c r="I383" s="467">
        <v>20</v>
      </c>
      <c r="J383" s="408">
        <v>995</v>
      </c>
      <c r="K383" s="408">
        <v>995</v>
      </c>
      <c r="L383" s="408">
        <v>995</v>
      </c>
      <c r="M383" s="408">
        <v>995</v>
      </c>
      <c r="N383" s="502">
        <f>1/X383*60*24*Z383*0.018/(AB383*100000)*AD383*AF383</f>
        <v>6.0996592468619264E-2</v>
      </c>
      <c r="O383" s="461">
        <f t="shared" si="32"/>
        <v>6.0996592468619264E-2</v>
      </c>
      <c r="P383" s="461">
        <f t="shared" si="32"/>
        <v>6.0996592468619264E-2</v>
      </c>
      <c r="Q383" s="461">
        <f t="shared" si="32"/>
        <v>6.0996592468619264E-2</v>
      </c>
      <c r="R383" s="411"/>
      <c r="S383" s="411" t="s">
        <v>1046</v>
      </c>
      <c r="T383" s="411" t="s">
        <v>438</v>
      </c>
      <c r="U383" s="411" t="s">
        <v>437</v>
      </c>
      <c r="V383" s="497" t="s">
        <v>1457</v>
      </c>
      <c r="W383" s="158" t="s">
        <v>436</v>
      </c>
      <c r="X383" s="158">
        <v>23.9</v>
      </c>
      <c r="Y383" s="158" t="s">
        <v>411</v>
      </c>
      <c r="Z383" s="158">
        <v>5113</v>
      </c>
      <c r="AA383" s="150" t="s">
        <v>440</v>
      </c>
      <c r="AB383" s="429">
        <v>0.72</v>
      </c>
      <c r="AC383" s="391" t="s">
        <v>851</v>
      </c>
      <c r="AD383" s="430">
        <v>0.72</v>
      </c>
      <c r="AE383" s="494" t="s">
        <v>1445</v>
      </c>
      <c r="AF383" s="498">
        <v>1.1000000000000001</v>
      </c>
      <c r="AG383" s="158"/>
      <c r="AH383" s="158"/>
      <c r="AI383" s="158"/>
      <c r="AJ383" s="158"/>
      <c r="AK383" s="158"/>
      <c r="AL383" s="158"/>
      <c r="AM383" s="158"/>
      <c r="AN383" s="158"/>
      <c r="AO383" s="158"/>
      <c r="AP383" s="158"/>
      <c r="AQ383" s="158"/>
      <c r="AR383" s="158"/>
      <c r="AS383" s="158"/>
      <c r="AT383" s="158"/>
      <c r="AV383" s="413"/>
      <c r="AW383" s="413"/>
      <c r="AX383" s="414"/>
      <c r="AY383" s="415"/>
      <c r="AZ383" s="416"/>
      <c r="BA383" s="448"/>
    </row>
    <row r="384" spans="1:53">
      <c r="A384" s="5" t="str">
        <f t="shared" si="30"/>
        <v>Low Income - SF Retrofit_Attic Insulation</v>
      </c>
      <c r="B384" s="407">
        <v>381</v>
      </c>
      <c r="C384" s="408" t="s">
        <v>714</v>
      </c>
      <c r="D384" s="407" t="s">
        <v>729</v>
      </c>
      <c r="E384" s="408" t="s">
        <v>418</v>
      </c>
      <c r="F384" s="408">
        <v>1100</v>
      </c>
      <c r="G384" s="409">
        <v>1</v>
      </c>
      <c r="H384" s="470">
        <v>25</v>
      </c>
      <c r="I384" s="467">
        <v>20</v>
      </c>
      <c r="J384" s="408">
        <v>995</v>
      </c>
      <c r="K384" s="408">
        <v>995</v>
      </c>
      <c r="L384" s="408">
        <v>995</v>
      </c>
      <c r="M384" s="408">
        <v>995</v>
      </c>
      <c r="N384" s="499">
        <f>((((1/X384-1/Z384)*1*(1-AB384))*24*AF384)/(AH384*100000)*AD384*AJ384*AL384)</f>
        <v>0.10228726933333333</v>
      </c>
      <c r="O384" s="461">
        <f t="shared" si="32"/>
        <v>0.10228726933333333</v>
      </c>
      <c r="P384" s="461">
        <f t="shared" si="32"/>
        <v>0.10228726933333333</v>
      </c>
      <c r="Q384" s="461">
        <f t="shared" si="32"/>
        <v>0.10228726933333333</v>
      </c>
      <c r="R384" s="411"/>
      <c r="S384" s="411" t="s">
        <v>1046</v>
      </c>
      <c r="T384" s="421" t="s">
        <v>853</v>
      </c>
      <c r="U384" s="411" t="s">
        <v>416</v>
      </c>
      <c r="V384" s="497" t="s">
        <v>1444</v>
      </c>
      <c r="W384" s="158" t="s">
        <v>415</v>
      </c>
      <c r="X384" s="158">
        <v>10</v>
      </c>
      <c r="Y384" s="421" t="s">
        <v>857</v>
      </c>
      <c r="Z384" s="158">
        <f>49+5</f>
        <v>54</v>
      </c>
      <c r="AA384" s="150" t="s">
        <v>434</v>
      </c>
      <c r="AB384" s="423">
        <v>7.0000000000000007E-2</v>
      </c>
      <c r="AC384" s="391" t="s">
        <v>858</v>
      </c>
      <c r="AD384" s="430">
        <v>0.72</v>
      </c>
      <c r="AE384" s="150" t="s">
        <v>411</v>
      </c>
      <c r="AF384" s="158">
        <v>5113</v>
      </c>
      <c r="AG384" s="158" t="s">
        <v>410</v>
      </c>
      <c r="AH384" s="423">
        <v>0.72</v>
      </c>
      <c r="AI384" s="497" t="s">
        <v>1445</v>
      </c>
      <c r="AJ384" s="498">
        <v>1.1000000000000001</v>
      </c>
      <c r="AK384" s="497" t="s">
        <v>1446</v>
      </c>
      <c r="AL384" s="498">
        <v>1</v>
      </c>
      <c r="AM384" s="158"/>
      <c r="AN384" s="158"/>
      <c r="AO384" s="158"/>
      <c r="AP384" s="158"/>
      <c r="AQ384" s="158"/>
      <c r="AR384" s="158"/>
      <c r="AS384" s="158"/>
      <c r="AT384" s="158"/>
      <c r="AV384" s="413"/>
      <c r="AW384" s="413"/>
      <c r="AX384" s="414"/>
      <c r="AY384" s="415"/>
      <c r="AZ384" s="416"/>
      <c r="BA384" s="448"/>
    </row>
    <row r="385" spans="1:53">
      <c r="A385" s="5" t="str">
        <f t="shared" si="30"/>
        <v>Low Income - SF Retrofit_Wall Insulation</v>
      </c>
      <c r="B385" s="407">
        <v>382</v>
      </c>
      <c r="C385" s="408" t="s">
        <v>714</v>
      </c>
      <c r="D385" s="407" t="s">
        <v>680</v>
      </c>
      <c r="E385" s="408" t="s">
        <v>418</v>
      </c>
      <c r="F385" s="408">
        <v>300</v>
      </c>
      <c r="G385" s="409">
        <v>1</v>
      </c>
      <c r="H385" s="470">
        <v>25</v>
      </c>
      <c r="I385" s="467">
        <v>20</v>
      </c>
      <c r="J385" s="408">
        <v>498</v>
      </c>
      <c r="K385" s="408">
        <v>498</v>
      </c>
      <c r="L385" s="408">
        <v>498</v>
      </c>
      <c r="M385" s="408">
        <v>498</v>
      </c>
      <c r="N385" s="394">
        <f>((((1/X385-1/Z385)*1*(1-AB385))*24*AF385)/(AH385*100000)*AD385)</f>
        <v>7.90190909090909E-2</v>
      </c>
      <c r="O385" s="461">
        <f t="shared" si="32"/>
        <v>7.90190909090909E-2</v>
      </c>
      <c r="P385" s="461">
        <f t="shared" si="32"/>
        <v>7.90190909090909E-2</v>
      </c>
      <c r="Q385" s="461">
        <f t="shared" si="32"/>
        <v>7.90190909090909E-2</v>
      </c>
      <c r="R385" s="411"/>
      <c r="S385" s="411" t="s">
        <v>1046</v>
      </c>
      <c r="T385" s="411" t="s">
        <v>417</v>
      </c>
      <c r="U385" s="411" t="s">
        <v>416</v>
      </c>
      <c r="V385" s="421" t="s">
        <v>855</v>
      </c>
      <c r="W385" s="158" t="s">
        <v>415</v>
      </c>
      <c r="X385" s="158">
        <v>3.3</v>
      </c>
      <c r="Y385" s="421" t="s">
        <v>856</v>
      </c>
      <c r="Z385" s="158">
        <v>5</v>
      </c>
      <c r="AA385" s="150" t="s">
        <v>433</v>
      </c>
      <c r="AB385" s="423">
        <v>0.25</v>
      </c>
      <c r="AC385" s="391" t="s">
        <v>854</v>
      </c>
      <c r="AD385" s="423">
        <v>0.6</v>
      </c>
      <c r="AE385" s="150" t="s">
        <v>411</v>
      </c>
      <c r="AF385" s="158">
        <v>5113</v>
      </c>
      <c r="AG385" s="158" t="s">
        <v>410</v>
      </c>
      <c r="AH385" s="423">
        <v>0.72</v>
      </c>
      <c r="AI385" s="158"/>
      <c r="AJ385" s="158"/>
      <c r="AK385" s="158"/>
      <c r="AL385" s="158"/>
      <c r="AM385" s="158"/>
      <c r="AN385" s="158"/>
      <c r="AO385" s="158"/>
      <c r="AP385" s="158"/>
      <c r="AQ385" s="158"/>
      <c r="AR385" s="158"/>
      <c r="AS385" s="158"/>
      <c r="AT385" s="158"/>
      <c r="AV385" s="413"/>
      <c r="AW385" s="413"/>
      <c r="AX385" s="414"/>
      <c r="AY385" s="415"/>
      <c r="AZ385" s="416"/>
      <c r="BA385" s="448"/>
    </row>
    <row r="386" spans="1:53">
      <c r="A386" s="5" t="str">
        <f t="shared" si="30"/>
        <v>Low Income - SF Retrofit_Foundation Insulation</v>
      </c>
      <c r="B386" s="407">
        <v>383</v>
      </c>
      <c r="C386" s="408" t="s">
        <v>714</v>
      </c>
      <c r="D386" s="407" t="s">
        <v>432</v>
      </c>
      <c r="E386" s="408" t="s">
        <v>418</v>
      </c>
      <c r="F386" s="408">
        <v>50</v>
      </c>
      <c r="G386" s="409">
        <v>1</v>
      </c>
      <c r="H386" s="470">
        <v>25</v>
      </c>
      <c r="I386" s="463">
        <v>25</v>
      </c>
      <c r="J386" s="408">
        <v>199</v>
      </c>
      <c r="K386" s="408">
        <v>199</v>
      </c>
      <c r="L386" s="408">
        <v>199</v>
      </c>
      <c r="M386" s="408">
        <v>199</v>
      </c>
      <c r="N386" s="208">
        <f>(1/X386-1/Z386)*(1-AB386)*24*AF386/(AH386*100067)*AD386</f>
        <v>8.2417994229580488E-2</v>
      </c>
      <c r="O386" s="461">
        <f t="shared" si="32"/>
        <v>8.2417994229580488E-2</v>
      </c>
      <c r="P386" s="461">
        <f t="shared" si="32"/>
        <v>8.2417994229580488E-2</v>
      </c>
      <c r="Q386" s="461">
        <f t="shared" si="32"/>
        <v>8.2417994229580488E-2</v>
      </c>
      <c r="R386" s="411"/>
      <c r="S386" s="411" t="s">
        <v>1046</v>
      </c>
      <c r="T386" s="411" t="s">
        <v>431</v>
      </c>
      <c r="U386" s="411" t="s">
        <v>430</v>
      </c>
      <c r="V386" s="158" t="s">
        <v>409</v>
      </c>
      <c r="W386" s="158" t="s">
        <v>415</v>
      </c>
      <c r="X386" s="158">
        <v>4</v>
      </c>
      <c r="Y386" s="158" t="s">
        <v>414</v>
      </c>
      <c r="Z386" s="158">
        <f>13+1</f>
        <v>14</v>
      </c>
      <c r="AA386" s="150" t="s">
        <v>413</v>
      </c>
      <c r="AB386" s="423">
        <v>0.25</v>
      </c>
      <c r="AC386" s="150" t="s">
        <v>412</v>
      </c>
      <c r="AD386" s="423">
        <v>0.6</v>
      </c>
      <c r="AE386" s="150" t="s">
        <v>411</v>
      </c>
      <c r="AF386" s="158">
        <v>3079</v>
      </c>
      <c r="AG386" s="158" t="s">
        <v>410</v>
      </c>
      <c r="AH386" s="423">
        <v>0.72</v>
      </c>
      <c r="AI386" s="158"/>
      <c r="AJ386" s="158"/>
      <c r="AK386" s="158"/>
      <c r="AL386" s="158"/>
      <c r="AM386" s="158"/>
      <c r="AN386" s="158"/>
      <c r="AO386" s="158"/>
      <c r="AP386" s="158"/>
      <c r="AQ386" s="158"/>
      <c r="AR386" s="158"/>
      <c r="AS386" s="158"/>
      <c r="AT386" s="158"/>
      <c r="AV386" s="413"/>
      <c r="AW386" s="413"/>
      <c r="AX386" s="414"/>
      <c r="AY386" s="415"/>
      <c r="AZ386" s="416"/>
      <c r="BA386" s="448"/>
    </row>
    <row r="387" spans="1:53">
      <c r="A387" s="5" t="str">
        <f t="shared" si="30"/>
        <v>Low Income - SF Retrofit_Rim Joist Insulation</v>
      </c>
      <c r="B387" s="407">
        <v>384</v>
      </c>
      <c r="C387" s="408" t="s">
        <v>714</v>
      </c>
      <c r="D387" s="407" t="s">
        <v>419</v>
      </c>
      <c r="E387" s="408" t="s">
        <v>418</v>
      </c>
      <c r="F387" s="408">
        <v>50</v>
      </c>
      <c r="G387" s="409">
        <v>1</v>
      </c>
      <c r="H387" s="470">
        <v>25</v>
      </c>
      <c r="I387" s="463">
        <v>25</v>
      </c>
      <c r="J387" s="408">
        <v>199</v>
      </c>
      <c r="K387" s="408">
        <v>199</v>
      </c>
      <c r="L387" s="408">
        <v>199</v>
      </c>
      <c r="M387" s="408">
        <v>199</v>
      </c>
      <c r="N387" s="394">
        <f xml:space="preserve">  (1/X387 - 1/Z387) * 1 * (1-AB387) * AF387 * 24 * AD387 / (AH387 * 100000)</f>
        <v>0.6476466666666667</v>
      </c>
      <c r="O387" s="461">
        <f t="shared" si="32"/>
        <v>0.6476466666666667</v>
      </c>
      <c r="P387" s="461">
        <f t="shared" si="32"/>
        <v>0.6476466666666667</v>
      </c>
      <c r="Q387" s="461">
        <f t="shared" si="32"/>
        <v>0.6476466666666667</v>
      </c>
      <c r="R387" s="411"/>
      <c r="S387" s="411" t="s">
        <v>1046</v>
      </c>
      <c r="T387" s="421" t="s">
        <v>852</v>
      </c>
      <c r="U387" s="411" t="s">
        <v>416</v>
      </c>
      <c r="V387" s="421" t="s">
        <v>859</v>
      </c>
      <c r="W387" s="158" t="s">
        <v>415</v>
      </c>
      <c r="X387" s="158">
        <v>1</v>
      </c>
      <c r="Y387" s="421" t="s">
        <v>860</v>
      </c>
      <c r="Z387" s="158">
        <v>3</v>
      </c>
      <c r="AA387" s="391" t="s">
        <v>861</v>
      </c>
      <c r="AB387" s="430">
        <v>0.05</v>
      </c>
      <c r="AC387" s="391" t="s">
        <v>862</v>
      </c>
      <c r="AD387" s="423">
        <v>0.6</v>
      </c>
      <c r="AE387" s="150" t="s">
        <v>411</v>
      </c>
      <c r="AF387" s="158">
        <v>5113</v>
      </c>
      <c r="AG387" s="158" t="s">
        <v>410</v>
      </c>
      <c r="AH387" s="423">
        <v>0.72</v>
      </c>
      <c r="AI387" s="158"/>
      <c r="AJ387" s="158"/>
      <c r="AK387" s="158"/>
      <c r="AL387" s="158"/>
      <c r="AM387" s="158"/>
      <c r="AN387" s="158"/>
      <c r="AO387" s="158"/>
      <c r="AP387" s="158"/>
      <c r="AQ387" s="158"/>
      <c r="AR387" s="158"/>
      <c r="AS387" s="158"/>
      <c r="AT387" s="158"/>
      <c r="AV387" s="413"/>
      <c r="AW387" s="413"/>
      <c r="AX387" s="414"/>
      <c r="AY387" s="415"/>
      <c r="AZ387" s="416"/>
      <c r="BA387" s="448"/>
    </row>
    <row r="388" spans="1:53">
      <c r="A388" s="5" t="str">
        <f t="shared" si="30"/>
        <v>Low Income - SF Retrofit_Water Heater - Storage 0.67 EF</v>
      </c>
      <c r="B388" s="407">
        <v>385</v>
      </c>
      <c r="C388" s="408" t="s">
        <v>714</v>
      </c>
      <c r="D388" s="407" t="s">
        <v>387</v>
      </c>
      <c r="E388" s="408" t="s">
        <v>150</v>
      </c>
      <c r="F388" s="408">
        <v>1</v>
      </c>
      <c r="G388" s="409">
        <v>1</v>
      </c>
      <c r="H388" s="470">
        <v>13</v>
      </c>
      <c r="I388" s="463">
        <v>13</v>
      </c>
      <c r="J388" s="408">
        <v>50</v>
      </c>
      <c r="K388" s="408">
        <v>50</v>
      </c>
      <c r="L388" s="408">
        <v>50</v>
      </c>
      <c r="M388" s="408">
        <v>50</v>
      </c>
      <c r="N388" s="393">
        <f>(((1/X388)-(1/Z388))*(AB388*AD388*365.25*AF388*(AH388-AJ388)*1))/100000</f>
        <v>15.645447674402874</v>
      </c>
      <c r="O388" s="461">
        <f t="shared" si="32"/>
        <v>15.645447674402874</v>
      </c>
      <c r="P388" s="461">
        <f t="shared" si="32"/>
        <v>15.645447674402874</v>
      </c>
      <c r="Q388" s="461">
        <f t="shared" si="32"/>
        <v>15.645447674402874</v>
      </c>
      <c r="R388" s="411"/>
      <c r="S388" s="411" t="s">
        <v>1046</v>
      </c>
      <c r="T388" s="411" t="s">
        <v>386</v>
      </c>
      <c r="U388" s="411" t="s">
        <v>385</v>
      </c>
      <c r="V388" s="391" t="s">
        <v>848</v>
      </c>
      <c r="W388" s="421" t="s">
        <v>849</v>
      </c>
      <c r="X388" s="451">
        <f xml:space="preserve"> 0.6483 - ( 0.0017 * AL388 )</f>
        <v>0.58030000000000004</v>
      </c>
      <c r="Y388" s="421" t="s">
        <v>850</v>
      </c>
      <c r="Z388" s="421">
        <v>0.64</v>
      </c>
      <c r="AA388" s="150" t="s">
        <v>256</v>
      </c>
      <c r="AB388" s="158">
        <v>17.600000000000001</v>
      </c>
      <c r="AC388" s="150" t="s">
        <v>384</v>
      </c>
      <c r="AD388" s="158">
        <v>2.56</v>
      </c>
      <c r="AE388" s="158" t="s">
        <v>383</v>
      </c>
      <c r="AF388" s="158">
        <v>8.33</v>
      </c>
      <c r="AG388" s="158" t="s">
        <v>257</v>
      </c>
      <c r="AH388" s="158">
        <v>125</v>
      </c>
      <c r="AI388" s="158" t="s">
        <v>250</v>
      </c>
      <c r="AJ388" s="158">
        <v>54</v>
      </c>
      <c r="AK388" s="158" t="s">
        <v>382</v>
      </c>
      <c r="AL388" s="158">
        <v>40</v>
      </c>
      <c r="AM388" s="158"/>
      <c r="AN388" s="158"/>
      <c r="AO388" s="158"/>
      <c r="AP388" s="158"/>
      <c r="AQ388" s="158"/>
      <c r="AR388" s="158"/>
      <c r="AS388" s="158"/>
      <c r="AT388" s="158"/>
      <c r="AV388" s="413"/>
      <c r="AW388" s="413"/>
      <c r="AX388" s="414"/>
      <c r="AY388" s="415"/>
      <c r="AZ388" s="416"/>
      <c r="BA388" s="448"/>
    </row>
    <row r="389" spans="1:53">
      <c r="A389" s="5" t="str">
        <f t="shared" si="30"/>
        <v>Low Income - SF Retrofit_Boiler ≥90% AFUE, &lt;300MBh</v>
      </c>
      <c r="B389" s="407">
        <v>386</v>
      </c>
      <c r="C389" s="408" t="s">
        <v>714</v>
      </c>
      <c r="D389" s="407" t="s">
        <v>730</v>
      </c>
      <c r="E389" s="408" t="s">
        <v>150</v>
      </c>
      <c r="F389" s="408">
        <v>1</v>
      </c>
      <c r="G389" s="409">
        <v>1</v>
      </c>
      <c r="H389" s="470">
        <v>25</v>
      </c>
      <c r="I389" s="463">
        <v>25</v>
      </c>
      <c r="J389" s="408">
        <v>50</v>
      </c>
      <c r="K389" s="408">
        <v>50</v>
      </c>
      <c r="L389" s="408">
        <v>50</v>
      </c>
      <c r="M389" s="408">
        <v>50</v>
      </c>
      <c r="N389" s="393">
        <f xml:space="preserve"> (X389 * Z389 * (AB389 / AD389 -1)) / 100000</f>
        <v>95.219512195122036</v>
      </c>
      <c r="O389" s="461">
        <f t="shared" si="32"/>
        <v>95.219512195122036</v>
      </c>
      <c r="P389" s="461">
        <f t="shared" si="32"/>
        <v>95.219512195122036</v>
      </c>
      <c r="Q389" s="461">
        <f t="shared" si="32"/>
        <v>95.219512195122036</v>
      </c>
      <c r="R389" s="411"/>
      <c r="S389" s="411" t="s">
        <v>1046</v>
      </c>
      <c r="T389" s="411" t="s">
        <v>405</v>
      </c>
      <c r="U389" s="411" t="s">
        <v>404</v>
      </c>
      <c r="V389" s="421" t="s">
        <v>843</v>
      </c>
      <c r="W389" s="421" t="s">
        <v>303</v>
      </c>
      <c r="X389" s="426">
        <v>976</v>
      </c>
      <c r="Y389" s="421" t="s">
        <v>844</v>
      </c>
      <c r="Z389" s="427">
        <v>100000</v>
      </c>
      <c r="AA389" s="150" t="s">
        <v>299</v>
      </c>
      <c r="AB389" s="423">
        <v>0.9</v>
      </c>
      <c r="AC389" s="150" t="s">
        <v>390</v>
      </c>
      <c r="AD389" s="425">
        <v>0.82</v>
      </c>
      <c r="AE389" s="150"/>
      <c r="AF389" s="425"/>
      <c r="AG389" s="158"/>
      <c r="AH389" s="158"/>
      <c r="AI389" s="158"/>
      <c r="AJ389" s="158"/>
      <c r="AK389" s="158"/>
      <c r="AL389" s="158"/>
      <c r="AM389" s="158"/>
      <c r="AN389" s="158"/>
      <c r="AO389" s="158"/>
      <c r="AP389" s="158"/>
      <c r="AQ389" s="158"/>
      <c r="AR389" s="158"/>
      <c r="AS389" s="158"/>
      <c r="AT389" s="158"/>
      <c r="AV389" s="413"/>
      <c r="AW389" s="413"/>
      <c r="AX389" s="414"/>
      <c r="AY389" s="415"/>
      <c r="AZ389" s="416"/>
      <c r="BA389" s="448"/>
    </row>
    <row r="390" spans="1:53" ht="12.75" customHeight="1">
      <c r="A390" s="5" t="str">
        <f t="shared" si="30"/>
        <v>Low Income - SF Retrofit_Furnace &gt;95% AFUE</v>
      </c>
      <c r="B390" s="407">
        <v>387</v>
      </c>
      <c r="C390" s="408" t="s">
        <v>714</v>
      </c>
      <c r="D390" s="407" t="s">
        <v>1063</v>
      </c>
      <c r="E390" s="408" t="s">
        <v>150</v>
      </c>
      <c r="F390" s="408">
        <v>1</v>
      </c>
      <c r="G390" s="409">
        <v>1</v>
      </c>
      <c r="H390" s="470">
        <v>20</v>
      </c>
      <c r="I390" s="463">
        <v>20</v>
      </c>
      <c r="J390" s="408">
        <v>50</v>
      </c>
      <c r="K390" s="408">
        <v>50</v>
      </c>
      <c r="L390" s="408">
        <v>50</v>
      </c>
      <c r="M390" s="408">
        <v>50</v>
      </c>
      <c r="N390" s="393">
        <f xml:space="preserve"> ((X390 * Z390)/(1-AH390) * (((AD390 * (1-AH390)) / (AB390 * (1-AF390))) - 1)) / 100000</f>
        <v>156.41025641025624</v>
      </c>
      <c r="O390" s="461">
        <f t="shared" ref="O390:Q409" si="34">N390</f>
        <v>156.41025641025624</v>
      </c>
      <c r="P390" s="461">
        <f t="shared" si="34"/>
        <v>156.41025641025624</v>
      </c>
      <c r="Q390" s="461">
        <f t="shared" si="34"/>
        <v>156.41025641025624</v>
      </c>
      <c r="R390" s="411"/>
      <c r="S390" s="411" t="s">
        <v>1046</v>
      </c>
      <c r="T390" s="411" t="s">
        <v>401</v>
      </c>
      <c r="U390" s="411" t="s">
        <v>400</v>
      </c>
      <c r="V390" s="421" t="s">
        <v>845</v>
      </c>
      <c r="W390" s="421" t="s">
        <v>303</v>
      </c>
      <c r="X390" s="426">
        <v>976</v>
      </c>
      <c r="Y390" s="421" t="s">
        <v>844</v>
      </c>
      <c r="Z390" s="428">
        <v>80000</v>
      </c>
      <c r="AA390" s="150" t="s">
        <v>390</v>
      </c>
      <c r="AB390" s="423">
        <v>0.8</v>
      </c>
      <c r="AC390" s="150" t="s">
        <v>299</v>
      </c>
      <c r="AD390" s="423">
        <v>0.95</v>
      </c>
      <c r="AE390" s="157" t="s">
        <v>398</v>
      </c>
      <c r="AF390" s="425">
        <v>6.4000000000000001E-2</v>
      </c>
      <c r="AG390" s="158" t="s">
        <v>397</v>
      </c>
      <c r="AH390" s="425">
        <v>6.4000000000000001E-2</v>
      </c>
      <c r="AI390" s="158"/>
      <c r="AJ390" s="158"/>
      <c r="AK390" s="158"/>
      <c r="AL390" s="158"/>
      <c r="AM390" s="158"/>
      <c r="AN390" s="158"/>
      <c r="AO390" s="158"/>
      <c r="AP390" s="158"/>
      <c r="AQ390" s="158"/>
      <c r="AR390" s="158"/>
      <c r="AS390" s="158"/>
      <c r="AT390" s="158"/>
      <c r="AV390" s="413"/>
      <c r="AW390" s="413"/>
      <c r="AX390" s="414"/>
      <c r="AY390" s="415"/>
      <c r="AZ390" s="416"/>
      <c r="BA390" s="448"/>
    </row>
    <row r="391" spans="1:53">
      <c r="A391" s="5" t="str">
        <f t="shared" ref="A391:A421" si="35">C391&amp;"_"&amp;D391</f>
        <v>Low Income - SF Retrofit_Furnace Clean &amp; Tune</v>
      </c>
      <c r="B391" s="407">
        <v>388</v>
      </c>
      <c r="C391" s="408" t="s">
        <v>714</v>
      </c>
      <c r="D391" s="407" t="s">
        <v>395</v>
      </c>
      <c r="E391" s="408" t="s">
        <v>150</v>
      </c>
      <c r="F391" s="408">
        <v>1</v>
      </c>
      <c r="G391" s="409">
        <v>1</v>
      </c>
      <c r="H391" s="470">
        <v>2</v>
      </c>
      <c r="I391" s="463">
        <v>2</v>
      </c>
      <c r="J391" s="408">
        <v>995</v>
      </c>
      <c r="K391" s="408">
        <v>995</v>
      </c>
      <c r="L391" s="408">
        <v>995</v>
      </c>
      <c r="M391" s="408">
        <v>995</v>
      </c>
      <c r="N391" s="208">
        <f>Z391*X391*(1/(AB391*(1-AD391))-1/(AB391*(1-AF391)))</f>
        <v>71.282051282051214</v>
      </c>
      <c r="O391" s="461">
        <f t="shared" si="34"/>
        <v>71.282051282051214</v>
      </c>
      <c r="P391" s="461">
        <f t="shared" si="34"/>
        <v>71.282051282051214</v>
      </c>
      <c r="Q391" s="461">
        <f t="shared" si="34"/>
        <v>71.282051282051214</v>
      </c>
      <c r="R391" s="411"/>
      <c r="S391" s="411" t="s">
        <v>1046</v>
      </c>
      <c r="T391" s="411" t="s">
        <v>394</v>
      </c>
      <c r="U391" s="411" t="s">
        <v>393</v>
      </c>
      <c r="V391" s="158"/>
      <c r="W391" s="158" t="s">
        <v>392</v>
      </c>
      <c r="X391" s="423">
        <v>1</v>
      </c>
      <c r="Y391" s="158" t="s">
        <v>391</v>
      </c>
      <c r="Z391" s="158">
        <v>834</v>
      </c>
      <c r="AA391" s="150" t="s">
        <v>390</v>
      </c>
      <c r="AB391" s="423">
        <v>0.8</v>
      </c>
      <c r="AC391" s="150" t="s">
        <v>389</v>
      </c>
      <c r="AD391" s="159">
        <v>6.4000000000000001E-2</v>
      </c>
      <c r="AE391" s="150" t="s">
        <v>388</v>
      </c>
      <c r="AF391" s="160">
        <v>0</v>
      </c>
      <c r="AG391" s="150"/>
      <c r="AH391" s="150"/>
      <c r="AI391" s="150"/>
      <c r="AJ391" s="150"/>
      <c r="AK391" s="150"/>
      <c r="AL391" s="150"/>
      <c r="AM391" s="150"/>
      <c r="AN391" s="150"/>
      <c r="AO391" s="158"/>
      <c r="AP391" s="158"/>
      <c r="AQ391" s="158"/>
      <c r="AR391" s="158"/>
      <c r="AS391" s="158"/>
      <c r="AT391" s="158"/>
      <c r="AV391" s="413"/>
      <c r="AW391" s="413"/>
      <c r="AX391" s="414"/>
      <c r="AY391" s="415"/>
      <c r="AZ391" s="416"/>
      <c r="BA391" s="448"/>
    </row>
    <row r="392" spans="1:53">
      <c r="A392" s="5" t="str">
        <f t="shared" si="35"/>
        <v>Low Income - SF Retrofit_Weatherstripping/Door Sweeps</v>
      </c>
      <c r="B392" s="407">
        <v>389</v>
      </c>
      <c r="C392" s="408" t="s">
        <v>714</v>
      </c>
      <c r="D392" s="407" t="s">
        <v>677</v>
      </c>
      <c r="E392" s="408" t="s">
        <v>691</v>
      </c>
      <c r="F392" s="408">
        <v>3</v>
      </c>
      <c r="G392" s="409">
        <v>1</v>
      </c>
      <c r="H392" s="470">
        <v>15</v>
      </c>
      <c r="I392" s="463">
        <v>15</v>
      </c>
      <c r="J392" s="408">
        <v>995</v>
      </c>
      <c r="K392" s="408">
        <v>995</v>
      </c>
      <c r="L392" s="408">
        <v>995</v>
      </c>
      <c r="M392" s="408">
        <v>995</v>
      </c>
      <c r="N392" s="208">
        <v>98</v>
      </c>
      <c r="O392" s="461">
        <f t="shared" si="34"/>
        <v>98</v>
      </c>
      <c r="P392" s="461">
        <f t="shared" si="34"/>
        <v>98</v>
      </c>
      <c r="Q392" s="461">
        <f t="shared" si="34"/>
        <v>98</v>
      </c>
      <c r="R392" s="411"/>
      <c r="S392" s="411" t="s">
        <v>1046</v>
      </c>
      <c r="T392" s="452" t="s">
        <v>438</v>
      </c>
      <c r="U392" s="407" t="s">
        <v>437</v>
      </c>
      <c r="V392" s="412"/>
      <c r="W392" s="161"/>
      <c r="X392" s="161"/>
      <c r="Y392" s="412"/>
      <c r="Z392" s="412"/>
      <c r="AA392" s="162"/>
      <c r="AB392" s="412"/>
      <c r="AC392" s="149"/>
      <c r="AD392" s="412"/>
      <c r="AE392" s="149"/>
      <c r="AF392" s="412"/>
      <c r="AG392" s="412"/>
      <c r="AH392" s="412"/>
      <c r="AI392" s="412"/>
      <c r="AJ392" s="412"/>
      <c r="AK392" s="412"/>
      <c r="AL392" s="412"/>
      <c r="AM392" s="412"/>
      <c r="AN392" s="412"/>
      <c r="AO392" s="412"/>
      <c r="AP392" s="412"/>
      <c r="AQ392" s="412"/>
      <c r="AR392" s="412"/>
      <c r="AS392" s="412"/>
      <c r="AT392" s="412"/>
      <c r="AV392" s="413"/>
      <c r="AW392" s="413"/>
      <c r="AX392" s="414"/>
      <c r="AY392" s="415"/>
      <c r="AZ392" s="416"/>
      <c r="BA392" s="448"/>
    </row>
    <row r="393" spans="1:53">
      <c r="A393" s="5" t="str">
        <f t="shared" si="35"/>
        <v>Low Income - MF Retrofit_Bathroom Aerator</v>
      </c>
      <c r="B393" s="407">
        <v>390</v>
      </c>
      <c r="C393" s="408" t="s">
        <v>715</v>
      </c>
      <c r="D393" s="408" t="s">
        <v>733</v>
      </c>
      <c r="E393" s="408" t="s">
        <v>150</v>
      </c>
      <c r="F393" s="408">
        <v>1</v>
      </c>
      <c r="G393" s="409">
        <v>1</v>
      </c>
      <c r="H393" s="470">
        <v>9</v>
      </c>
      <c r="I393" s="467">
        <v>10</v>
      </c>
      <c r="J393" s="408">
        <v>3376</v>
      </c>
      <c r="K393" s="408">
        <v>3376</v>
      </c>
      <c r="L393" s="408">
        <v>3376</v>
      </c>
      <c r="M393" s="408">
        <v>3376</v>
      </c>
      <c r="N393" s="461">
        <f>100%*(((X393*AB393)-(Z393*AB393))*AL393*365.25*AD393/AF393)*AH393*AJ393</f>
        <v>1.6368815404525978</v>
      </c>
      <c r="O393" s="461">
        <f t="shared" si="34"/>
        <v>1.6368815404525978</v>
      </c>
      <c r="P393" s="461">
        <f t="shared" si="34"/>
        <v>1.6368815404525978</v>
      </c>
      <c r="Q393" s="461">
        <f t="shared" si="34"/>
        <v>1.6368815404525978</v>
      </c>
      <c r="R393" s="411"/>
      <c r="S393" s="411" t="s">
        <v>1046</v>
      </c>
      <c r="T393" s="411" t="s">
        <v>470</v>
      </c>
      <c r="U393" s="411" t="s">
        <v>469</v>
      </c>
      <c r="V393" s="412" t="s">
        <v>467</v>
      </c>
      <c r="W393" s="417" t="s">
        <v>359</v>
      </c>
      <c r="X393" s="417">
        <v>1.53</v>
      </c>
      <c r="Y393" s="412" t="s">
        <v>358</v>
      </c>
      <c r="Z393" s="412">
        <v>0.94</v>
      </c>
      <c r="AA393" s="149" t="s">
        <v>357</v>
      </c>
      <c r="AB393" s="412">
        <v>1.6</v>
      </c>
      <c r="AC393" s="149" t="s">
        <v>468</v>
      </c>
      <c r="AD393" s="418">
        <v>0.9</v>
      </c>
      <c r="AE393" s="149" t="s">
        <v>364</v>
      </c>
      <c r="AF393" s="412">
        <v>1.5</v>
      </c>
      <c r="AG393" s="412" t="s">
        <v>355</v>
      </c>
      <c r="AH393" s="419">
        <f>8.33*1*(86-54.1)/(AN393*100000)</f>
        <v>3.9660746268656713E-3</v>
      </c>
      <c r="AI393" s="412" t="s">
        <v>354</v>
      </c>
      <c r="AJ393" s="412">
        <v>0.95</v>
      </c>
      <c r="AK393" s="412" t="s">
        <v>462</v>
      </c>
      <c r="AL393" s="412">
        <v>2.1</v>
      </c>
      <c r="AM393" s="412" t="s">
        <v>461</v>
      </c>
      <c r="AN393" s="418">
        <v>0.67</v>
      </c>
      <c r="AO393" s="158"/>
      <c r="AP393" s="158"/>
      <c r="AQ393" s="158"/>
      <c r="AR393" s="158"/>
      <c r="AS393" s="158"/>
      <c r="AT393" s="158"/>
      <c r="AV393" s="413"/>
      <c r="AW393" s="413"/>
      <c r="AX393" s="414"/>
      <c r="AY393" s="415"/>
      <c r="AZ393" s="416"/>
      <c r="BA393" s="448"/>
    </row>
    <row r="394" spans="1:53">
      <c r="A394" s="5" t="str">
        <f t="shared" si="35"/>
        <v>Low Income - MF Retrofit_Kitchen Aerator</v>
      </c>
      <c r="B394" s="407">
        <v>391</v>
      </c>
      <c r="C394" s="408" t="s">
        <v>715</v>
      </c>
      <c r="D394" s="408" t="s">
        <v>732</v>
      </c>
      <c r="E394" s="408" t="s">
        <v>150</v>
      </c>
      <c r="F394" s="408">
        <v>1</v>
      </c>
      <c r="G394" s="409">
        <v>1</v>
      </c>
      <c r="H394" s="470">
        <v>9</v>
      </c>
      <c r="I394" s="467">
        <v>10</v>
      </c>
      <c r="J394" s="408">
        <v>2630</v>
      </c>
      <c r="K394" s="408">
        <v>2630</v>
      </c>
      <c r="L394" s="408">
        <v>2630</v>
      </c>
      <c r="M394" s="408">
        <v>2630</v>
      </c>
      <c r="N394" s="461">
        <f>100%*(((X394*AB394)-(Z394*AB394))*AL394*365.25*AD394/AF394)*AH394*AJ394</f>
        <v>7.8612856931203403</v>
      </c>
      <c r="O394" s="461">
        <f t="shared" si="34"/>
        <v>7.8612856931203403</v>
      </c>
      <c r="P394" s="461">
        <f t="shared" si="34"/>
        <v>7.8612856931203403</v>
      </c>
      <c r="Q394" s="461">
        <f t="shared" si="34"/>
        <v>7.8612856931203403</v>
      </c>
      <c r="R394" s="411"/>
      <c r="S394" s="411" t="s">
        <v>1046</v>
      </c>
      <c r="T394" s="411" t="s">
        <v>470</v>
      </c>
      <c r="U394" s="411" t="s">
        <v>469</v>
      </c>
      <c r="V394" s="412" t="s">
        <v>467</v>
      </c>
      <c r="W394" s="417" t="s">
        <v>359</v>
      </c>
      <c r="X394" s="417">
        <v>1.63</v>
      </c>
      <c r="Y394" s="412" t="s">
        <v>358</v>
      </c>
      <c r="Z394" s="412">
        <v>0.94</v>
      </c>
      <c r="AA394" s="149" t="s">
        <v>357</v>
      </c>
      <c r="AB394" s="412">
        <v>4.5</v>
      </c>
      <c r="AC394" s="149" t="s">
        <v>468</v>
      </c>
      <c r="AD394" s="418">
        <v>0.75</v>
      </c>
      <c r="AE394" s="149" t="s">
        <v>364</v>
      </c>
      <c r="AF394" s="412">
        <v>1</v>
      </c>
      <c r="AG394" s="412" t="s">
        <v>355</v>
      </c>
      <c r="AH394" s="419">
        <f>8.33*1*(93-54.1)/(AN394*100000)</f>
        <v>4.836373134328358E-3</v>
      </c>
      <c r="AI394" s="412" t="s">
        <v>354</v>
      </c>
      <c r="AJ394" s="412">
        <v>0.91</v>
      </c>
      <c r="AK394" s="412" t="s">
        <v>462</v>
      </c>
      <c r="AL394" s="412">
        <v>2.1</v>
      </c>
      <c r="AM394" s="412" t="s">
        <v>461</v>
      </c>
      <c r="AN394" s="418">
        <v>0.67</v>
      </c>
      <c r="AO394" s="158"/>
      <c r="AP394" s="158"/>
      <c r="AQ394" s="158"/>
      <c r="AR394" s="158"/>
      <c r="AS394" s="158"/>
      <c r="AT394" s="158"/>
      <c r="AV394" s="413"/>
      <c r="AW394" s="413"/>
      <c r="AX394" s="414"/>
      <c r="AY394" s="415"/>
      <c r="AZ394" s="416"/>
      <c r="BA394" s="448"/>
    </row>
    <row r="395" spans="1:53">
      <c r="A395" s="5" t="str">
        <f t="shared" si="35"/>
        <v>Low Income - MF Retrofit_Showerhead</v>
      </c>
      <c r="B395" s="407">
        <v>392</v>
      </c>
      <c r="C395" s="408" t="s">
        <v>715</v>
      </c>
      <c r="D395" s="408" t="s">
        <v>731</v>
      </c>
      <c r="E395" s="408" t="s">
        <v>150</v>
      </c>
      <c r="F395" s="408">
        <v>1</v>
      </c>
      <c r="G395" s="409">
        <v>1</v>
      </c>
      <c r="H395" s="470">
        <v>10</v>
      </c>
      <c r="I395" s="463">
        <v>10</v>
      </c>
      <c r="J395" s="408">
        <v>3179</v>
      </c>
      <c r="K395" s="408">
        <v>3179</v>
      </c>
      <c r="L395" s="408">
        <v>3179</v>
      </c>
      <c r="M395" s="408">
        <v>3179</v>
      </c>
      <c r="N395" s="461">
        <f>100%*((X395*AB395-Z395*AB395)*AL395*AF395*365.25/AH395)*AD395*AJ395</f>
        <v>11.319060638970004</v>
      </c>
      <c r="O395" s="461">
        <f t="shared" si="34"/>
        <v>11.319060638970004</v>
      </c>
      <c r="P395" s="461">
        <f t="shared" si="34"/>
        <v>11.319060638970004</v>
      </c>
      <c r="Q395" s="461">
        <f t="shared" si="34"/>
        <v>11.319060638970004</v>
      </c>
      <c r="R395" s="411"/>
      <c r="S395" s="411" t="s">
        <v>1046</v>
      </c>
      <c r="T395" s="411" t="s">
        <v>466</v>
      </c>
      <c r="U395" s="411" t="s">
        <v>465</v>
      </c>
      <c r="V395" s="412" t="s">
        <v>460</v>
      </c>
      <c r="W395" s="417" t="s">
        <v>359</v>
      </c>
      <c r="X395" s="417">
        <v>2.2400000000000002</v>
      </c>
      <c r="Y395" s="412" t="s">
        <v>358</v>
      </c>
      <c r="Z395" s="412">
        <v>1.5</v>
      </c>
      <c r="AA395" s="149" t="s">
        <v>357</v>
      </c>
      <c r="AB395" s="412">
        <v>7.8</v>
      </c>
      <c r="AC395" s="149" t="s">
        <v>355</v>
      </c>
      <c r="AD395" s="419">
        <f>8.33*1*(101-54.1)/(AN395*100000)</f>
        <v>5.8309999999999994E-3</v>
      </c>
      <c r="AE395" s="149" t="s">
        <v>464</v>
      </c>
      <c r="AF395" s="412">
        <v>0.6</v>
      </c>
      <c r="AG395" s="412" t="s">
        <v>463</v>
      </c>
      <c r="AH395" s="412">
        <v>1.3</v>
      </c>
      <c r="AI395" s="412" t="s">
        <v>354</v>
      </c>
      <c r="AJ395" s="412">
        <v>0.95</v>
      </c>
      <c r="AK395" s="412" t="s">
        <v>462</v>
      </c>
      <c r="AL395" s="412">
        <v>2.1</v>
      </c>
      <c r="AM395" s="412" t="s">
        <v>461</v>
      </c>
      <c r="AN395" s="418">
        <v>0.67</v>
      </c>
      <c r="AO395" s="158"/>
      <c r="AP395" s="158"/>
      <c r="AQ395" s="158"/>
      <c r="AR395" s="158"/>
      <c r="AS395" s="158"/>
      <c r="AT395" s="158"/>
      <c r="AV395" s="413"/>
      <c r="AW395" s="413"/>
      <c r="AX395" s="414"/>
      <c r="AY395" s="415"/>
      <c r="AZ395" s="416"/>
      <c r="BA395" s="448"/>
    </row>
    <row r="396" spans="1:53">
      <c r="A396" s="5" t="str">
        <f t="shared" si="35"/>
        <v>Low Income - MF Retrofit_Pipe Insulation (DHW)</v>
      </c>
      <c r="B396" s="407">
        <v>393</v>
      </c>
      <c r="C396" s="408" t="s">
        <v>715</v>
      </c>
      <c r="D396" s="408" t="s">
        <v>1056</v>
      </c>
      <c r="E396" s="408" t="s">
        <v>210</v>
      </c>
      <c r="F396" s="408">
        <v>3</v>
      </c>
      <c r="G396" s="409">
        <v>1</v>
      </c>
      <c r="H396" s="470">
        <v>15</v>
      </c>
      <c r="I396" s="463">
        <v>15</v>
      </c>
      <c r="J396" s="408">
        <v>2002</v>
      </c>
      <c r="K396" s="408">
        <v>2002</v>
      </c>
      <c r="L396" s="408">
        <v>2002</v>
      </c>
      <c r="M396" s="408">
        <v>2002</v>
      </c>
      <c r="N396" s="394">
        <f xml:space="preserve"> ((X396 / Z396 - AB396 / AD396) * AF396 * AH396 * 8766) / AJ396 / 100000</f>
        <v>0.77039653846153844</v>
      </c>
      <c r="O396" s="462">
        <f t="shared" si="34"/>
        <v>0.77039653846153844</v>
      </c>
      <c r="P396" s="462">
        <f t="shared" si="34"/>
        <v>0.77039653846153844</v>
      </c>
      <c r="Q396" s="462">
        <f t="shared" si="34"/>
        <v>0.77039653846153844</v>
      </c>
      <c r="R396" s="411"/>
      <c r="S396" s="411" t="s">
        <v>1046</v>
      </c>
      <c r="T396" s="411" t="s">
        <v>459</v>
      </c>
      <c r="U396" s="411" t="s">
        <v>458</v>
      </c>
      <c r="V396" s="421" t="s">
        <v>846</v>
      </c>
      <c r="W396" s="150" t="s">
        <v>451</v>
      </c>
      <c r="X396" s="158">
        <v>0.19600000000000001</v>
      </c>
      <c r="Y396" s="158" t="s">
        <v>454</v>
      </c>
      <c r="Z396" s="158">
        <v>1</v>
      </c>
      <c r="AA396" s="391" t="s">
        <v>847</v>
      </c>
      <c r="AB396" s="421">
        <v>0.32700000000000001</v>
      </c>
      <c r="AC396" s="158" t="s">
        <v>453</v>
      </c>
      <c r="AD396" s="158">
        <f>(1+3)</f>
        <v>4</v>
      </c>
      <c r="AE396" s="150" t="s">
        <v>260</v>
      </c>
      <c r="AF396" s="158">
        <v>1</v>
      </c>
      <c r="AG396" s="150" t="s">
        <v>304</v>
      </c>
      <c r="AH396" s="158">
        <v>60</v>
      </c>
      <c r="AI396" s="158" t="s">
        <v>457</v>
      </c>
      <c r="AJ396" s="158">
        <v>0.78</v>
      </c>
      <c r="AK396" s="158"/>
      <c r="AL396" s="158"/>
      <c r="AM396" s="158"/>
      <c r="AN396" s="158"/>
      <c r="AO396" s="158"/>
      <c r="AP396" s="158"/>
      <c r="AQ396" s="158"/>
      <c r="AR396" s="158"/>
      <c r="AS396" s="158"/>
      <c r="AT396" s="158"/>
      <c r="AV396" s="413"/>
      <c r="AW396" s="413"/>
      <c r="AX396" s="414"/>
      <c r="AY396" s="416"/>
      <c r="AZ396" s="416"/>
      <c r="BA396" s="448"/>
    </row>
    <row r="397" spans="1:53">
      <c r="A397" s="5" t="str">
        <f t="shared" si="35"/>
        <v>Low Income - MF Retrofit_Programmable Thermostat - Furnace</v>
      </c>
      <c r="B397" s="407">
        <v>394</v>
      </c>
      <c r="C397" s="408" t="s">
        <v>715</v>
      </c>
      <c r="D397" s="407" t="s">
        <v>702</v>
      </c>
      <c r="E397" s="408" t="s">
        <v>150</v>
      </c>
      <c r="F397" s="408">
        <v>1</v>
      </c>
      <c r="G397" s="409">
        <v>1</v>
      </c>
      <c r="H397" s="470">
        <v>5</v>
      </c>
      <c r="I397" s="467">
        <v>8</v>
      </c>
      <c r="J397" s="408">
        <v>510</v>
      </c>
      <c r="K397" s="408">
        <v>510</v>
      </c>
      <c r="L397" s="408">
        <v>510</v>
      </c>
      <c r="M397" s="408">
        <v>510</v>
      </c>
      <c r="N397" s="354">
        <f t="shared" ref="N397:N402" si="36">X397*Z397*AB397*AD397</f>
        <v>40.5015</v>
      </c>
      <c r="O397" s="461">
        <f t="shared" si="34"/>
        <v>40.5015</v>
      </c>
      <c r="P397" s="461">
        <f t="shared" si="34"/>
        <v>40.5015</v>
      </c>
      <c r="Q397" s="461">
        <f t="shared" si="34"/>
        <v>40.5015</v>
      </c>
      <c r="R397" s="411"/>
      <c r="S397" s="411" t="s">
        <v>1046</v>
      </c>
      <c r="T397" s="411" t="s">
        <v>447</v>
      </c>
      <c r="U397" s="411" t="s">
        <v>446</v>
      </c>
      <c r="V397" s="412" t="s">
        <v>441</v>
      </c>
      <c r="W397" s="151" t="s">
        <v>445</v>
      </c>
      <c r="X397" s="152">
        <v>1005</v>
      </c>
      <c r="Y397" s="153" t="s">
        <v>444</v>
      </c>
      <c r="Z397" s="154">
        <v>6.2E-2</v>
      </c>
      <c r="AA397" s="149" t="s">
        <v>399</v>
      </c>
      <c r="AB397" s="155">
        <v>0.65</v>
      </c>
      <c r="AC397" s="149" t="s">
        <v>443</v>
      </c>
      <c r="AD397" s="155">
        <v>1</v>
      </c>
      <c r="AE397" s="149" t="s">
        <v>442</v>
      </c>
      <c r="AF397" s="156">
        <v>3.1399999999999997E-2</v>
      </c>
      <c r="AG397" s="158"/>
      <c r="AH397" s="158"/>
      <c r="AI397" s="158"/>
      <c r="AJ397" s="158"/>
      <c r="AK397" s="158"/>
      <c r="AL397" s="158"/>
      <c r="AM397" s="158"/>
      <c r="AN397" s="158"/>
      <c r="AO397" s="158"/>
      <c r="AP397" s="158"/>
      <c r="AQ397" s="158"/>
      <c r="AR397" s="158"/>
      <c r="AS397" s="158"/>
      <c r="AT397" s="158"/>
      <c r="AV397" s="413"/>
      <c r="AW397" s="413"/>
      <c r="AX397" s="414"/>
      <c r="AY397" s="415"/>
      <c r="AZ397" s="416"/>
      <c r="BA397" s="448"/>
    </row>
    <row r="398" spans="1:53">
      <c r="A398" s="5" t="str">
        <f t="shared" si="35"/>
        <v>Low Income - MF Retrofit_Programmable Thermostat - Boiler</v>
      </c>
      <c r="B398" s="407">
        <v>395</v>
      </c>
      <c r="C398" s="408" t="s">
        <v>715</v>
      </c>
      <c r="D398" s="407" t="s">
        <v>1057</v>
      </c>
      <c r="E398" s="408" t="s">
        <v>150</v>
      </c>
      <c r="F398" s="408">
        <v>1</v>
      </c>
      <c r="G398" s="409">
        <v>1</v>
      </c>
      <c r="H398" s="470">
        <v>5</v>
      </c>
      <c r="I398" s="467">
        <v>8</v>
      </c>
      <c r="J398" s="408">
        <v>157</v>
      </c>
      <c r="K398" s="408">
        <v>157</v>
      </c>
      <c r="L398" s="408">
        <v>157</v>
      </c>
      <c r="M398" s="408">
        <v>157</v>
      </c>
      <c r="N398" s="354">
        <f t="shared" si="36"/>
        <v>49.085400000000007</v>
      </c>
      <c r="O398" s="461">
        <f t="shared" si="34"/>
        <v>49.085400000000007</v>
      </c>
      <c r="P398" s="461">
        <f t="shared" si="34"/>
        <v>49.085400000000007</v>
      </c>
      <c r="Q398" s="461">
        <f t="shared" si="34"/>
        <v>49.085400000000007</v>
      </c>
      <c r="R398" s="411"/>
      <c r="S398" s="411" t="s">
        <v>1046</v>
      </c>
      <c r="T398" s="411" t="s">
        <v>447</v>
      </c>
      <c r="U398" s="411" t="s">
        <v>446</v>
      </c>
      <c r="V398" s="412" t="s">
        <v>441</v>
      </c>
      <c r="W398" s="151" t="s">
        <v>445</v>
      </c>
      <c r="X398" s="152">
        <v>1218</v>
      </c>
      <c r="Y398" s="153" t="s">
        <v>444</v>
      </c>
      <c r="Z398" s="154">
        <v>6.2E-2</v>
      </c>
      <c r="AA398" s="149" t="s">
        <v>399</v>
      </c>
      <c r="AB398" s="155">
        <v>0.65</v>
      </c>
      <c r="AC398" s="149" t="s">
        <v>443</v>
      </c>
      <c r="AD398" s="155">
        <v>1</v>
      </c>
      <c r="AE398" s="149" t="s">
        <v>442</v>
      </c>
      <c r="AF398" s="156">
        <v>3.1399999999999997E-2</v>
      </c>
      <c r="AG398" s="158"/>
      <c r="AH398" s="158"/>
      <c r="AI398" s="158"/>
      <c r="AJ398" s="158"/>
      <c r="AK398" s="158"/>
      <c r="AL398" s="158"/>
      <c r="AM398" s="158"/>
      <c r="AN398" s="158"/>
      <c r="AO398" s="158"/>
      <c r="AP398" s="158"/>
      <c r="AQ398" s="158"/>
      <c r="AR398" s="158"/>
      <c r="AS398" s="158"/>
      <c r="AT398" s="158"/>
      <c r="AV398" s="413"/>
      <c r="AW398" s="413"/>
      <c r="AX398" s="414"/>
      <c r="AY398" s="453"/>
      <c r="AZ398" s="416"/>
      <c r="BA398" s="448"/>
    </row>
    <row r="399" spans="1:53">
      <c r="A399" s="5" t="str">
        <f t="shared" si="35"/>
        <v>Low Income - MF Retrofit_Advanced Thermostat - Furnace (Replace Manual)</v>
      </c>
      <c r="B399" s="407">
        <v>396</v>
      </c>
      <c r="C399" s="408" t="s">
        <v>715</v>
      </c>
      <c r="D399" s="407" t="s">
        <v>699</v>
      </c>
      <c r="E399" s="408" t="s">
        <v>150</v>
      </c>
      <c r="F399" s="408">
        <v>1</v>
      </c>
      <c r="G399" s="409">
        <v>1</v>
      </c>
      <c r="H399" s="470">
        <v>10</v>
      </c>
      <c r="I399" s="467">
        <v>11</v>
      </c>
      <c r="J399" s="408">
        <v>8</v>
      </c>
      <c r="K399" s="408">
        <v>8</v>
      </c>
      <c r="L399" s="408">
        <v>8</v>
      </c>
      <c r="M399" s="408">
        <v>8</v>
      </c>
      <c r="N399" s="208">
        <f t="shared" si="36"/>
        <v>57.485999999999997</v>
      </c>
      <c r="O399" s="461">
        <f t="shared" si="34"/>
        <v>57.485999999999997</v>
      </c>
      <c r="P399" s="461">
        <f t="shared" si="34"/>
        <v>57.485999999999997</v>
      </c>
      <c r="Q399" s="461">
        <f t="shared" si="34"/>
        <v>57.485999999999997</v>
      </c>
      <c r="R399" s="411"/>
      <c r="S399" s="411" t="s">
        <v>1046</v>
      </c>
      <c r="T399" s="411" t="s">
        <v>49</v>
      </c>
      <c r="U399" s="411" t="s">
        <v>60</v>
      </c>
      <c r="V399" s="412" t="s">
        <v>441</v>
      </c>
      <c r="W399" s="151" t="s">
        <v>445</v>
      </c>
      <c r="X399" s="152">
        <v>1005</v>
      </c>
      <c r="Y399" s="153" t="s">
        <v>444</v>
      </c>
      <c r="Z399" s="154">
        <v>8.7999999999999995E-2</v>
      </c>
      <c r="AA399" s="149" t="s">
        <v>399</v>
      </c>
      <c r="AB399" s="155">
        <v>0.65</v>
      </c>
      <c r="AC399" s="149" t="s">
        <v>443</v>
      </c>
      <c r="AD399" s="155">
        <v>1</v>
      </c>
      <c r="AE399" s="149" t="s">
        <v>442</v>
      </c>
      <c r="AF399" s="156">
        <v>3.1399999999999997E-2</v>
      </c>
      <c r="AG399" s="158"/>
      <c r="AH399" s="158"/>
      <c r="AI399" s="158"/>
      <c r="AJ399" s="158"/>
      <c r="AK399" s="158"/>
      <c r="AL399" s="158"/>
      <c r="AM399" s="158"/>
      <c r="AN399" s="158"/>
      <c r="AO399" s="158"/>
      <c r="AP399" s="158"/>
      <c r="AQ399" s="158"/>
      <c r="AR399" s="158"/>
      <c r="AS399" s="158"/>
      <c r="AT399" s="158"/>
      <c r="AV399" s="413"/>
      <c r="AW399" s="413"/>
      <c r="AX399" s="414"/>
      <c r="AY399" s="415"/>
      <c r="AZ399" s="416"/>
      <c r="BA399" s="448"/>
    </row>
    <row r="400" spans="1:53">
      <c r="A400" s="5" t="str">
        <f t="shared" si="35"/>
        <v>Low Income - MF Retrofit_Advanced Thermostat - Boiler (Replace Manual)</v>
      </c>
      <c r="B400" s="407">
        <v>397</v>
      </c>
      <c r="C400" s="408" t="s">
        <v>715</v>
      </c>
      <c r="D400" s="407" t="s">
        <v>1058</v>
      </c>
      <c r="E400" s="408" t="s">
        <v>150</v>
      </c>
      <c r="F400" s="408">
        <v>1</v>
      </c>
      <c r="G400" s="409">
        <v>1</v>
      </c>
      <c r="H400" s="470">
        <v>10</v>
      </c>
      <c r="I400" s="467">
        <v>11</v>
      </c>
      <c r="J400" s="408">
        <v>0</v>
      </c>
      <c r="K400" s="408">
        <v>0</v>
      </c>
      <c r="L400" s="408">
        <v>0</v>
      </c>
      <c r="M400" s="408">
        <v>0</v>
      </c>
      <c r="N400" s="208">
        <f t="shared" si="36"/>
        <v>69.669600000000003</v>
      </c>
      <c r="O400" s="461">
        <f t="shared" si="34"/>
        <v>69.669600000000003</v>
      </c>
      <c r="P400" s="461">
        <f t="shared" si="34"/>
        <v>69.669600000000003</v>
      </c>
      <c r="Q400" s="461">
        <f t="shared" si="34"/>
        <v>69.669600000000003</v>
      </c>
      <c r="R400" s="411"/>
      <c r="S400" s="411" t="s">
        <v>1046</v>
      </c>
      <c r="T400" s="411" t="s">
        <v>49</v>
      </c>
      <c r="U400" s="411" t="s">
        <v>60</v>
      </c>
      <c r="V400" s="412" t="s">
        <v>441</v>
      </c>
      <c r="W400" s="151" t="s">
        <v>445</v>
      </c>
      <c r="X400" s="152">
        <v>1218</v>
      </c>
      <c r="Y400" s="153" t="s">
        <v>444</v>
      </c>
      <c r="Z400" s="154">
        <v>8.7999999999999995E-2</v>
      </c>
      <c r="AA400" s="149" t="s">
        <v>399</v>
      </c>
      <c r="AB400" s="155">
        <v>0.65</v>
      </c>
      <c r="AC400" s="149" t="s">
        <v>443</v>
      </c>
      <c r="AD400" s="155">
        <v>1</v>
      </c>
      <c r="AE400" s="149" t="s">
        <v>442</v>
      </c>
      <c r="AF400" s="156">
        <v>3.1399999999999997E-2</v>
      </c>
      <c r="AG400" s="158"/>
      <c r="AH400" s="158"/>
      <c r="AI400" s="158"/>
      <c r="AJ400" s="158"/>
      <c r="AK400" s="158"/>
      <c r="AL400" s="158"/>
      <c r="AM400" s="158"/>
      <c r="AN400" s="158"/>
      <c r="AO400" s="158"/>
      <c r="AP400" s="158"/>
      <c r="AQ400" s="158"/>
      <c r="AR400" s="158"/>
      <c r="AS400" s="158"/>
      <c r="AT400" s="158"/>
      <c r="AV400" s="413"/>
      <c r="AW400" s="413"/>
      <c r="AX400" s="414"/>
      <c r="AY400" s="415"/>
      <c r="AZ400" s="416"/>
      <c r="BA400" s="448"/>
    </row>
    <row r="401" spans="1:53">
      <c r="A401" s="5" t="str">
        <f t="shared" si="35"/>
        <v>Low Income - MF Retrofit_Advanced Thermostat - Furnace (Replace Programmable)</v>
      </c>
      <c r="B401" s="407">
        <v>398</v>
      </c>
      <c r="C401" s="408" t="s">
        <v>715</v>
      </c>
      <c r="D401" s="407" t="s">
        <v>1059</v>
      </c>
      <c r="E401" s="408" t="s">
        <v>150</v>
      </c>
      <c r="F401" s="408">
        <v>1</v>
      </c>
      <c r="G401" s="409">
        <v>1</v>
      </c>
      <c r="H401" s="470">
        <v>10</v>
      </c>
      <c r="I401" s="467">
        <v>11</v>
      </c>
      <c r="J401" s="408">
        <v>8</v>
      </c>
      <c r="K401" s="408">
        <v>8</v>
      </c>
      <c r="L401" s="408">
        <v>8</v>
      </c>
      <c r="M401" s="408">
        <v>8</v>
      </c>
      <c r="N401" s="208">
        <f t="shared" si="36"/>
        <v>36.582000000000001</v>
      </c>
      <c r="O401" s="461">
        <f t="shared" si="34"/>
        <v>36.582000000000001</v>
      </c>
      <c r="P401" s="461">
        <f t="shared" si="34"/>
        <v>36.582000000000001</v>
      </c>
      <c r="Q401" s="461">
        <f t="shared" si="34"/>
        <v>36.582000000000001</v>
      </c>
      <c r="R401" s="411"/>
      <c r="S401" s="411" t="s">
        <v>1046</v>
      </c>
      <c r="T401" s="411" t="s">
        <v>49</v>
      </c>
      <c r="U401" s="411" t="s">
        <v>60</v>
      </c>
      <c r="V401" s="412" t="s">
        <v>441</v>
      </c>
      <c r="W401" s="151" t="s">
        <v>445</v>
      </c>
      <c r="X401" s="152">
        <v>1005</v>
      </c>
      <c r="Y401" s="153" t="s">
        <v>444</v>
      </c>
      <c r="Z401" s="154">
        <v>5.6000000000000001E-2</v>
      </c>
      <c r="AA401" s="149" t="s">
        <v>399</v>
      </c>
      <c r="AB401" s="155">
        <v>0.65</v>
      </c>
      <c r="AC401" s="149" t="s">
        <v>443</v>
      </c>
      <c r="AD401" s="155">
        <v>1</v>
      </c>
      <c r="AE401" s="149" t="s">
        <v>442</v>
      </c>
      <c r="AF401" s="156">
        <v>3.1399999999999997E-2</v>
      </c>
      <c r="AG401" s="158"/>
      <c r="AH401" s="158"/>
      <c r="AI401" s="158"/>
      <c r="AJ401" s="158"/>
      <c r="AK401" s="158"/>
      <c r="AL401" s="158"/>
      <c r="AM401" s="158"/>
      <c r="AN401" s="158"/>
      <c r="AO401" s="158"/>
      <c r="AP401" s="158"/>
      <c r="AQ401" s="158"/>
      <c r="AR401" s="158"/>
      <c r="AS401" s="158"/>
      <c r="AT401" s="158"/>
      <c r="AV401" s="413"/>
      <c r="AW401" s="413"/>
      <c r="AX401" s="414"/>
      <c r="AY401" s="415"/>
      <c r="AZ401" s="416"/>
      <c r="BA401" s="448"/>
    </row>
    <row r="402" spans="1:53">
      <c r="A402" s="5" t="str">
        <f t="shared" si="35"/>
        <v>Low Income - MF Retrofit_Advanced Thermostat - Boiler (Replace Programmable)</v>
      </c>
      <c r="B402" s="407">
        <v>399</v>
      </c>
      <c r="C402" s="408" t="s">
        <v>715</v>
      </c>
      <c r="D402" s="407" t="s">
        <v>704</v>
      </c>
      <c r="E402" s="408" t="s">
        <v>150</v>
      </c>
      <c r="F402" s="408">
        <v>1</v>
      </c>
      <c r="G402" s="409">
        <v>1</v>
      </c>
      <c r="H402" s="470">
        <v>10</v>
      </c>
      <c r="I402" s="467">
        <v>11</v>
      </c>
      <c r="J402" s="408">
        <v>0</v>
      </c>
      <c r="K402" s="408">
        <v>0</v>
      </c>
      <c r="L402" s="408">
        <v>0</v>
      </c>
      <c r="M402" s="408">
        <v>0</v>
      </c>
      <c r="N402" s="208">
        <f t="shared" si="36"/>
        <v>44.3352</v>
      </c>
      <c r="O402" s="461">
        <f t="shared" si="34"/>
        <v>44.3352</v>
      </c>
      <c r="P402" s="461">
        <f t="shared" si="34"/>
        <v>44.3352</v>
      </c>
      <c r="Q402" s="461">
        <f t="shared" si="34"/>
        <v>44.3352</v>
      </c>
      <c r="R402" s="411"/>
      <c r="S402" s="411" t="s">
        <v>1046</v>
      </c>
      <c r="T402" s="411" t="s">
        <v>49</v>
      </c>
      <c r="U402" s="411" t="s">
        <v>60</v>
      </c>
      <c r="V402" s="412" t="s">
        <v>441</v>
      </c>
      <c r="W402" s="151" t="s">
        <v>445</v>
      </c>
      <c r="X402" s="152">
        <v>1218</v>
      </c>
      <c r="Y402" s="153" t="s">
        <v>444</v>
      </c>
      <c r="Z402" s="154">
        <v>5.6000000000000001E-2</v>
      </c>
      <c r="AA402" s="149" t="s">
        <v>399</v>
      </c>
      <c r="AB402" s="155">
        <v>0.65</v>
      </c>
      <c r="AC402" s="149" t="s">
        <v>443</v>
      </c>
      <c r="AD402" s="155">
        <v>1</v>
      </c>
      <c r="AE402" s="149" t="s">
        <v>442</v>
      </c>
      <c r="AF402" s="156">
        <v>3.1399999999999997E-2</v>
      </c>
      <c r="AG402" s="158"/>
      <c r="AH402" s="158"/>
      <c r="AI402" s="158"/>
      <c r="AJ402" s="158"/>
      <c r="AK402" s="158"/>
      <c r="AL402" s="158"/>
      <c r="AM402" s="158"/>
      <c r="AN402" s="158"/>
      <c r="AO402" s="158"/>
      <c r="AP402" s="158"/>
      <c r="AQ402" s="158"/>
      <c r="AR402" s="158"/>
      <c r="AS402" s="158"/>
      <c r="AT402" s="158"/>
      <c r="AV402" s="413"/>
      <c r="AW402" s="413"/>
      <c r="AX402" s="414"/>
      <c r="AY402" s="415"/>
      <c r="AZ402" s="416"/>
      <c r="BA402" s="448"/>
    </row>
    <row r="403" spans="1:53">
      <c r="A403" s="5" t="str">
        <f t="shared" si="35"/>
        <v>Low Income - MF Retrofit_Water Heater Setback</v>
      </c>
      <c r="B403" s="407">
        <v>400</v>
      </c>
      <c r="C403" s="408" t="s">
        <v>715</v>
      </c>
      <c r="D403" s="407" t="s">
        <v>377</v>
      </c>
      <c r="E403" s="408" t="s">
        <v>150</v>
      </c>
      <c r="F403" s="408">
        <v>1</v>
      </c>
      <c r="G403" s="409">
        <v>1</v>
      </c>
      <c r="H403" s="470">
        <v>2</v>
      </c>
      <c r="I403" s="463">
        <v>2</v>
      </c>
      <c r="J403" s="408">
        <v>1963</v>
      </c>
      <c r="K403" s="408">
        <v>1963</v>
      </c>
      <c r="L403" s="408">
        <v>1963</v>
      </c>
      <c r="M403" s="408">
        <v>1963</v>
      </c>
      <c r="N403" s="461">
        <f>(AB403*AD403*(X403-Z403)*AF403)/(100000*AH403)</f>
        <v>4.0706360194029854</v>
      </c>
      <c r="O403" s="461">
        <f t="shared" si="34"/>
        <v>4.0706360194029854</v>
      </c>
      <c r="P403" s="461">
        <f t="shared" si="34"/>
        <v>4.0706360194029854</v>
      </c>
      <c r="Q403" s="461">
        <f t="shared" si="34"/>
        <v>4.0706360194029854</v>
      </c>
      <c r="R403" s="411"/>
      <c r="S403" s="411" t="s">
        <v>1046</v>
      </c>
      <c r="T403" s="407" t="s">
        <v>376</v>
      </c>
      <c r="U403" s="407" t="s">
        <v>375</v>
      </c>
      <c r="V403" s="412" t="s">
        <v>369</v>
      </c>
      <c r="W403" s="412" t="s">
        <v>374</v>
      </c>
      <c r="X403" s="412">
        <v>135</v>
      </c>
      <c r="Y403" s="412" t="s">
        <v>373</v>
      </c>
      <c r="Z403" s="412">
        <v>120</v>
      </c>
      <c r="AA403" s="412" t="s">
        <v>372</v>
      </c>
      <c r="AB403" s="412">
        <v>8.3000000000000004E-2</v>
      </c>
      <c r="AC403" s="412" t="s">
        <v>371</v>
      </c>
      <c r="AD403" s="412">
        <v>24.99</v>
      </c>
      <c r="AE403" s="412" t="s">
        <v>153</v>
      </c>
      <c r="AF403" s="412">
        <v>8766</v>
      </c>
      <c r="AG403" s="412" t="s">
        <v>370</v>
      </c>
      <c r="AH403" s="450">
        <v>0.67</v>
      </c>
      <c r="AI403" s="412"/>
      <c r="AJ403" s="412"/>
      <c r="AK403" s="412"/>
      <c r="AL403" s="412"/>
      <c r="AM403" s="412"/>
      <c r="AN403" s="412"/>
      <c r="AO403" s="412"/>
      <c r="AP403" s="412"/>
      <c r="AQ403" s="412"/>
      <c r="AR403" s="412"/>
      <c r="AS403" s="412"/>
      <c r="AT403" s="412"/>
      <c r="AV403" s="413"/>
      <c r="AW403" s="413"/>
      <c r="AX403" s="414"/>
      <c r="AY403" s="415"/>
      <c r="AZ403" s="416"/>
      <c r="BA403" s="448"/>
    </row>
    <row r="404" spans="1:53">
      <c r="A404" s="5" t="str">
        <f t="shared" si="35"/>
        <v>Low Income - MF Retrofit_Air Sealing</v>
      </c>
      <c r="B404" s="407">
        <v>401</v>
      </c>
      <c r="C404" s="408" t="s">
        <v>715</v>
      </c>
      <c r="D404" s="407" t="s">
        <v>678</v>
      </c>
      <c r="E404" s="408" t="s">
        <v>150</v>
      </c>
      <c r="F404" s="408">
        <v>1</v>
      </c>
      <c r="G404" s="409">
        <v>1</v>
      </c>
      <c r="H404" s="470">
        <v>15</v>
      </c>
      <c r="I404" s="467">
        <v>20</v>
      </c>
      <c r="J404" s="408">
        <v>94</v>
      </c>
      <c r="K404" s="408">
        <v>94</v>
      </c>
      <c r="L404" s="408">
        <v>94</v>
      </c>
      <c r="M404" s="408">
        <v>94</v>
      </c>
      <c r="N404" s="461">
        <v>600</v>
      </c>
      <c r="O404" s="461">
        <f t="shared" si="34"/>
        <v>600</v>
      </c>
      <c r="P404" s="461">
        <f t="shared" si="34"/>
        <v>600</v>
      </c>
      <c r="Q404" s="461">
        <f t="shared" si="34"/>
        <v>600</v>
      </c>
      <c r="R404" s="407"/>
      <c r="S404" s="407" t="s">
        <v>140</v>
      </c>
      <c r="T404" s="407" t="s">
        <v>140</v>
      </c>
      <c r="U404" s="407" t="s">
        <v>140</v>
      </c>
      <c r="V404" s="412"/>
      <c r="W404" s="412"/>
      <c r="X404" s="412"/>
      <c r="Y404" s="412"/>
      <c r="Z404" s="412"/>
      <c r="AA404" s="412"/>
      <c r="AB404" s="412"/>
      <c r="AC404" s="412"/>
      <c r="AD404" s="412"/>
      <c r="AE404" s="412"/>
      <c r="AF404" s="412"/>
      <c r="AG404" s="412"/>
      <c r="AH404" s="412"/>
      <c r="AI404" s="412"/>
      <c r="AJ404" s="412"/>
      <c r="AK404" s="412"/>
      <c r="AL404" s="412"/>
      <c r="AM404" s="412"/>
      <c r="AN404" s="412"/>
      <c r="AO404" s="412"/>
      <c r="AP404" s="412"/>
      <c r="AQ404" s="412"/>
      <c r="AR404" s="412"/>
      <c r="AS404" s="412"/>
      <c r="AT404" s="412"/>
      <c r="AV404" s="413"/>
      <c r="AW404" s="413"/>
      <c r="AX404" s="414"/>
      <c r="AY404" s="415"/>
      <c r="AZ404" s="416"/>
      <c r="BA404" s="448"/>
    </row>
    <row r="405" spans="1:53">
      <c r="A405" s="5" t="str">
        <f t="shared" si="35"/>
        <v>Low Income - MF Retrofit_Attic Insulation &amp; Air Sealing</v>
      </c>
      <c r="B405" s="407">
        <v>402</v>
      </c>
      <c r="C405" s="408" t="s">
        <v>715</v>
      </c>
      <c r="D405" s="407" t="s">
        <v>679</v>
      </c>
      <c r="E405" s="408" t="s">
        <v>150</v>
      </c>
      <c r="F405" s="408">
        <v>1</v>
      </c>
      <c r="G405" s="409">
        <v>1</v>
      </c>
      <c r="H405" s="470">
        <v>15</v>
      </c>
      <c r="I405" s="467">
        <v>20</v>
      </c>
      <c r="J405" s="408">
        <v>94</v>
      </c>
      <c r="K405" s="408">
        <v>94</v>
      </c>
      <c r="L405" s="408">
        <v>94</v>
      </c>
      <c r="M405" s="408">
        <v>94</v>
      </c>
      <c r="N405" s="461">
        <v>1400</v>
      </c>
      <c r="O405" s="461">
        <f t="shared" si="34"/>
        <v>1400</v>
      </c>
      <c r="P405" s="461">
        <f t="shared" si="34"/>
        <v>1400</v>
      </c>
      <c r="Q405" s="461">
        <f t="shared" si="34"/>
        <v>1400</v>
      </c>
      <c r="R405" s="407"/>
      <c r="S405" s="407" t="s">
        <v>140</v>
      </c>
      <c r="T405" s="407" t="s">
        <v>140</v>
      </c>
      <c r="U405" s="407" t="s">
        <v>140</v>
      </c>
      <c r="V405" s="412"/>
      <c r="W405" s="412"/>
      <c r="X405" s="412"/>
      <c r="Y405" s="412"/>
      <c r="Z405" s="412"/>
      <c r="AA405" s="412"/>
      <c r="AB405" s="412"/>
      <c r="AC405" s="412"/>
      <c r="AD405" s="412"/>
      <c r="AE405" s="412"/>
      <c r="AF405" s="412"/>
      <c r="AG405" s="412"/>
      <c r="AH405" s="412"/>
      <c r="AI405" s="412"/>
      <c r="AJ405" s="412"/>
      <c r="AK405" s="412"/>
      <c r="AL405" s="412"/>
      <c r="AM405" s="412"/>
      <c r="AN405" s="412"/>
      <c r="AO405" s="412"/>
      <c r="AP405" s="412"/>
      <c r="AQ405" s="412"/>
      <c r="AR405" s="412"/>
      <c r="AS405" s="412"/>
      <c r="AT405" s="412"/>
      <c r="AV405" s="413"/>
      <c r="AW405" s="413"/>
      <c r="AX405" s="414"/>
      <c r="AY405" s="415"/>
      <c r="AZ405" s="416"/>
      <c r="BA405" s="448"/>
    </row>
    <row r="406" spans="1:53">
      <c r="A406" s="5" t="str">
        <f t="shared" si="35"/>
        <v>Low Income - MF Retrofit_Wall Insulation</v>
      </c>
      <c r="B406" s="407">
        <v>403</v>
      </c>
      <c r="C406" s="408" t="s">
        <v>715</v>
      </c>
      <c r="D406" s="407" t="s">
        <v>680</v>
      </c>
      <c r="E406" s="408" t="s">
        <v>150</v>
      </c>
      <c r="F406" s="408">
        <v>1</v>
      </c>
      <c r="G406" s="409">
        <v>1</v>
      </c>
      <c r="H406" s="470">
        <v>25</v>
      </c>
      <c r="I406" s="467">
        <v>20</v>
      </c>
      <c r="J406" s="408">
        <v>24</v>
      </c>
      <c r="K406" s="408">
        <v>24</v>
      </c>
      <c r="L406" s="408">
        <v>24</v>
      </c>
      <c r="M406" s="408">
        <v>24</v>
      </c>
      <c r="N406" s="461">
        <v>1500</v>
      </c>
      <c r="O406" s="461">
        <f t="shared" si="34"/>
        <v>1500</v>
      </c>
      <c r="P406" s="461">
        <f t="shared" si="34"/>
        <v>1500</v>
      </c>
      <c r="Q406" s="461">
        <f t="shared" si="34"/>
        <v>1500</v>
      </c>
      <c r="R406" s="407"/>
      <c r="S406" s="407" t="s">
        <v>140</v>
      </c>
      <c r="T406" s="407" t="s">
        <v>140</v>
      </c>
      <c r="U406" s="407" t="s">
        <v>140</v>
      </c>
      <c r="V406" s="412"/>
      <c r="W406" s="412"/>
      <c r="X406" s="412"/>
      <c r="Y406" s="412"/>
      <c r="Z406" s="412"/>
      <c r="AA406" s="412"/>
      <c r="AB406" s="412"/>
      <c r="AC406" s="412"/>
      <c r="AD406" s="412"/>
      <c r="AE406" s="412"/>
      <c r="AF406" s="412"/>
      <c r="AG406" s="412"/>
      <c r="AH406" s="412"/>
      <c r="AI406" s="412"/>
      <c r="AJ406" s="412"/>
      <c r="AK406" s="412"/>
      <c r="AL406" s="412"/>
      <c r="AM406" s="412"/>
      <c r="AN406" s="412"/>
      <c r="AO406" s="412"/>
      <c r="AP406" s="412"/>
      <c r="AQ406" s="412"/>
      <c r="AR406" s="412"/>
      <c r="AS406" s="412"/>
      <c r="AT406" s="412"/>
      <c r="AV406" s="413"/>
      <c r="AW406" s="413"/>
      <c r="AX406" s="414"/>
      <c r="AY406" s="415"/>
      <c r="AZ406" s="416"/>
      <c r="BA406" s="448"/>
    </row>
    <row r="407" spans="1:53">
      <c r="A407" s="5" t="str">
        <f t="shared" si="35"/>
        <v>Low Income - MF Retrofit_Pipe Insulation - DHW</v>
      </c>
      <c r="B407" s="407">
        <v>404</v>
      </c>
      <c r="C407" s="408" t="s">
        <v>715</v>
      </c>
      <c r="D407" s="407" t="s">
        <v>681</v>
      </c>
      <c r="E407" s="408" t="s">
        <v>150</v>
      </c>
      <c r="F407" s="408">
        <v>1</v>
      </c>
      <c r="G407" s="409">
        <v>1</v>
      </c>
      <c r="H407" s="470">
        <v>15</v>
      </c>
      <c r="I407" s="463">
        <v>15</v>
      </c>
      <c r="J407" s="408">
        <v>63</v>
      </c>
      <c r="K407" s="408">
        <v>63</v>
      </c>
      <c r="L407" s="408">
        <v>63</v>
      </c>
      <c r="M407" s="408">
        <v>63</v>
      </c>
      <c r="N407" s="461">
        <v>700</v>
      </c>
      <c r="O407" s="461">
        <f t="shared" si="34"/>
        <v>700</v>
      </c>
      <c r="P407" s="461">
        <f t="shared" si="34"/>
        <v>700</v>
      </c>
      <c r="Q407" s="461">
        <f t="shared" si="34"/>
        <v>700</v>
      </c>
      <c r="R407" s="407"/>
      <c r="S407" s="407" t="s">
        <v>140</v>
      </c>
      <c r="T407" s="407" t="s">
        <v>140</v>
      </c>
      <c r="U407" s="407" t="s">
        <v>140</v>
      </c>
      <c r="V407" s="412"/>
      <c r="W407" s="412"/>
      <c r="X407" s="412"/>
      <c r="Y407" s="412"/>
      <c r="Z407" s="412"/>
      <c r="AA407" s="412"/>
      <c r="AB407" s="412"/>
      <c r="AC407" s="412"/>
      <c r="AD407" s="412"/>
      <c r="AE407" s="412"/>
      <c r="AF407" s="412"/>
      <c r="AG407" s="412"/>
      <c r="AH407" s="412"/>
      <c r="AI407" s="412"/>
      <c r="AJ407" s="412"/>
      <c r="AK407" s="412"/>
      <c r="AL407" s="412"/>
      <c r="AM407" s="412"/>
      <c r="AN407" s="412"/>
      <c r="AO407" s="412"/>
      <c r="AP407" s="412"/>
      <c r="AQ407" s="412"/>
      <c r="AR407" s="412"/>
      <c r="AS407" s="412"/>
      <c r="AT407" s="412"/>
      <c r="AV407" s="413"/>
      <c r="AW407" s="413"/>
      <c r="AX407" s="414"/>
      <c r="AY407" s="415"/>
      <c r="AZ407" s="416"/>
      <c r="BA407" s="448"/>
    </row>
    <row r="408" spans="1:53">
      <c r="A408" s="5" t="str">
        <f t="shared" si="35"/>
        <v>Low Income - MF Retrofit_Pipe Insulation - Heating</v>
      </c>
      <c r="B408" s="407">
        <v>405</v>
      </c>
      <c r="C408" s="408" t="s">
        <v>715</v>
      </c>
      <c r="D408" s="407" t="s">
        <v>682</v>
      </c>
      <c r="E408" s="408" t="s">
        <v>150</v>
      </c>
      <c r="F408" s="408">
        <v>1</v>
      </c>
      <c r="G408" s="409">
        <v>1</v>
      </c>
      <c r="H408" s="470">
        <v>15</v>
      </c>
      <c r="I408" s="463">
        <v>15</v>
      </c>
      <c r="J408" s="408">
        <v>79</v>
      </c>
      <c r="K408" s="408">
        <v>79</v>
      </c>
      <c r="L408" s="408">
        <v>79</v>
      </c>
      <c r="M408" s="408">
        <v>79</v>
      </c>
      <c r="N408" s="461">
        <v>1100</v>
      </c>
      <c r="O408" s="461">
        <f t="shared" si="34"/>
        <v>1100</v>
      </c>
      <c r="P408" s="461">
        <f t="shared" si="34"/>
        <v>1100</v>
      </c>
      <c r="Q408" s="461">
        <f t="shared" si="34"/>
        <v>1100</v>
      </c>
      <c r="R408" s="407"/>
      <c r="S408" s="407" t="s">
        <v>140</v>
      </c>
      <c r="T408" s="407" t="s">
        <v>140</v>
      </c>
      <c r="U408" s="407" t="s">
        <v>140</v>
      </c>
      <c r="V408" s="412"/>
      <c r="W408" s="412"/>
      <c r="X408" s="412"/>
      <c r="Y408" s="412"/>
      <c r="Z408" s="412"/>
      <c r="AA408" s="412"/>
      <c r="AB408" s="412"/>
      <c r="AC408" s="412"/>
      <c r="AD408" s="412"/>
      <c r="AE408" s="412"/>
      <c r="AF408" s="412"/>
      <c r="AG408" s="412"/>
      <c r="AH408" s="412"/>
      <c r="AI408" s="412"/>
      <c r="AJ408" s="412"/>
      <c r="AK408" s="412"/>
      <c r="AL408" s="412"/>
      <c r="AM408" s="412"/>
      <c r="AN408" s="412"/>
      <c r="AO408" s="412"/>
      <c r="AP408" s="412"/>
      <c r="AQ408" s="412"/>
      <c r="AR408" s="412"/>
      <c r="AS408" s="412"/>
      <c r="AT408" s="412"/>
      <c r="AV408" s="413"/>
      <c r="AW408" s="413"/>
      <c r="AX408" s="414"/>
      <c r="AY408" s="415"/>
      <c r="AZ408" s="416"/>
      <c r="BA408" s="448"/>
    </row>
    <row r="409" spans="1:53">
      <c r="A409" s="5" t="str">
        <f t="shared" si="35"/>
        <v>Low Income - MF Retrofit_Boiler Tune-ups</v>
      </c>
      <c r="B409" s="407">
        <v>406</v>
      </c>
      <c r="C409" s="408" t="s">
        <v>715</v>
      </c>
      <c r="D409" s="407" t="s">
        <v>683</v>
      </c>
      <c r="E409" s="408" t="s">
        <v>150</v>
      </c>
      <c r="F409" s="408">
        <v>1</v>
      </c>
      <c r="G409" s="409">
        <v>1</v>
      </c>
      <c r="H409" s="470">
        <v>3</v>
      </c>
      <c r="I409" s="463">
        <v>3</v>
      </c>
      <c r="J409" s="408">
        <v>24</v>
      </c>
      <c r="K409" s="408">
        <v>24</v>
      </c>
      <c r="L409" s="408">
        <v>24</v>
      </c>
      <c r="M409" s="408">
        <v>24</v>
      </c>
      <c r="N409" s="461">
        <v>130</v>
      </c>
      <c r="O409" s="461">
        <f t="shared" si="34"/>
        <v>130</v>
      </c>
      <c r="P409" s="461">
        <f t="shared" si="34"/>
        <v>130</v>
      </c>
      <c r="Q409" s="461">
        <f t="shared" si="34"/>
        <v>130</v>
      </c>
      <c r="R409" s="407"/>
      <c r="S409" s="407" t="s">
        <v>140</v>
      </c>
      <c r="T409" s="407" t="s">
        <v>140</v>
      </c>
      <c r="U409" s="407" t="s">
        <v>140</v>
      </c>
      <c r="V409" s="412"/>
      <c r="W409" s="412"/>
      <c r="X409" s="412"/>
      <c r="Y409" s="412"/>
      <c r="Z409" s="412"/>
      <c r="AA409" s="412"/>
      <c r="AB409" s="412"/>
      <c r="AC409" s="412"/>
      <c r="AD409" s="412"/>
      <c r="AE409" s="412"/>
      <c r="AF409" s="412"/>
      <c r="AG409" s="412"/>
      <c r="AH409" s="412"/>
      <c r="AI409" s="412"/>
      <c r="AJ409" s="412"/>
      <c r="AK409" s="412"/>
      <c r="AL409" s="412"/>
      <c r="AM409" s="412"/>
      <c r="AN409" s="412"/>
      <c r="AO409" s="412"/>
      <c r="AP409" s="412"/>
      <c r="AQ409" s="412"/>
      <c r="AR409" s="412"/>
      <c r="AS409" s="412"/>
      <c r="AT409" s="412"/>
      <c r="AV409" s="413"/>
      <c r="AW409" s="413"/>
      <c r="AX409" s="414"/>
      <c r="AY409" s="416"/>
      <c r="AZ409" s="416"/>
      <c r="BA409" s="448"/>
    </row>
    <row r="410" spans="1:53">
      <c r="A410" s="5" t="str">
        <f t="shared" si="35"/>
        <v>Low Income - MF Retrofit_Outdoor Resets/Cutouts</v>
      </c>
      <c r="B410" s="407">
        <v>407</v>
      </c>
      <c r="C410" s="408" t="s">
        <v>715</v>
      </c>
      <c r="D410" s="407" t="s">
        <v>684</v>
      </c>
      <c r="E410" s="408" t="s">
        <v>150</v>
      </c>
      <c r="F410" s="408">
        <v>1</v>
      </c>
      <c r="G410" s="409">
        <v>1</v>
      </c>
      <c r="H410" s="470">
        <v>20</v>
      </c>
      <c r="I410" s="463">
        <v>20</v>
      </c>
      <c r="J410" s="408">
        <v>9</v>
      </c>
      <c r="K410" s="408">
        <v>9</v>
      </c>
      <c r="L410" s="408">
        <v>9</v>
      </c>
      <c r="M410" s="408">
        <v>9</v>
      </c>
      <c r="N410" s="461">
        <v>1000</v>
      </c>
      <c r="O410" s="461">
        <f t="shared" ref="O410:Q421" si="37">N410</f>
        <v>1000</v>
      </c>
      <c r="P410" s="461">
        <f t="shared" si="37"/>
        <v>1000</v>
      </c>
      <c r="Q410" s="461">
        <f t="shared" si="37"/>
        <v>1000</v>
      </c>
      <c r="R410" s="407"/>
      <c r="S410" s="407" t="s">
        <v>140</v>
      </c>
      <c r="T410" s="407" t="s">
        <v>140</v>
      </c>
      <c r="U410" s="407" t="s">
        <v>140</v>
      </c>
      <c r="V410" s="412"/>
      <c r="W410" s="412"/>
      <c r="X410" s="412"/>
      <c r="Y410" s="412"/>
      <c r="Z410" s="412"/>
      <c r="AA410" s="412"/>
      <c r="AB410" s="412"/>
      <c r="AC410" s="412"/>
      <c r="AD410" s="412"/>
      <c r="AE410" s="412"/>
      <c r="AF410" s="412"/>
      <c r="AG410" s="412"/>
      <c r="AH410" s="412"/>
      <c r="AI410" s="412"/>
      <c r="AJ410" s="412"/>
      <c r="AK410" s="412"/>
      <c r="AL410" s="412"/>
      <c r="AM410" s="412"/>
      <c r="AN410" s="412"/>
      <c r="AO410" s="412"/>
      <c r="AP410" s="412"/>
      <c r="AQ410" s="412"/>
      <c r="AR410" s="412"/>
      <c r="AS410" s="412"/>
      <c r="AT410" s="412"/>
      <c r="AV410" s="413"/>
      <c r="AW410" s="413"/>
      <c r="AX410" s="414"/>
      <c r="AY410" s="416"/>
      <c r="AZ410" s="416"/>
      <c r="BA410" s="448"/>
    </row>
    <row r="411" spans="1:53">
      <c r="A411" s="5" t="str">
        <f t="shared" si="35"/>
        <v>Low Income - MF Retrofit_Steam Trap</v>
      </c>
      <c r="B411" s="407">
        <v>408</v>
      </c>
      <c r="C411" s="408" t="s">
        <v>715</v>
      </c>
      <c r="D411" s="407" t="s">
        <v>685</v>
      </c>
      <c r="E411" s="408" t="s">
        <v>150</v>
      </c>
      <c r="F411" s="408">
        <v>75</v>
      </c>
      <c r="G411" s="409">
        <v>1</v>
      </c>
      <c r="H411" s="470">
        <v>6</v>
      </c>
      <c r="I411" s="463">
        <v>6</v>
      </c>
      <c r="J411" s="408">
        <v>16</v>
      </c>
      <c r="K411" s="408">
        <v>16</v>
      </c>
      <c r="L411" s="408">
        <v>16</v>
      </c>
      <c r="M411" s="408">
        <v>16</v>
      </c>
      <c r="N411" s="208">
        <v>110</v>
      </c>
      <c r="O411" s="461">
        <f t="shared" si="37"/>
        <v>110</v>
      </c>
      <c r="P411" s="461">
        <f t="shared" si="37"/>
        <v>110</v>
      </c>
      <c r="Q411" s="461">
        <f t="shared" si="37"/>
        <v>110</v>
      </c>
      <c r="R411" s="407"/>
      <c r="S411" s="407" t="s">
        <v>140</v>
      </c>
      <c r="T411" s="407" t="s">
        <v>140</v>
      </c>
      <c r="U411" s="407" t="s">
        <v>140</v>
      </c>
      <c r="V411" s="412"/>
      <c r="W411" s="161"/>
      <c r="X411" s="161"/>
      <c r="Y411" s="412"/>
      <c r="Z411" s="412"/>
      <c r="AA411" s="162"/>
      <c r="AB411" s="412"/>
      <c r="AC411" s="149"/>
      <c r="AD411" s="412"/>
      <c r="AE411" s="149"/>
      <c r="AF411" s="412"/>
      <c r="AG411" s="412"/>
      <c r="AH411" s="412"/>
      <c r="AI411" s="412"/>
      <c r="AJ411" s="412"/>
      <c r="AK411" s="412"/>
      <c r="AL411" s="412"/>
      <c r="AM411" s="412"/>
      <c r="AN411" s="412"/>
      <c r="AO411" s="412"/>
      <c r="AP411" s="412"/>
      <c r="AQ411" s="412"/>
      <c r="AR411" s="412"/>
      <c r="AS411" s="412"/>
      <c r="AT411" s="412"/>
      <c r="AV411" s="413"/>
      <c r="AW411" s="413"/>
      <c r="AX411" s="414"/>
      <c r="AY411" s="416"/>
      <c r="AZ411" s="416"/>
      <c r="BA411" s="448"/>
    </row>
    <row r="412" spans="1:53">
      <c r="A412" s="5" t="str">
        <f t="shared" si="35"/>
        <v>Low Income - MF Retrofit_Controls for Central DHW Pumps</v>
      </c>
      <c r="B412" s="407">
        <v>409</v>
      </c>
      <c r="C412" s="408" t="s">
        <v>715</v>
      </c>
      <c r="D412" s="407" t="s">
        <v>686</v>
      </c>
      <c r="E412" s="408" t="s">
        <v>150</v>
      </c>
      <c r="F412" s="408">
        <v>1</v>
      </c>
      <c r="G412" s="409">
        <v>1</v>
      </c>
      <c r="H412" s="470">
        <v>15</v>
      </c>
      <c r="I412" s="463">
        <v>15</v>
      </c>
      <c r="J412" s="408">
        <v>16</v>
      </c>
      <c r="K412" s="408">
        <v>16</v>
      </c>
      <c r="L412" s="408">
        <v>16</v>
      </c>
      <c r="M412" s="408">
        <v>16</v>
      </c>
      <c r="N412" s="208">
        <v>1300</v>
      </c>
      <c r="O412" s="461">
        <f t="shared" si="37"/>
        <v>1300</v>
      </c>
      <c r="P412" s="461">
        <f t="shared" si="37"/>
        <v>1300</v>
      </c>
      <c r="Q412" s="461">
        <f t="shared" si="37"/>
        <v>1300</v>
      </c>
      <c r="R412" s="407"/>
      <c r="S412" s="407" t="s">
        <v>140</v>
      </c>
      <c r="T412" s="407" t="s">
        <v>140</v>
      </c>
      <c r="U412" s="407" t="s">
        <v>140</v>
      </c>
      <c r="V412" s="412"/>
      <c r="W412" s="161"/>
      <c r="X412" s="161"/>
      <c r="Y412" s="412"/>
      <c r="Z412" s="412"/>
      <c r="AA412" s="162"/>
      <c r="AB412" s="412"/>
      <c r="AC412" s="149"/>
      <c r="AD412" s="412"/>
      <c r="AE412" s="149"/>
      <c r="AF412" s="412"/>
      <c r="AG412" s="412"/>
      <c r="AH412" s="412"/>
      <c r="AI412" s="412"/>
      <c r="AJ412" s="412"/>
      <c r="AK412" s="412"/>
      <c r="AL412" s="412"/>
      <c r="AM412" s="412"/>
      <c r="AN412" s="412"/>
      <c r="AO412" s="412"/>
      <c r="AP412" s="412"/>
      <c r="AQ412" s="412"/>
      <c r="AR412" s="412"/>
      <c r="AS412" s="412"/>
      <c r="AT412" s="412"/>
      <c r="AV412" s="413"/>
      <c r="AW412" s="413"/>
      <c r="AX412" s="414"/>
      <c r="AY412" s="416"/>
      <c r="AZ412" s="416"/>
      <c r="BA412" s="448"/>
    </row>
    <row r="413" spans="1:53">
      <c r="A413" s="5" t="str">
        <f t="shared" si="35"/>
        <v>Low Income - MF Retrofit_Steam Boiler Averaging Controls</v>
      </c>
      <c r="B413" s="407">
        <v>410</v>
      </c>
      <c r="C413" s="408" t="s">
        <v>715</v>
      </c>
      <c r="D413" s="407" t="s">
        <v>277</v>
      </c>
      <c r="E413" s="408" t="s">
        <v>150</v>
      </c>
      <c r="F413" s="408">
        <v>1</v>
      </c>
      <c r="G413" s="409">
        <v>1</v>
      </c>
      <c r="H413" s="470">
        <v>15</v>
      </c>
      <c r="I413" s="463">
        <v>15</v>
      </c>
      <c r="J413" s="408">
        <v>25</v>
      </c>
      <c r="K413" s="408">
        <v>25</v>
      </c>
      <c r="L413" s="408">
        <v>25</v>
      </c>
      <c r="M413" s="408">
        <v>25</v>
      </c>
      <c r="N413" s="461">
        <v>1200</v>
      </c>
      <c r="O413" s="461">
        <f t="shared" si="37"/>
        <v>1200</v>
      </c>
      <c r="P413" s="461">
        <f t="shared" si="37"/>
        <v>1200</v>
      </c>
      <c r="Q413" s="461">
        <f t="shared" si="37"/>
        <v>1200</v>
      </c>
      <c r="R413" s="407"/>
      <c r="S413" s="407" t="s">
        <v>140</v>
      </c>
      <c r="T413" s="407" t="s">
        <v>140</v>
      </c>
      <c r="U413" s="407" t="s">
        <v>140</v>
      </c>
      <c r="V413" s="412"/>
      <c r="W413" s="412"/>
      <c r="X413" s="412"/>
      <c r="Y413" s="412"/>
      <c r="Z413" s="412"/>
      <c r="AA413" s="412"/>
      <c r="AB413" s="412"/>
      <c r="AC413" s="412"/>
      <c r="AD413" s="412"/>
      <c r="AE413" s="412"/>
      <c r="AF413" s="412"/>
      <c r="AG413" s="412"/>
      <c r="AH413" s="412"/>
      <c r="AI413" s="412"/>
      <c r="AJ413" s="412"/>
      <c r="AK413" s="412"/>
      <c r="AL413" s="412"/>
      <c r="AM413" s="412"/>
      <c r="AN413" s="412"/>
      <c r="AO413" s="412"/>
      <c r="AP413" s="412"/>
      <c r="AQ413" s="412"/>
      <c r="AR413" s="412"/>
      <c r="AS413" s="412"/>
      <c r="AT413" s="412"/>
      <c r="AV413" s="413"/>
      <c r="AW413" s="413"/>
      <c r="AX413" s="414"/>
      <c r="AY413" s="416"/>
      <c r="AZ413" s="416"/>
      <c r="BA413" s="448"/>
    </row>
    <row r="414" spans="1:53">
      <c r="A414" s="5" t="str">
        <f t="shared" si="35"/>
        <v>Low Income - MF Retrofit_Boiler Replacement</v>
      </c>
      <c r="B414" s="407">
        <v>411</v>
      </c>
      <c r="C414" s="408" t="s">
        <v>715</v>
      </c>
      <c r="D414" s="407" t="s">
        <v>687</v>
      </c>
      <c r="E414" s="408" t="s">
        <v>150</v>
      </c>
      <c r="F414" s="408">
        <v>1</v>
      </c>
      <c r="G414" s="409">
        <v>1</v>
      </c>
      <c r="H414" s="470">
        <v>20</v>
      </c>
      <c r="I414" s="463">
        <v>20</v>
      </c>
      <c r="J414" s="408">
        <v>16</v>
      </c>
      <c r="K414" s="408">
        <v>16</v>
      </c>
      <c r="L414" s="408">
        <v>16</v>
      </c>
      <c r="M414" s="408">
        <v>16</v>
      </c>
      <c r="N414" s="461">
        <v>1300</v>
      </c>
      <c r="O414" s="461">
        <f t="shared" si="37"/>
        <v>1300</v>
      </c>
      <c r="P414" s="461">
        <f t="shared" si="37"/>
        <v>1300</v>
      </c>
      <c r="Q414" s="461">
        <f t="shared" si="37"/>
        <v>1300</v>
      </c>
      <c r="R414" s="407"/>
      <c r="S414" s="407" t="s">
        <v>140</v>
      </c>
      <c r="T414" s="407" t="s">
        <v>140</v>
      </c>
      <c r="U414" s="407" t="s">
        <v>140</v>
      </c>
      <c r="V414" s="412"/>
      <c r="W414" s="412"/>
      <c r="X414" s="412"/>
      <c r="Y414" s="412"/>
      <c r="Z414" s="412"/>
      <c r="AA414" s="412"/>
      <c r="AB414" s="412"/>
      <c r="AC414" s="412"/>
      <c r="AD414" s="412"/>
      <c r="AE414" s="412"/>
      <c r="AF414" s="412"/>
      <c r="AG414" s="412"/>
      <c r="AH414" s="412"/>
      <c r="AI414" s="412"/>
      <c r="AJ414" s="412"/>
      <c r="AK414" s="412"/>
      <c r="AL414" s="412"/>
      <c r="AM414" s="412"/>
      <c r="AN414" s="412"/>
      <c r="AO414" s="412"/>
      <c r="AP414" s="412"/>
      <c r="AQ414" s="412"/>
      <c r="AR414" s="412"/>
      <c r="AS414" s="412"/>
      <c r="AT414" s="412"/>
      <c r="AV414" s="413"/>
      <c r="AW414" s="413"/>
      <c r="AX414" s="414"/>
      <c r="AY414" s="416"/>
      <c r="AZ414" s="416"/>
      <c r="BA414" s="448"/>
    </row>
    <row r="415" spans="1:53">
      <c r="A415" s="5" t="str">
        <f t="shared" si="35"/>
        <v>Low Income - MF Retrofit_DHW Replacement</v>
      </c>
      <c r="B415" s="407">
        <v>412</v>
      </c>
      <c r="C415" s="408" t="s">
        <v>715</v>
      </c>
      <c r="D415" s="407" t="s">
        <v>688</v>
      </c>
      <c r="E415" s="408" t="s">
        <v>150</v>
      </c>
      <c r="F415" s="408">
        <v>1</v>
      </c>
      <c r="G415" s="409">
        <v>1</v>
      </c>
      <c r="H415" s="470">
        <v>15</v>
      </c>
      <c r="I415" s="463">
        <v>15</v>
      </c>
      <c r="J415" s="408">
        <v>11</v>
      </c>
      <c r="K415" s="408">
        <v>11</v>
      </c>
      <c r="L415" s="408">
        <v>11</v>
      </c>
      <c r="M415" s="408">
        <v>11</v>
      </c>
      <c r="N415" s="461">
        <v>800</v>
      </c>
      <c r="O415" s="461">
        <f t="shared" si="37"/>
        <v>800</v>
      </c>
      <c r="P415" s="461">
        <f t="shared" si="37"/>
        <v>800</v>
      </c>
      <c r="Q415" s="461">
        <f t="shared" si="37"/>
        <v>800</v>
      </c>
      <c r="R415" s="407"/>
      <c r="S415" s="407" t="s">
        <v>140</v>
      </c>
      <c r="T415" s="407" t="s">
        <v>140</v>
      </c>
      <c r="U415" s="407" t="s">
        <v>140</v>
      </c>
      <c r="V415" s="412"/>
      <c r="W415" s="412"/>
      <c r="X415" s="412"/>
      <c r="Y415" s="412"/>
      <c r="Z415" s="412"/>
      <c r="AA415" s="412"/>
      <c r="AB415" s="412"/>
      <c r="AC415" s="412"/>
      <c r="AD415" s="412"/>
      <c r="AE415" s="412"/>
      <c r="AF415" s="412"/>
      <c r="AG415" s="412"/>
      <c r="AH415" s="412"/>
      <c r="AI415" s="412"/>
      <c r="AJ415" s="412"/>
      <c r="AK415" s="412"/>
      <c r="AL415" s="412"/>
      <c r="AM415" s="412"/>
      <c r="AN415" s="412"/>
      <c r="AO415" s="412"/>
      <c r="AP415" s="412"/>
      <c r="AQ415" s="412"/>
      <c r="AR415" s="412"/>
      <c r="AS415" s="412"/>
      <c r="AT415" s="412"/>
      <c r="AV415" s="413"/>
      <c r="AW415" s="413"/>
      <c r="AX415" s="414"/>
      <c r="AY415" s="416"/>
      <c r="AZ415" s="416"/>
      <c r="BA415" s="448"/>
    </row>
    <row r="416" spans="1:53">
      <c r="A416" s="5" t="str">
        <f t="shared" si="35"/>
        <v>Low Income - MF Retrofit_HVAC Balancing/Optimizing</v>
      </c>
      <c r="B416" s="407">
        <v>413</v>
      </c>
      <c r="C416" s="408" t="s">
        <v>715</v>
      </c>
      <c r="D416" s="407" t="s">
        <v>689</v>
      </c>
      <c r="E416" s="408" t="s">
        <v>150</v>
      </c>
      <c r="F416" s="408">
        <v>1</v>
      </c>
      <c r="G416" s="409">
        <v>1</v>
      </c>
      <c r="H416" s="470">
        <v>15</v>
      </c>
      <c r="I416" s="463">
        <v>15</v>
      </c>
      <c r="J416" s="408">
        <v>25</v>
      </c>
      <c r="K416" s="408">
        <v>25</v>
      </c>
      <c r="L416" s="408">
        <v>25</v>
      </c>
      <c r="M416" s="408">
        <v>25</v>
      </c>
      <c r="N416" s="461">
        <v>680</v>
      </c>
      <c r="O416" s="461">
        <f t="shared" si="37"/>
        <v>680</v>
      </c>
      <c r="P416" s="461">
        <f t="shared" si="37"/>
        <v>680</v>
      </c>
      <c r="Q416" s="461">
        <f t="shared" si="37"/>
        <v>680</v>
      </c>
      <c r="R416" s="407"/>
      <c r="S416" s="407" t="s">
        <v>140</v>
      </c>
      <c r="T416" s="407" t="s">
        <v>140</v>
      </c>
      <c r="U416" s="407" t="s">
        <v>140</v>
      </c>
      <c r="V416" s="412"/>
      <c r="W416" s="412"/>
      <c r="X416" s="412"/>
      <c r="Y416" s="412"/>
      <c r="Z416" s="412"/>
      <c r="AA416" s="412"/>
      <c r="AB416" s="412"/>
      <c r="AC416" s="412"/>
      <c r="AD416" s="412"/>
      <c r="AE416" s="412"/>
      <c r="AF416" s="412"/>
      <c r="AG416" s="412"/>
      <c r="AH416" s="412"/>
      <c r="AI416" s="412"/>
      <c r="AJ416" s="412"/>
      <c r="AK416" s="412"/>
      <c r="AL416" s="412"/>
      <c r="AM416" s="412"/>
      <c r="AN416" s="412"/>
      <c r="AO416" s="412"/>
      <c r="AP416" s="412"/>
      <c r="AQ416" s="412"/>
      <c r="AR416" s="412"/>
      <c r="AS416" s="412"/>
      <c r="AT416" s="412"/>
      <c r="AV416" s="413"/>
      <c r="AW416" s="413"/>
      <c r="AX416" s="414"/>
      <c r="AY416" s="416"/>
      <c r="AZ416" s="416"/>
      <c r="BA416" s="448"/>
    </row>
    <row r="417" spans="1:53" ht="12.75" customHeight="1">
      <c r="A417" s="5" t="str">
        <f t="shared" si="35"/>
        <v>Low Income - SF New Construction_Furnace &gt;95% AFUE</v>
      </c>
      <c r="B417" s="407">
        <v>414</v>
      </c>
      <c r="C417" s="408" t="s">
        <v>716</v>
      </c>
      <c r="D417" s="408" t="s">
        <v>1063</v>
      </c>
      <c r="E417" s="408" t="s">
        <v>150</v>
      </c>
      <c r="F417" s="408">
        <v>1</v>
      </c>
      <c r="G417" s="409">
        <v>1</v>
      </c>
      <c r="H417" s="470">
        <v>20</v>
      </c>
      <c r="I417" s="463">
        <v>20</v>
      </c>
      <c r="J417" s="408">
        <v>100</v>
      </c>
      <c r="K417" s="408">
        <v>100</v>
      </c>
      <c r="L417" s="408">
        <v>100</v>
      </c>
      <c r="M417" s="408">
        <v>100</v>
      </c>
      <c r="N417" s="393">
        <f xml:space="preserve"> ((X417 * Z417)/(1-AH417) * (((AD417 * (1-AH417)) / (AB417 * (1-AF417))) - 1)) / 100000</f>
        <v>156.41025641025624</v>
      </c>
      <c r="O417" s="461">
        <f t="shared" si="37"/>
        <v>156.41025641025624</v>
      </c>
      <c r="P417" s="461">
        <f t="shared" si="37"/>
        <v>156.41025641025624</v>
      </c>
      <c r="Q417" s="461">
        <f t="shared" si="37"/>
        <v>156.41025641025624</v>
      </c>
      <c r="R417" s="411"/>
      <c r="S417" s="411" t="s">
        <v>1046</v>
      </c>
      <c r="T417" s="411" t="s">
        <v>401</v>
      </c>
      <c r="U417" s="411" t="s">
        <v>400</v>
      </c>
      <c r="V417" s="421" t="s">
        <v>845</v>
      </c>
      <c r="W417" s="421" t="s">
        <v>303</v>
      </c>
      <c r="X417" s="426">
        <v>976</v>
      </c>
      <c r="Y417" s="421" t="s">
        <v>844</v>
      </c>
      <c r="Z417" s="428">
        <v>80000</v>
      </c>
      <c r="AA417" s="150" t="s">
        <v>390</v>
      </c>
      <c r="AB417" s="423">
        <v>0.8</v>
      </c>
      <c r="AC417" s="150" t="s">
        <v>299</v>
      </c>
      <c r="AD417" s="423">
        <v>0.95</v>
      </c>
      <c r="AE417" s="157" t="s">
        <v>398</v>
      </c>
      <c r="AF417" s="425">
        <v>6.4000000000000001E-2</v>
      </c>
      <c r="AG417" s="158" t="s">
        <v>397</v>
      </c>
      <c r="AH417" s="425">
        <v>6.4000000000000001E-2</v>
      </c>
      <c r="AI417" s="158"/>
      <c r="AJ417" s="158"/>
      <c r="AK417" s="158"/>
      <c r="AL417" s="158"/>
      <c r="AM417" s="158"/>
      <c r="AN417" s="158"/>
      <c r="AO417" s="158"/>
      <c r="AP417" s="158"/>
      <c r="AQ417" s="158"/>
      <c r="AR417" s="158"/>
      <c r="AS417" s="158"/>
      <c r="AT417" s="158"/>
      <c r="AV417" s="413"/>
      <c r="AW417" s="413"/>
      <c r="AX417" s="414"/>
      <c r="AY417" s="416"/>
      <c r="AZ417" s="416"/>
      <c r="BA417" s="448"/>
    </row>
    <row r="418" spans="1:53">
      <c r="A418" s="5" t="str">
        <f t="shared" si="35"/>
        <v>Low Income - SF New Construction_Water Heater - Storage 0.67 EF</v>
      </c>
      <c r="B418" s="407">
        <v>415</v>
      </c>
      <c r="C418" s="408" t="s">
        <v>716</v>
      </c>
      <c r="D418" s="408" t="s">
        <v>387</v>
      </c>
      <c r="E418" s="408" t="s">
        <v>150</v>
      </c>
      <c r="F418" s="408">
        <v>1</v>
      </c>
      <c r="G418" s="409">
        <v>1</v>
      </c>
      <c r="H418" s="470">
        <v>13</v>
      </c>
      <c r="I418" s="463">
        <v>13</v>
      </c>
      <c r="J418" s="408">
        <v>100</v>
      </c>
      <c r="K418" s="408">
        <v>100</v>
      </c>
      <c r="L418" s="408">
        <v>100</v>
      </c>
      <c r="M418" s="408">
        <v>100</v>
      </c>
      <c r="N418" s="393">
        <f>(((1/X418)-(1/Z418))*(AB418*AD418*365.25*AF418*(AH418-AJ418)*1))/100000</f>
        <v>15.645447674402874</v>
      </c>
      <c r="O418" s="461">
        <f t="shared" si="37"/>
        <v>15.645447674402874</v>
      </c>
      <c r="P418" s="461">
        <f t="shared" si="37"/>
        <v>15.645447674402874</v>
      </c>
      <c r="Q418" s="461">
        <f t="shared" si="37"/>
        <v>15.645447674402874</v>
      </c>
      <c r="R418" s="411"/>
      <c r="S418" s="411" t="s">
        <v>1046</v>
      </c>
      <c r="T418" s="411" t="s">
        <v>386</v>
      </c>
      <c r="U418" s="411" t="s">
        <v>385</v>
      </c>
      <c r="V418" s="391" t="s">
        <v>848</v>
      </c>
      <c r="W418" s="421" t="s">
        <v>849</v>
      </c>
      <c r="X418" s="451">
        <f xml:space="preserve"> 0.6483 - ( 0.0017 * AL418 )</f>
        <v>0.58030000000000004</v>
      </c>
      <c r="Y418" s="421" t="s">
        <v>850</v>
      </c>
      <c r="Z418" s="421">
        <v>0.64</v>
      </c>
      <c r="AA418" s="150" t="s">
        <v>256</v>
      </c>
      <c r="AB418" s="158">
        <v>17.600000000000001</v>
      </c>
      <c r="AC418" s="150" t="s">
        <v>384</v>
      </c>
      <c r="AD418" s="158">
        <v>2.56</v>
      </c>
      <c r="AE418" s="158" t="s">
        <v>383</v>
      </c>
      <c r="AF418" s="158">
        <v>8.33</v>
      </c>
      <c r="AG418" s="158" t="s">
        <v>257</v>
      </c>
      <c r="AH418" s="158">
        <v>125</v>
      </c>
      <c r="AI418" s="158" t="s">
        <v>250</v>
      </c>
      <c r="AJ418" s="158">
        <v>54</v>
      </c>
      <c r="AK418" s="158" t="s">
        <v>382</v>
      </c>
      <c r="AL418" s="158">
        <v>40</v>
      </c>
      <c r="AM418" s="158"/>
      <c r="AN418" s="158"/>
      <c r="AO418" s="158"/>
      <c r="AP418" s="158"/>
      <c r="AQ418" s="158"/>
      <c r="AR418" s="158"/>
      <c r="AS418" s="158"/>
      <c r="AT418" s="158"/>
      <c r="AV418" s="413"/>
      <c r="AW418" s="413"/>
      <c r="AX418" s="416"/>
      <c r="AY418" s="416"/>
      <c r="AZ418" s="416"/>
      <c r="BA418" s="448"/>
    </row>
    <row r="419" spans="1:53">
      <c r="A419" s="5" t="str">
        <f>C419&amp;"_"&amp;D419</f>
        <v>Low Income - SF New Construction_Programmable Thermostat - Furnace</v>
      </c>
      <c r="B419" s="407">
        <v>416</v>
      </c>
      <c r="C419" s="408" t="s">
        <v>716</v>
      </c>
      <c r="D419" s="408" t="s">
        <v>702</v>
      </c>
      <c r="E419" s="408" t="s">
        <v>150</v>
      </c>
      <c r="F419" s="408">
        <v>1</v>
      </c>
      <c r="G419" s="409">
        <v>1</v>
      </c>
      <c r="H419" s="470">
        <v>5</v>
      </c>
      <c r="I419" s="467">
        <v>8</v>
      </c>
      <c r="J419" s="408">
        <v>100</v>
      </c>
      <c r="K419" s="408">
        <v>100</v>
      </c>
      <c r="L419" s="408">
        <v>100</v>
      </c>
      <c r="M419" s="408">
        <v>100</v>
      </c>
      <c r="N419" s="354">
        <f>X419*Z419*AB419*AD419</f>
        <v>34.893600000000006</v>
      </c>
      <c r="O419" s="461">
        <f t="shared" si="37"/>
        <v>34.893600000000006</v>
      </c>
      <c r="P419" s="461">
        <f t="shared" si="37"/>
        <v>34.893600000000006</v>
      </c>
      <c r="Q419" s="461">
        <f t="shared" si="37"/>
        <v>34.893600000000006</v>
      </c>
      <c r="R419" s="411"/>
      <c r="S419" s="411" t="s">
        <v>1046</v>
      </c>
      <c r="T419" s="411" t="s">
        <v>447</v>
      </c>
      <c r="U419" s="411" t="s">
        <v>446</v>
      </c>
      <c r="V419" s="412" t="s">
        <v>441</v>
      </c>
      <c r="W419" s="151" t="s">
        <v>445</v>
      </c>
      <c r="X419" s="152">
        <v>1005</v>
      </c>
      <c r="Y419" s="153" t="s">
        <v>444</v>
      </c>
      <c r="Z419" s="154">
        <v>6.2E-2</v>
      </c>
      <c r="AA419" s="149" t="s">
        <v>392</v>
      </c>
      <c r="AB419" s="155">
        <v>1</v>
      </c>
      <c r="AC419" s="149" t="s">
        <v>443</v>
      </c>
      <c r="AD419" s="155">
        <v>0.56000000000000005</v>
      </c>
      <c r="AE419" s="149" t="s">
        <v>442</v>
      </c>
      <c r="AF419" s="156">
        <v>3.1399999999999997E-2</v>
      </c>
      <c r="AG419" s="158"/>
      <c r="AH419" s="158"/>
      <c r="AI419" s="158"/>
      <c r="AJ419" s="158"/>
      <c r="AK419" s="158"/>
      <c r="AL419" s="158"/>
      <c r="AM419" s="158"/>
      <c r="AN419" s="158"/>
      <c r="AO419" s="158"/>
      <c r="AP419" s="158"/>
      <c r="AQ419" s="158"/>
      <c r="AR419" s="158"/>
      <c r="AS419" s="158"/>
      <c r="AT419" s="158"/>
      <c r="AV419" s="413"/>
      <c r="AW419" s="413"/>
      <c r="AX419" s="416"/>
      <c r="AY419" s="416"/>
      <c r="AZ419" s="416"/>
      <c r="BA419" s="448"/>
    </row>
    <row r="420" spans="1:53">
      <c r="A420" s="5" t="str">
        <f t="shared" si="35"/>
        <v>Low Income - SF New Construction_Duct Sealing</v>
      </c>
      <c r="B420" s="407">
        <v>417</v>
      </c>
      <c r="C420" s="408" t="s">
        <v>716</v>
      </c>
      <c r="D420" s="408" t="s">
        <v>707</v>
      </c>
      <c r="E420" s="408" t="s">
        <v>429</v>
      </c>
      <c r="F420" s="408">
        <v>120</v>
      </c>
      <c r="G420" s="409">
        <v>1</v>
      </c>
      <c r="H420" s="470">
        <v>20</v>
      </c>
      <c r="I420" s="463">
        <v>20</v>
      </c>
      <c r="J420" s="408">
        <v>100</v>
      </c>
      <c r="K420" s="408">
        <v>100</v>
      </c>
      <c r="L420" s="408">
        <v>100</v>
      </c>
      <c r="M420" s="408">
        <v>100</v>
      </c>
      <c r="N420" s="208">
        <f>X420/(Z420*0.0123)*AB420*Z420*AH420*(AD420/AF420)/100000</f>
        <v>0.70950058072009281</v>
      </c>
      <c r="O420" s="461">
        <f t="shared" si="37"/>
        <v>0.70950058072009281</v>
      </c>
      <c r="P420" s="461">
        <f t="shared" si="37"/>
        <v>0.70950058072009281</v>
      </c>
      <c r="Q420" s="461">
        <f t="shared" si="37"/>
        <v>0.70950058072009281</v>
      </c>
      <c r="R420" s="411"/>
      <c r="S420" s="411" t="s">
        <v>1046</v>
      </c>
      <c r="T420" s="411" t="s">
        <v>428</v>
      </c>
      <c r="U420" s="411" t="s">
        <v>427</v>
      </c>
      <c r="V420" s="158" t="s">
        <v>420</v>
      </c>
      <c r="W420" s="158" t="s">
        <v>426</v>
      </c>
      <c r="X420" s="158">
        <v>1</v>
      </c>
      <c r="Y420" s="158" t="s">
        <v>425</v>
      </c>
      <c r="Z420" s="424">
        <v>76000</v>
      </c>
      <c r="AA420" s="150" t="s">
        <v>424</v>
      </c>
      <c r="AB420" s="424">
        <v>1840</v>
      </c>
      <c r="AC420" s="150" t="s">
        <v>423</v>
      </c>
      <c r="AD420" s="429">
        <v>0.83</v>
      </c>
      <c r="AE420" s="150" t="s">
        <v>422</v>
      </c>
      <c r="AF420" s="423">
        <v>0.7</v>
      </c>
      <c r="AG420" s="158" t="s">
        <v>421</v>
      </c>
      <c r="AH420" s="423">
        <v>0.4</v>
      </c>
      <c r="AI420" s="158"/>
      <c r="AJ420" s="158"/>
      <c r="AK420" s="158"/>
      <c r="AL420" s="158"/>
      <c r="AM420" s="158"/>
      <c r="AN420" s="158"/>
      <c r="AO420" s="158"/>
      <c r="AP420" s="158"/>
      <c r="AQ420" s="158"/>
      <c r="AR420" s="158"/>
      <c r="AS420" s="158"/>
      <c r="AT420" s="158"/>
      <c r="AV420" s="413"/>
      <c r="AW420" s="413"/>
      <c r="AX420" s="416"/>
      <c r="AY420" s="416"/>
      <c r="AZ420" s="416"/>
      <c r="BA420" s="448"/>
    </row>
    <row r="421" spans="1:53">
      <c r="A421" s="5" t="str">
        <f t="shared" si="35"/>
        <v>Low Income - MF New Construction_New Construction</v>
      </c>
      <c r="B421" s="407">
        <v>418</v>
      </c>
      <c r="C421" s="408" t="s">
        <v>717</v>
      </c>
      <c r="D421" s="408" t="s">
        <v>676</v>
      </c>
      <c r="E421" s="408" t="s">
        <v>150</v>
      </c>
      <c r="F421" s="408">
        <v>1</v>
      </c>
      <c r="G421" s="409">
        <v>1</v>
      </c>
      <c r="H421" s="470">
        <v>15</v>
      </c>
      <c r="I421" s="463">
        <v>15</v>
      </c>
      <c r="J421" s="408">
        <v>10</v>
      </c>
      <c r="K421" s="408">
        <v>10</v>
      </c>
      <c r="L421" s="408">
        <v>10</v>
      </c>
      <c r="M421" s="408">
        <v>10</v>
      </c>
      <c r="N421" s="461">
        <v>6100</v>
      </c>
      <c r="O421" s="461">
        <f t="shared" si="37"/>
        <v>6100</v>
      </c>
      <c r="P421" s="461">
        <f t="shared" si="37"/>
        <v>6100</v>
      </c>
      <c r="Q421" s="461">
        <f t="shared" si="37"/>
        <v>6100</v>
      </c>
      <c r="R421" s="407"/>
      <c r="S421" s="407" t="s">
        <v>140</v>
      </c>
      <c r="T421" s="407" t="s">
        <v>140</v>
      </c>
      <c r="U421" s="407" t="s">
        <v>140</v>
      </c>
      <c r="V421" s="412"/>
      <c r="W421" s="412"/>
      <c r="X421" s="412"/>
      <c r="Y421" s="412"/>
      <c r="Z421" s="412"/>
      <c r="AA421" s="412"/>
      <c r="AB421" s="412"/>
      <c r="AC421" s="412"/>
      <c r="AD421" s="412"/>
      <c r="AE421" s="412"/>
      <c r="AF421" s="412"/>
      <c r="AG421" s="412"/>
      <c r="AH421" s="412"/>
      <c r="AI421" s="412"/>
      <c r="AJ421" s="412"/>
      <c r="AK421" s="412"/>
      <c r="AL421" s="412"/>
      <c r="AM421" s="412"/>
      <c r="AN421" s="412"/>
      <c r="AO421" s="412"/>
      <c r="AP421" s="412"/>
      <c r="AQ421" s="412"/>
      <c r="AR421" s="412"/>
      <c r="AS421" s="412"/>
      <c r="AT421" s="412"/>
      <c r="AV421" s="413"/>
      <c r="AW421" s="413"/>
      <c r="AX421" s="416"/>
      <c r="AY421" s="416"/>
      <c r="AZ421" s="416"/>
      <c r="BA421" s="448"/>
    </row>
    <row r="422" spans="1:53">
      <c r="N422" s="398"/>
      <c r="O422" s="398"/>
      <c r="P422" s="398"/>
      <c r="Q422" s="398"/>
      <c r="U422" s="5"/>
      <c r="W422" s="5"/>
      <c r="X422" s="5"/>
      <c r="Y422" s="5"/>
      <c r="Z422" s="5"/>
      <c r="AA422" s="5"/>
      <c r="AC422" s="5"/>
      <c r="AE422" s="5"/>
      <c r="AV422" s="413"/>
      <c r="AW422" s="413"/>
      <c r="AX422" s="416"/>
      <c r="AY422" s="415"/>
      <c r="AZ422" s="416"/>
      <c r="BA422" s="448"/>
    </row>
    <row r="423" spans="1:53">
      <c r="N423" s="398"/>
      <c r="O423" s="398"/>
      <c r="P423" s="398"/>
      <c r="Q423" s="398"/>
      <c r="U423" s="5"/>
      <c r="W423" s="5"/>
      <c r="X423" s="5"/>
      <c r="Y423" s="5"/>
      <c r="Z423" s="5"/>
      <c r="AA423" s="5"/>
      <c r="AC423" s="5"/>
      <c r="AE423" s="5"/>
      <c r="AV423" s="413"/>
      <c r="AW423" s="413"/>
      <c r="AX423" s="416"/>
      <c r="AY423" s="415"/>
      <c r="AZ423" s="416"/>
      <c r="BA423" s="448"/>
    </row>
    <row r="424" spans="1:53">
      <c r="N424" s="398"/>
      <c r="O424" s="398"/>
      <c r="P424" s="398"/>
      <c r="Q424" s="398"/>
      <c r="U424" s="5"/>
      <c r="W424" s="5"/>
      <c r="X424" s="5"/>
      <c r="Y424" s="5"/>
      <c r="Z424" s="5"/>
      <c r="AA424" s="5"/>
      <c r="AC424" s="5"/>
      <c r="AE424" s="5"/>
      <c r="AV424" s="413"/>
      <c r="AW424" s="413"/>
      <c r="AX424" s="416"/>
      <c r="AY424" s="415"/>
      <c r="AZ424" s="416"/>
      <c r="BA424" s="448"/>
    </row>
    <row r="425" spans="1:53">
      <c r="N425" s="454"/>
      <c r="O425" s="398"/>
      <c r="P425" s="398"/>
      <c r="Q425" s="398"/>
      <c r="U425" s="5"/>
      <c r="W425" s="5"/>
      <c r="X425" s="5"/>
      <c r="Y425" s="5"/>
      <c r="Z425" s="5"/>
      <c r="AA425" s="5"/>
      <c r="AC425" s="5"/>
      <c r="AE425" s="5"/>
      <c r="AV425" s="413"/>
      <c r="AW425" s="413"/>
      <c r="AX425" s="416"/>
      <c r="AY425" s="415"/>
      <c r="AZ425" s="416"/>
      <c r="BA425" s="448"/>
    </row>
  </sheetData>
  <autoFilter ref="B3:AT421" xr:uid="{B368F620-2F88-4EDC-A60C-4F6CD81ADF05}"/>
  <sortState ref="C164:AO290">
    <sortCondition ref="D167:D293"/>
  </sortState>
  <mergeCells count="2">
    <mergeCell ref="J2:M2"/>
    <mergeCell ref="N2:Q2"/>
  </mergeCells>
  <pageMargins left="0.7" right="0.7" top="0.75" bottom="0.75" header="0.3" footer="0.3"/>
  <pageSetup scale="28" orientation="landscape" verticalDpi="0" r:id="rId1"/>
  <rowBreaks count="1" manualBreakCount="1">
    <brk id="375" min="2" max="42" man="1"/>
  </rowBreaks>
  <colBreaks count="1" manualBreakCount="1">
    <brk id="22" max="43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3:AD121"/>
  <sheetViews>
    <sheetView view="pageBreakPreview" zoomScale="70" zoomScaleNormal="70" zoomScaleSheetLayoutView="70" workbookViewId="0"/>
  </sheetViews>
  <sheetFormatPr defaultRowHeight="14.5"/>
  <cols>
    <col min="1" max="1" width="43.453125" customWidth="1"/>
    <col min="2" max="2" width="13.17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81640625" customWidth="1"/>
    <col min="11" max="11" width="13.26953125" bestFit="1" customWidth="1"/>
    <col min="12" max="12" width="14.81640625" bestFit="1" customWidth="1"/>
    <col min="13" max="13" width="13.26953125" bestFit="1" customWidth="1"/>
    <col min="14" max="15" width="8.453125" customWidth="1"/>
    <col min="16" max="16" width="5.7265625" customWidth="1"/>
    <col min="17" max="17" width="8.453125" customWidth="1"/>
    <col min="18" max="18" width="9.453125" customWidth="1"/>
    <col min="19" max="19" width="10.54296875" customWidth="1"/>
  </cols>
  <sheetData>
    <row r="3" spans="1:30" s="70" customFormat="1" ht="13">
      <c r="A3" s="71" t="s">
        <v>540</v>
      </c>
      <c r="B3" s="71"/>
      <c r="C3" s="71"/>
    </row>
    <row r="4" spans="1:30" s="68" customFormat="1" ht="13">
      <c r="A4" s="66" t="s">
        <v>539</v>
      </c>
      <c r="B4" s="69"/>
      <c r="C4" s="69"/>
      <c r="D4" s="69"/>
      <c r="E4" s="69"/>
      <c r="F4" s="69"/>
      <c r="G4" s="69"/>
      <c r="H4" s="69"/>
      <c r="I4" s="69"/>
      <c r="J4" s="69"/>
      <c r="K4" s="69"/>
      <c r="L4" s="69"/>
      <c r="M4" s="69"/>
      <c r="N4" s="69"/>
      <c r="O4" s="69"/>
      <c r="Z4" s="6"/>
      <c r="AA4" s="6"/>
      <c r="AB4" s="6"/>
      <c r="AC4" s="6"/>
      <c r="AD4" s="6"/>
    </row>
    <row r="5" spans="1:30" s="6" customFormat="1" ht="13">
      <c r="A5" s="67" t="s">
        <v>538</v>
      </c>
      <c r="B5" s="66"/>
      <c r="C5" s="66"/>
      <c r="D5" s="66"/>
      <c r="E5" s="66"/>
      <c r="F5" s="66"/>
      <c r="G5" s="66"/>
      <c r="H5" s="66"/>
      <c r="I5" s="66"/>
      <c r="J5" s="66"/>
      <c r="K5" s="66"/>
      <c r="L5" s="66"/>
      <c r="M5" s="66"/>
      <c r="N5" s="66"/>
      <c r="O5" s="66"/>
      <c r="T5" s="369"/>
      <c r="U5" s="369"/>
      <c r="V5" s="369"/>
      <c r="W5" s="369"/>
    </row>
    <row r="6" spans="1:30" s="4" customFormat="1" ht="13">
      <c r="A6" s="2"/>
      <c r="B6" s="2"/>
      <c r="C6" s="2"/>
      <c r="D6" s="2"/>
      <c r="E6" s="2"/>
      <c r="F6" s="30"/>
      <c r="G6" s="30"/>
      <c r="H6" s="30"/>
      <c r="I6" s="30"/>
      <c r="J6" s="30"/>
      <c r="K6" s="30"/>
      <c r="L6" s="30"/>
      <c r="M6" s="30"/>
      <c r="N6" s="26"/>
      <c r="O6" s="26"/>
      <c r="P6" s="26"/>
      <c r="Q6" s="30"/>
      <c r="R6" s="30"/>
      <c r="S6" s="30"/>
      <c r="T6" s="8"/>
      <c r="U6" s="8"/>
      <c r="V6" s="8"/>
      <c r="W6" s="8"/>
    </row>
    <row r="7" spans="1:30" s="4" customFormat="1" ht="9" customHeight="1">
      <c r="A7" s="540" t="s">
        <v>537</v>
      </c>
      <c r="B7" s="540" t="s">
        <v>536</v>
      </c>
      <c r="C7" s="540"/>
      <c r="D7" s="540"/>
      <c r="E7" s="540"/>
      <c r="F7" s="540"/>
      <c r="G7" s="540" t="s">
        <v>535</v>
      </c>
      <c r="H7" s="540"/>
      <c r="I7" s="540"/>
      <c r="J7" s="544" t="s">
        <v>534</v>
      </c>
      <c r="K7" s="544"/>
      <c r="L7" s="544"/>
      <c r="M7" s="544"/>
      <c r="N7" s="544"/>
      <c r="O7" s="544"/>
      <c r="P7" s="30"/>
      <c r="Q7" s="30"/>
      <c r="R7" s="545" t="s">
        <v>533</v>
      </c>
      <c r="S7" s="546"/>
      <c r="T7" s="8"/>
      <c r="U7" s="8"/>
      <c r="V7" s="8"/>
      <c r="W7" s="8"/>
    </row>
    <row r="8" spans="1:30" s="4" customFormat="1" ht="60.75" customHeight="1">
      <c r="A8" s="540"/>
      <c r="B8" s="65" t="s">
        <v>532</v>
      </c>
      <c r="C8" s="65" t="s">
        <v>532</v>
      </c>
      <c r="D8" s="65" t="s">
        <v>531</v>
      </c>
      <c r="E8" s="65" t="s">
        <v>530</v>
      </c>
      <c r="F8" s="65" t="s">
        <v>529</v>
      </c>
      <c r="G8" s="65" t="s">
        <v>531</v>
      </c>
      <c r="H8" s="65" t="s">
        <v>530</v>
      </c>
      <c r="I8" s="65" t="s">
        <v>529</v>
      </c>
      <c r="J8" s="64" t="s">
        <v>523</v>
      </c>
      <c r="K8" s="64" t="s">
        <v>522</v>
      </c>
      <c r="L8" s="64" t="s">
        <v>528</v>
      </c>
      <c r="M8" s="64" t="s">
        <v>527</v>
      </c>
      <c r="N8" s="64" t="s">
        <v>526</v>
      </c>
      <c r="O8" s="64" t="s">
        <v>525</v>
      </c>
      <c r="P8" s="64" t="s">
        <v>524</v>
      </c>
      <c r="Q8" s="30"/>
      <c r="R8" s="63" t="s">
        <v>523</v>
      </c>
      <c r="S8" s="63" t="s">
        <v>522</v>
      </c>
      <c r="T8" s="8"/>
      <c r="U8" s="8"/>
      <c r="V8" s="8"/>
      <c r="W8" s="8"/>
    </row>
    <row r="9" spans="1:30" s="4" customFormat="1" ht="13">
      <c r="A9" s="539" t="s">
        <v>521</v>
      </c>
      <c r="B9" s="56">
        <v>114.8</v>
      </c>
      <c r="C9" s="56">
        <v>27.34</v>
      </c>
      <c r="D9" s="54">
        <v>69.760000000000005</v>
      </c>
      <c r="E9" s="54">
        <v>46</v>
      </c>
      <c r="F9" s="54"/>
      <c r="G9" s="54">
        <v>16.170000000000002</v>
      </c>
      <c r="H9" s="54">
        <v>11.69</v>
      </c>
      <c r="I9" s="54"/>
      <c r="J9" s="53">
        <f t="shared" ref="J9:J25" si="0">((B9-C9)*$B$36*$B$33)/(100000*$B$30)</f>
        <v>3.7651150681536549</v>
      </c>
      <c r="K9" s="53"/>
      <c r="L9" s="53"/>
      <c r="M9" s="53">
        <f t="shared" ref="M9:M15" si="1">((D9-G9)*$B$36*$B$33)/(100000*$B$31)</f>
        <v>2.8731021450617282</v>
      </c>
      <c r="N9" s="57">
        <f t="shared" ref="N9:N20" si="2">(((E9-H9)+(D9-G9))/2*$B$36*$B$33)/(100000*$B$32)</f>
        <v>1.8643064102564104</v>
      </c>
      <c r="O9" s="57"/>
      <c r="P9" s="51"/>
      <c r="Q9" s="62"/>
      <c r="R9" s="61"/>
      <c r="S9" s="61"/>
      <c r="T9" s="8"/>
      <c r="U9" s="8"/>
      <c r="V9" s="8"/>
      <c r="W9" s="8"/>
    </row>
    <row r="10" spans="1:30" s="4" customFormat="1" ht="13">
      <c r="A10" s="539"/>
      <c r="B10" s="56">
        <v>140.19999999999999</v>
      </c>
      <c r="C10" s="56">
        <v>28.46</v>
      </c>
      <c r="D10" s="54">
        <v>80.05</v>
      </c>
      <c r="E10" s="54">
        <v>56.07</v>
      </c>
      <c r="F10" s="54">
        <v>38.5</v>
      </c>
      <c r="G10" s="54">
        <v>16.850000000000001</v>
      </c>
      <c r="H10" s="54">
        <v>12.19</v>
      </c>
      <c r="I10" s="54">
        <v>8.6999999999999993</v>
      </c>
      <c r="J10" s="53">
        <f t="shared" si="0"/>
        <v>4.8103585377942988</v>
      </c>
      <c r="K10" s="53"/>
      <c r="L10" s="53">
        <f t="shared" ref="L10:L15" si="3">((D10-G10)*$B$36*$B$33)/(100000*$B$30)</f>
        <v>2.7207325898389092</v>
      </c>
      <c r="M10" s="53">
        <f t="shared" si="1"/>
        <v>3.3883197530864191</v>
      </c>
      <c r="N10" s="57">
        <f t="shared" si="2"/>
        <v>2.2711027350427346</v>
      </c>
      <c r="O10" s="57">
        <f t="shared" ref="O10:O15" si="4">((F10-I10)*$B$35*$B$34)/(100000*$B$32)</f>
        <v>2.6792492307692308</v>
      </c>
      <c r="P10" s="51">
        <v>1</v>
      </c>
      <c r="Q10" s="50">
        <f t="shared" ref="Q10:Q25" si="5">28.716*P10^3</f>
        <v>28.716000000000001</v>
      </c>
      <c r="R10" s="541">
        <f>(1/Q10*L10+1/Q11*L11+1/Q12*L12+1/Q13*L13)/(1/Q10+1/Q11+1/Q12+1/Q13)</f>
        <v>3.1854757047967208</v>
      </c>
      <c r="S10" s="541">
        <f>(1/Q10*M10+1/Q11*M11+1/Q12*M12+1/Q13*M13)/(1/Q10+1/Q11+1/Q12+1/Q13)</f>
        <v>3.967097058288509</v>
      </c>
      <c r="T10" s="8"/>
      <c r="U10" s="8"/>
      <c r="V10" s="8"/>
      <c r="W10" s="8"/>
    </row>
    <row r="11" spans="1:30" s="4" customFormat="1" ht="13">
      <c r="A11" s="539"/>
      <c r="B11" s="56">
        <v>172.9</v>
      </c>
      <c r="C11" s="56">
        <v>36.479999999999997</v>
      </c>
      <c r="D11" s="54">
        <v>98.61</v>
      </c>
      <c r="E11" s="54">
        <v>69.040000000000006</v>
      </c>
      <c r="F11" s="54">
        <v>47.38</v>
      </c>
      <c r="G11" s="54">
        <v>21.56</v>
      </c>
      <c r="H11" s="54">
        <v>15.58</v>
      </c>
      <c r="I11" s="54">
        <v>11.1</v>
      </c>
      <c r="J11" s="53">
        <f t="shared" si="0"/>
        <v>5.8728218339529121</v>
      </c>
      <c r="K11" s="53"/>
      <c r="L11" s="53">
        <f t="shared" si="3"/>
        <v>3.3169690830235434</v>
      </c>
      <c r="M11" s="53">
        <f t="shared" si="1"/>
        <v>4.1308550154320987</v>
      </c>
      <c r="N11" s="57">
        <f t="shared" si="2"/>
        <v>2.7680390170940163</v>
      </c>
      <c r="O11" s="57">
        <f t="shared" si="4"/>
        <v>3.2618510769230769</v>
      </c>
      <c r="P11" s="51">
        <v>1.25</v>
      </c>
      <c r="Q11" s="50">
        <f t="shared" si="5"/>
        <v>56.0859375</v>
      </c>
      <c r="R11" s="541"/>
      <c r="S11" s="541"/>
      <c r="T11" s="8"/>
      <c r="U11" s="8"/>
      <c r="V11" s="8"/>
      <c r="W11" s="8"/>
    </row>
    <row r="12" spans="1:30" s="4" customFormat="1" ht="13">
      <c r="A12" s="539"/>
      <c r="B12" s="56">
        <v>195.5</v>
      </c>
      <c r="C12" s="56">
        <v>36.99</v>
      </c>
      <c r="D12" s="54">
        <v>111.4</v>
      </c>
      <c r="E12" s="54">
        <v>77.98</v>
      </c>
      <c r="F12" s="54">
        <v>53.5</v>
      </c>
      <c r="G12" s="54">
        <v>21.88</v>
      </c>
      <c r="H12" s="54">
        <v>15.82</v>
      </c>
      <c r="I12" s="54">
        <v>11.28</v>
      </c>
      <c r="J12" s="53">
        <f t="shared" si="0"/>
        <v>6.823786753407683</v>
      </c>
      <c r="K12" s="53"/>
      <c r="L12" s="53">
        <f t="shared" si="3"/>
        <v>3.8537971747211901</v>
      </c>
      <c r="M12" s="53">
        <f t="shared" si="1"/>
        <v>4.7994048148148156</v>
      </c>
      <c r="N12" s="57">
        <f t="shared" si="2"/>
        <v>3.2170420512820512</v>
      </c>
      <c r="O12" s="57">
        <f t="shared" si="4"/>
        <v>3.7959027692307687</v>
      </c>
      <c r="P12" s="51">
        <v>1.5</v>
      </c>
      <c r="Q12" s="50">
        <f t="shared" si="5"/>
        <v>96.916499999999999</v>
      </c>
      <c r="R12" s="541"/>
      <c r="S12" s="541"/>
      <c r="T12" s="8"/>
      <c r="U12" s="8"/>
      <c r="V12" s="8"/>
      <c r="W12" s="8"/>
    </row>
    <row r="13" spans="1:30" s="4" customFormat="1" ht="13">
      <c r="A13" s="539" t="s">
        <v>520</v>
      </c>
      <c r="B13" s="56">
        <v>239.9</v>
      </c>
      <c r="C13" s="56">
        <v>43.22</v>
      </c>
      <c r="D13" s="54">
        <v>136.6</v>
      </c>
      <c r="E13" s="54">
        <v>95.55</v>
      </c>
      <c r="F13" s="54">
        <v>65.53</v>
      </c>
      <c r="G13" s="54">
        <v>25.55</v>
      </c>
      <c r="H13" s="54">
        <v>18.48</v>
      </c>
      <c r="I13" s="54">
        <v>13.17</v>
      </c>
      <c r="J13" s="53">
        <f t="shared" si="0"/>
        <v>8.4669886988847569</v>
      </c>
      <c r="K13" s="53"/>
      <c r="L13" s="53">
        <f t="shared" si="3"/>
        <v>4.7806543370508052</v>
      </c>
      <c r="M13" s="53">
        <f t="shared" si="1"/>
        <v>5.9536852623456786</v>
      </c>
      <c r="N13" s="57">
        <f t="shared" si="2"/>
        <v>3.9899126495726498</v>
      </c>
      <c r="O13" s="57">
        <f t="shared" si="4"/>
        <v>4.7075667692307697</v>
      </c>
      <c r="P13" s="51">
        <v>2</v>
      </c>
      <c r="Q13" s="50">
        <f t="shared" si="5"/>
        <v>229.72800000000001</v>
      </c>
      <c r="R13" s="541"/>
      <c r="S13" s="541"/>
      <c r="T13" s="8"/>
      <c r="U13" s="8"/>
      <c r="V13" s="8"/>
      <c r="W13" s="8"/>
    </row>
    <row r="14" spans="1:30" s="4" customFormat="1" ht="13">
      <c r="A14" s="539"/>
      <c r="B14" s="56">
        <v>286.2</v>
      </c>
      <c r="C14" s="56">
        <v>49.65</v>
      </c>
      <c r="D14" s="54">
        <v>162.80000000000001</v>
      </c>
      <c r="E14" s="54">
        <v>113.9</v>
      </c>
      <c r="F14" s="54">
        <v>78.069999999999993</v>
      </c>
      <c r="G14" s="54">
        <v>29.35</v>
      </c>
      <c r="H14" s="54">
        <v>21.21</v>
      </c>
      <c r="I14" s="54">
        <v>15.12</v>
      </c>
      <c r="J14" s="53">
        <f t="shared" si="0"/>
        <v>10.183374907063195</v>
      </c>
      <c r="K14" s="21"/>
      <c r="L14" s="21">
        <f t="shared" si="3"/>
        <v>5.7449646220570019</v>
      </c>
      <c r="M14" s="21">
        <f t="shared" si="1"/>
        <v>7.154608719135803</v>
      </c>
      <c r="N14" s="60">
        <f t="shared" si="2"/>
        <v>4.7962941025641026</v>
      </c>
      <c r="O14" s="60">
        <f t="shared" si="4"/>
        <v>5.6596892307692306</v>
      </c>
      <c r="P14" s="59">
        <v>2.5</v>
      </c>
      <c r="Q14" s="58">
        <f t="shared" si="5"/>
        <v>448.6875</v>
      </c>
      <c r="R14" s="542">
        <f>(1/Q14*L14+1/Q15*L15+1/Q16*J16+1/Q17*J17+1/Q18*J18+1/Q19*J19)/(1/Q14+1/Q15+1/Q16+1/Q17+1/Q18+1/Q19)</f>
        <v>9.7774837796756167</v>
      </c>
      <c r="S14" s="541">
        <f>(1/Q14*M14+1/Q15*M15+1/Q16*K16+1/Q17*K17+1/Q18*K18+1/Q19*K19)/(1/Q14+1/Q15+1/Q16+1/Q17+1/Q18+1/Q19)</f>
        <v>12.176588595984912</v>
      </c>
      <c r="T14" s="8"/>
      <c r="U14" s="8"/>
      <c r="V14" s="8"/>
      <c r="W14" s="8"/>
    </row>
    <row r="15" spans="1:30" s="4" customFormat="1" ht="13">
      <c r="A15" s="539"/>
      <c r="B15" s="56">
        <v>343.7</v>
      </c>
      <c r="C15" s="56">
        <v>58.69</v>
      </c>
      <c r="D15" s="55">
        <v>195.4</v>
      </c>
      <c r="E15" s="54">
        <v>136.6</v>
      </c>
      <c r="F15" s="55">
        <v>93.64</v>
      </c>
      <c r="G15" s="54">
        <v>34.67</v>
      </c>
      <c r="H15" s="54">
        <v>25.05</v>
      </c>
      <c r="I15" s="54">
        <v>17.850000000000001</v>
      </c>
      <c r="J15" s="53">
        <f t="shared" si="0"/>
        <v>12.269556889714993</v>
      </c>
      <c r="K15" s="21"/>
      <c r="L15" s="21">
        <f t="shared" si="3"/>
        <v>6.9193567905824036</v>
      </c>
      <c r="M15" s="21">
        <f t="shared" si="1"/>
        <v>8.6171619290123456</v>
      </c>
      <c r="N15" s="60">
        <f t="shared" si="2"/>
        <v>5.774895897435897</v>
      </c>
      <c r="O15" s="60">
        <f t="shared" si="4"/>
        <v>6.8141039999999986</v>
      </c>
      <c r="P15" s="59">
        <v>3</v>
      </c>
      <c r="Q15" s="58">
        <f t="shared" si="5"/>
        <v>775.33199999999999</v>
      </c>
      <c r="R15" s="542"/>
      <c r="S15" s="541"/>
      <c r="T15" s="8"/>
      <c r="U15" s="8"/>
      <c r="V15" s="8"/>
      <c r="W15" s="8"/>
    </row>
    <row r="16" spans="1:30" s="4" customFormat="1" ht="13">
      <c r="A16" s="539"/>
      <c r="B16" s="56">
        <v>389.5</v>
      </c>
      <c r="C16" s="56">
        <v>55.22</v>
      </c>
      <c r="D16" s="55">
        <v>221.4</v>
      </c>
      <c r="E16" s="54">
        <v>154.69999999999999</v>
      </c>
      <c r="F16" s="55">
        <v>106</v>
      </c>
      <c r="G16" s="54">
        <v>32.67</v>
      </c>
      <c r="H16" s="54">
        <v>23.63</v>
      </c>
      <c r="I16" s="54">
        <v>16.86</v>
      </c>
      <c r="J16" s="21">
        <f t="shared" si="0"/>
        <v>14.390609021065673</v>
      </c>
      <c r="K16" s="21">
        <f t="shared" ref="K16:K25" si="6">((B16-C16)*$B$36*$B$33)/(100000*$B$31)</f>
        <v>17.921638086419751</v>
      </c>
      <c r="L16" s="21"/>
      <c r="M16" s="21"/>
      <c r="N16" s="60">
        <f t="shared" si="2"/>
        <v>6.7827666666666664</v>
      </c>
      <c r="O16" s="60"/>
      <c r="P16" s="59">
        <v>3.5</v>
      </c>
      <c r="Q16" s="58">
        <f t="shared" si="5"/>
        <v>1231.1985</v>
      </c>
      <c r="R16" s="542"/>
      <c r="S16" s="541"/>
      <c r="T16" s="8"/>
      <c r="U16" s="8"/>
      <c r="V16" s="8"/>
      <c r="W16" s="8"/>
    </row>
    <row r="17" spans="1:23" s="4" customFormat="1" ht="13">
      <c r="A17" s="539"/>
      <c r="B17" s="56">
        <v>435.2</v>
      </c>
      <c r="C17" s="56">
        <v>70.19</v>
      </c>
      <c r="D17" s="55">
        <v>247.2</v>
      </c>
      <c r="E17" s="54">
        <v>172.8</v>
      </c>
      <c r="F17" s="55">
        <v>118.4</v>
      </c>
      <c r="G17" s="54">
        <v>41.46</v>
      </c>
      <c r="H17" s="54">
        <v>29.96</v>
      </c>
      <c r="I17" s="54">
        <v>21.35</v>
      </c>
      <c r="J17" s="21">
        <f t="shared" si="0"/>
        <v>15.713522193308549</v>
      </c>
      <c r="K17" s="21">
        <f t="shared" si="6"/>
        <v>19.569154953703702</v>
      </c>
      <c r="L17" s="21"/>
      <c r="M17" s="21"/>
      <c r="N17" s="60">
        <f t="shared" si="2"/>
        <v>7.3931732478632473</v>
      </c>
      <c r="O17" s="60">
        <f>((F17-I17)*$B$35*$B$34)/(100000*$B$32)</f>
        <v>8.72554153846154</v>
      </c>
      <c r="P17" s="59">
        <v>4</v>
      </c>
      <c r="Q17" s="58">
        <f t="shared" si="5"/>
        <v>1837.8240000000001</v>
      </c>
      <c r="R17" s="542"/>
      <c r="S17" s="541"/>
      <c r="T17" s="8"/>
      <c r="U17" s="8"/>
      <c r="V17" s="8"/>
      <c r="W17" s="8"/>
    </row>
    <row r="18" spans="1:23" s="4" customFormat="1" ht="13">
      <c r="A18" s="539"/>
      <c r="B18" s="56">
        <v>480.7</v>
      </c>
      <c r="C18" s="56">
        <v>65.72</v>
      </c>
      <c r="D18" s="55">
        <v>273</v>
      </c>
      <c r="E18" s="54">
        <v>190.8</v>
      </c>
      <c r="F18" s="55">
        <v>130.69999999999999</v>
      </c>
      <c r="G18" s="54">
        <v>38.869999999999997</v>
      </c>
      <c r="H18" s="54">
        <v>28.12</v>
      </c>
      <c r="I18" s="54">
        <v>20.05</v>
      </c>
      <c r="J18" s="21">
        <f t="shared" si="0"/>
        <v>17.864709021065675</v>
      </c>
      <c r="K18" s="21">
        <f t="shared" si="6"/>
        <v>22.248179290123456</v>
      </c>
      <c r="L18" s="21"/>
      <c r="M18" s="21"/>
      <c r="N18" s="60">
        <f t="shared" si="2"/>
        <v>8.4161026923076925</v>
      </c>
      <c r="O18" s="60">
        <f>((F18-I18)*$B$35*$B$34)/(100000*$B$32)</f>
        <v>9.9482861538461513</v>
      </c>
      <c r="P18" s="59">
        <v>4.5</v>
      </c>
      <c r="Q18" s="58">
        <f t="shared" si="5"/>
        <v>2616.7455</v>
      </c>
      <c r="R18" s="542"/>
      <c r="S18" s="541"/>
      <c r="T18" s="8"/>
      <c r="U18" s="8"/>
      <c r="V18" s="8"/>
      <c r="W18" s="8"/>
    </row>
    <row r="19" spans="1:23" s="4" customFormat="1" ht="13">
      <c r="A19" s="539" t="s">
        <v>519</v>
      </c>
      <c r="B19" s="56">
        <v>531.79999999999995</v>
      </c>
      <c r="C19" s="56">
        <v>87.36</v>
      </c>
      <c r="D19" s="55">
        <v>301.89999999999998</v>
      </c>
      <c r="E19" s="54">
        <v>210.9</v>
      </c>
      <c r="F19" s="55">
        <v>144.5</v>
      </c>
      <c r="G19" s="54">
        <v>51.57</v>
      </c>
      <c r="H19" s="54">
        <v>37.24</v>
      </c>
      <c r="I19" s="54">
        <v>26.53</v>
      </c>
      <c r="J19" s="21">
        <f t="shared" si="0"/>
        <v>19.132949244113998</v>
      </c>
      <c r="K19" s="21">
        <f t="shared" si="6"/>
        <v>23.827608086419747</v>
      </c>
      <c r="L19" s="21"/>
      <c r="M19" s="21"/>
      <c r="N19" s="60">
        <f t="shared" si="2"/>
        <v>8.9925742307692307</v>
      </c>
      <c r="O19" s="60">
        <f>((F19-I19)*$B$35*$B$34)/(100000*$B$32)</f>
        <v>10.606410461538461</v>
      </c>
      <c r="P19" s="59">
        <v>5</v>
      </c>
      <c r="Q19" s="58">
        <f t="shared" si="5"/>
        <v>3589.5</v>
      </c>
      <c r="R19" s="542"/>
      <c r="S19" s="541"/>
      <c r="T19" s="8"/>
      <c r="U19" s="8"/>
      <c r="V19" s="8"/>
      <c r="W19" s="8"/>
    </row>
    <row r="20" spans="1:23" s="4" customFormat="1" ht="13">
      <c r="A20" s="539"/>
      <c r="B20" s="56">
        <v>627.9</v>
      </c>
      <c r="C20" s="56">
        <v>103.5</v>
      </c>
      <c r="D20" s="55">
        <v>356.3</v>
      </c>
      <c r="E20" s="54">
        <v>248.9</v>
      </c>
      <c r="F20" s="55">
        <v>170.5</v>
      </c>
      <c r="G20" s="54">
        <v>61.09</v>
      </c>
      <c r="H20" s="54">
        <v>44.11</v>
      </c>
      <c r="I20" s="54">
        <v>31.41</v>
      </c>
      <c r="J20" s="53">
        <f t="shared" si="0"/>
        <v>22.575192565055762</v>
      </c>
      <c r="K20" s="53">
        <f t="shared" si="6"/>
        <v>28.114475925925927</v>
      </c>
      <c r="L20" s="53"/>
      <c r="M20" s="53"/>
      <c r="N20" s="57">
        <f t="shared" si="2"/>
        <v>10.604700854700855</v>
      </c>
      <c r="O20" s="57">
        <f>((F20-I20)*$B$35*$B$34)/(100000*$B$32)</f>
        <v>12.505260923076923</v>
      </c>
      <c r="P20" s="51">
        <v>6</v>
      </c>
      <c r="Q20" s="50">
        <f t="shared" si="5"/>
        <v>6202.6559999999999</v>
      </c>
      <c r="R20" s="541">
        <f>(1/Q20*J20+1/Q21*J21+1/Q22*J22)/(1/Q20+1/Q21+1/Q22)</f>
        <v>24.999763600321025</v>
      </c>
      <c r="S20" s="541">
        <f>(1/Q20*K20+1/Q21*K21+1/Q22*K22)/(1/Q20+1/Q21+1/Q22)</f>
        <v>31.133964854103496</v>
      </c>
      <c r="T20" s="8"/>
      <c r="U20" s="8"/>
      <c r="V20" s="8"/>
      <c r="W20" s="8"/>
    </row>
    <row r="21" spans="1:23" s="4" customFormat="1" ht="13">
      <c r="A21" s="539"/>
      <c r="B21" s="56">
        <v>718</v>
      </c>
      <c r="C21" s="56">
        <v>116.9</v>
      </c>
      <c r="D21" s="55"/>
      <c r="E21" s="54"/>
      <c r="F21" s="55"/>
      <c r="G21" s="54"/>
      <c r="H21" s="54"/>
      <c r="I21" s="54"/>
      <c r="J21" s="53">
        <f t="shared" si="0"/>
        <v>25.877094299876084</v>
      </c>
      <c r="K21" s="53">
        <f t="shared" si="6"/>
        <v>32.226566512345677</v>
      </c>
      <c r="L21" s="53"/>
      <c r="M21" s="53"/>
      <c r="N21" s="57"/>
      <c r="O21" s="57"/>
      <c r="P21" s="51">
        <v>7</v>
      </c>
      <c r="Q21" s="50">
        <f t="shared" si="5"/>
        <v>9849.5879999999997</v>
      </c>
      <c r="R21" s="541"/>
      <c r="S21" s="541"/>
      <c r="T21" s="8"/>
      <c r="U21" s="8"/>
      <c r="V21" s="8"/>
      <c r="W21" s="8"/>
    </row>
    <row r="22" spans="1:23" s="4" customFormat="1" ht="13">
      <c r="A22" s="539"/>
      <c r="B22" s="56">
        <v>807.8</v>
      </c>
      <c r="C22" s="56">
        <v>124</v>
      </c>
      <c r="D22" s="55"/>
      <c r="E22" s="54"/>
      <c r="F22" s="55"/>
      <c r="G22" s="54"/>
      <c r="H22" s="54"/>
      <c r="I22" s="54"/>
      <c r="J22" s="53">
        <f t="shared" si="0"/>
        <v>29.437293432465918</v>
      </c>
      <c r="K22" s="53">
        <f t="shared" si="6"/>
        <v>36.660333024691354</v>
      </c>
      <c r="L22" s="53"/>
      <c r="M22" s="53"/>
      <c r="N22" s="52"/>
      <c r="O22" s="52"/>
      <c r="P22" s="51">
        <v>8</v>
      </c>
      <c r="Q22" s="50">
        <f t="shared" si="5"/>
        <v>14702.592000000001</v>
      </c>
      <c r="R22" s="541"/>
      <c r="S22" s="541"/>
      <c r="T22" s="8"/>
      <c r="U22" s="8"/>
      <c r="V22" s="8"/>
      <c r="W22" s="8"/>
    </row>
    <row r="23" spans="1:23" s="4" customFormat="1" ht="13">
      <c r="A23" s="539" t="s">
        <v>518</v>
      </c>
      <c r="B23" s="56">
        <v>897.4</v>
      </c>
      <c r="C23" s="56">
        <v>136.6</v>
      </c>
      <c r="D23" s="55"/>
      <c r="E23" s="54"/>
      <c r="F23" s="55"/>
      <c r="G23" s="54"/>
      <c r="H23" s="54"/>
      <c r="I23" s="54"/>
      <c r="J23" s="53">
        <f t="shared" si="0"/>
        <v>32.752110037174717</v>
      </c>
      <c r="K23" s="53">
        <f t="shared" si="6"/>
        <v>40.788507407407401</v>
      </c>
      <c r="L23" s="53"/>
      <c r="M23" s="53"/>
      <c r="N23" s="52"/>
      <c r="O23" s="52"/>
      <c r="P23" s="51">
        <v>9</v>
      </c>
      <c r="Q23" s="50">
        <f t="shared" si="5"/>
        <v>20933.964</v>
      </c>
      <c r="R23" s="541">
        <f>(1/Q23*J23+1/Q24*J24+1/Q25*J25)/(1/Q23+1/Q24+1/Q25)</f>
        <v>35.984797966765058</v>
      </c>
      <c r="S23" s="541">
        <f>(1/Q23*K23+1/Q24*K24+1/Q25*K25)/(1/Q23+1/Q24+1/Q25)</f>
        <v>44.814401171573145</v>
      </c>
      <c r="T23" s="8"/>
      <c r="U23" s="8"/>
      <c r="V23" s="8"/>
      <c r="W23" s="8"/>
    </row>
    <row r="24" spans="1:23" s="4" customFormat="1" ht="13">
      <c r="A24" s="539"/>
      <c r="B24" s="56">
        <v>997.9</v>
      </c>
      <c r="C24" s="56">
        <v>158.6</v>
      </c>
      <c r="D24" s="55"/>
      <c r="E24" s="54"/>
      <c r="F24" s="55"/>
      <c r="G24" s="54"/>
      <c r="H24" s="54"/>
      <c r="I24" s="54"/>
      <c r="J24" s="53">
        <f t="shared" si="0"/>
        <v>36.131500991325893</v>
      </c>
      <c r="K24" s="53">
        <f t="shared" si="6"/>
        <v>44.997100771604927</v>
      </c>
      <c r="L24" s="53"/>
      <c r="M24" s="53"/>
      <c r="N24" s="52"/>
      <c r="O24" s="52"/>
      <c r="P24" s="51">
        <v>10</v>
      </c>
      <c r="Q24" s="50">
        <f t="shared" si="5"/>
        <v>28716</v>
      </c>
      <c r="R24" s="541"/>
      <c r="S24" s="541"/>
      <c r="T24" s="8"/>
      <c r="U24" s="8"/>
      <c r="V24" s="8"/>
      <c r="W24" s="8"/>
    </row>
    <row r="25" spans="1:23" s="4" customFormat="1" ht="13">
      <c r="A25" s="539"/>
      <c r="B25" s="56">
        <v>1177</v>
      </c>
      <c r="C25" s="56">
        <v>169</v>
      </c>
      <c r="D25" s="55"/>
      <c r="E25" s="54"/>
      <c r="F25" s="55"/>
      <c r="G25" s="54"/>
      <c r="H25" s="54"/>
      <c r="I25" s="54"/>
      <c r="J25" s="53">
        <f t="shared" si="0"/>
        <v>43.393962825278805</v>
      </c>
      <c r="K25" s="53">
        <f t="shared" si="6"/>
        <v>54.041555555555547</v>
      </c>
      <c r="L25" s="53"/>
      <c r="M25" s="53"/>
      <c r="N25" s="52"/>
      <c r="O25" s="52"/>
      <c r="P25" s="51">
        <v>12</v>
      </c>
      <c r="Q25" s="50">
        <f t="shared" si="5"/>
        <v>49621.248</v>
      </c>
      <c r="R25" s="541"/>
      <c r="S25" s="541"/>
      <c r="T25" s="8"/>
      <c r="U25" s="8"/>
      <c r="V25" s="8"/>
      <c r="W25" s="8"/>
    </row>
    <row r="26" spans="1:23" s="4" customFormat="1" ht="13">
      <c r="A26" s="2"/>
      <c r="B26" s="2"/>
      <c r="C26" s="2"/>
      <c r="D26" s="2"/>
      <c r="E26" s="2"/>
      <c r="F26" s="2"/>
      <c r="G26" s="2"/>
      <c r="H26" s="2"/>
      <c r="I26" s="2"/>
      <c r="J26" s="2"/>
      <c r="K26" s="2"/>
      <c r="L26" s="2"/>
      <c r="M26" s="2"/>
      <c r="N26" s="8"/>
      <c r="O26" s="2"/>
      <c r="P26" s="2"/>
      <c r="Q26" s="2"/>
      <c r="R26" s="2"/>
      <c r="S26" s="2"/>
      <c r="T26" s="8"/>
      <c r="U26" s="8"/>
      <c r="V26" s="8"/>
      <c r="W26" s="8"/>
    </row>
    <row r="27" spans="1:23" s="4" customFormat="1" ht="13">
      <c r="A27" s="2"/>
      <c r="B27" s="2"/>
      <c r="C27" s="2"/>
      <c r="D27" s="2"/>
      <c r="E27" s="543" t="s">
        <v>517</v>
      </c>
      <c r="F27" s="543"/>
      <c r="G27" s="543"/>
      <c r="H27" s="543"/>
      <c r="I27" s="543"/>
      <c r="J27" s="543"/>
      <c r="K27" s="543"/>
      <c r="L27" s="25"/>
      <c r="M27" s="2"/>
      <c r="N27" s="26"/>
      <c r="O27" s="26"/>
      <c r="P27" s="26"/>
      <c r="Q27" s="26"/>
      <c r="R27" s="26"/>
      <c r="S27" s="26"/>
      <c r="T27" s="8"/>
      <c r="U27" s="8"/>
      <c r="V27" s="8"/>
      <c r="W27" s="8"/>
    </row>
    <row r="28" spans="1:23" s="4" customFormat="1" ht="26">
      <c r="C28" s="2"/>
      <c r="D28" s="2"/>
      <c r="E28" s="49" t="s">
        <v>516</v>
      </c>
      <c r="F28" s="48" t="s">
        <v>515</v>
      </c>
      <c r="G28" s="48" t="s">
        <v>514</v>
      </c>
      <c r="H28" s="48" t="s">
        <v>513</v>
      </c>
      <c r="I28" s="48" t="s">
        <v>512</v>
      </c>
      <c r="J28" s="48" t="s">
        <v>511</v>
      </c>
      <c r="K28" s="48" t="s">
        <v>510</v>
      </c>
      <c r="L28" s="26"/>
      <c r="M28" s="2"/>
      <c r="N28" s="2"/>
      <c r="O28" s="2"/>
      <c r="P28" s="26"/>
      <c r="Q28" s="2"/>
      <c r="R28" s="2"/>
      <c r="S28" s="2"/>
      <c r="T28" s="8"/>
      <c r="U28" s="8"/>
      <c r="V28" s="8"/>
      <c r="W28" s="8"/>
    </row>
    <row r="29" spans="1:23" s="4" customFormat="1" ht="13">
      <c r="C29" s="2"/>
      <c r="D29" s="2"/>
      <c r="E29" s="35">
        <v>1</v>
      </c>
      <c r="F29" s="34">
        <v>0.1</v>
      </c>
      <c r="G29" s="34">
        <v>0.3</v>
      </c>
      <c r="H29" s="34">
        <v>0.38</v>
      </c>
      <c r="I29" s="33">
        <f>F29/G29</f>
        <v>0.33333333333333337</v>
      </c>
      <c r="J29" s="34">
        <v>0.69</v>
      </c>
      <c r="K29" s="33">
        <f>J29/I29</f>
        <v>2.0699999999999994</v>
      </c>
      <c r="L29" s="26"/>
      <c r="O29" s="2"/>
      <c r="P29" s="2"/>
      <c r="Q29" s="2"/>
      <c r="R29" s="2"/>
      <c r="S29" s="2"/>
      <c r="T29" s="8"/>
      <c r="U29" s="8"/>
      <c r="V29" s="8"/>
      <c r="W29" s="8"/>
    </row>
    <row r="30" spans="1:23" s="4" customFormat="1" ht="13">
      <c r="A30" s="47" t="s">
        <v>509</v>
      </c>
      <c r="B30" s="46">
        <v>0.80700000000000005</v>
      </c>
      <c r="C30" s="2"/>
      <c r="D30" s="2"/>
      <c r="E30" s="35">
        <v>3</v>
      </c>
      <c r="F30" s="34">
        <v>0.93</v>
      </c>
      <c r="G30" s="34">
        <v>1.01</v>
      </c>
      <c r="H30" s="34">
        <v>0.84</v>
      </c>
      <c r="I30" s="33">
        <f>F30/G30</f>
        <v>0.92079207920792083</v>
      </c>
      <c r="J30" s="34">
        <v>3.37</v>
      </c>
      <c r="K30" s="33">
        <f>J30/I30</f>
        <v>3.6598924731182794</v>
      </c>
      <c r="L30" s="26"/>
      <c r="O30" s="2"/>
      <c r="P30" s="2"/>
      <c r="Q30" s="2"/>
      <c r="R30" s="2"/>
      <c r="S30" s="2"/>
      <c r="T30" s="8"/>
      <c r="U30" s="8"/>
      <c r="V30" s="8"/>
      <c r="W30" s="8"/>
    </row>
    <row r="31" spans="1:23" s="4" customFormat="1" ht="13">
      <c r="A31" s="42" t="s">
        <v>508</v>
      </c>
      <c r="B31" s="45">
        <v>0.64800000000000002</v>
      </c>
      <c r="C31" s="2"/>
      <c r="D31" s="2"/>
      <c r="E31" s="36">
        <v>4</v>
      </c>
      <c r="F31" s="34">
        <v>1.64</v>
      </c>
      <c r="G31" s="34">
        <v>1.4</v>
      </c>
      <c r="H31" s="34">
        <v>1.03</v>
      </c>
      <c r="I31" s="33">
        <f>F31/G31</f>
        <v>1.1714285714285715</v>
      </c>
      <c r="J31" s="34">
        <v>4.68</v>
      </c>
      <c r="K31" s="33">
        <f>J31/I31</f>
        <v>3.9951219512195117</v>
      </c>
      <c r="L31" s="2"/>
      <c r="O31" s="2"/>
      <c r="P31" s="2"/>
      <c r="Q31" s="2"/>
      <c r="R31" s="2"/>
      <c r="S31" s="2"/>
      <c r="T31" s="8"/>
      <c r="U31" s="8"/>
      <c r="V31" s="8"/>
      <c r="W31" s="8"/>
    </row>
    <row r="32" spans="1:23" s="4" customFormat="1" ht="13">
      <c r="A32" s="42" t="s">
        <v>507</v>
      </c>
      <c r="B32" s="45">
        <v>0.81899999999999995</v>
      </c>
      <c r="C32" s="2"/>
      <c r="D32" s="2"/>
      <c r="E32" s="36">
        <v>5</v>
      </c>
      <c r="F32" s="34"/>
      <c r="G32" s="34">
        <v>1.76</v>
      </c>
      <c r="H32" s="34">
        <v>1.22</v>
      </c>
      <c r="I32" s="33"/>
      <c r="J32" s="40"/>
      <c r="K32" s="39"/>
      <c r="L32" s="2"/>
      <c r="O32" s="2"/>
      <c r="P32" s="2"/>
      <c r="Q32" s="2"/>
      <c r="R32" s="2"/>
      <c r="S32" s="2"/>
      <c r="T32" s="8"/>
      <c r="U32" s="8"/>
      <c r="V32" s="8"/>
      <c r="W32" s="8"/>
    </row>
    <row r="33" spans="1:23" s="4" customFormat="1" ht="13">
      <c r="A33" s="42" t="s">
        <v>506</v>
      </c>
      <c r="B33" s="44">
        <v>4963</v>
      </c>
      <c r="C33" s="2"/>
      <c r="D33" s="2"/>
      <c r="E33" s="36">
        <v>6</v>
      </c>
      <c r="F33" s="34">
        <v>3.7</v>
      </c>
      <c r="G33" s="34">
        <v>2.13</v>
      </c>
      <c r="H33" s="34">
        <v>1.41</v>
      </c>
      <c r="I33" s="33">
        <f>F33/G33</f>
        <v>1.7370892018779345</v>
      </c>
      <c r="J33" s="34">
        <v>7.03</v>
      </c>
      <c r="K33" s="33">
        <f>J33/I33</f>
        <v>4.0469999999999997</v>
      </c>
      <c r="L33" s="26"/>
      <c r="O33" s="2"/>
      <c r="P33" s="2"/>
      <c r="Q33" s="2"/>
      <c r="R33" s="2"/>
      <c r="S33" s="2"/>
      <c r="T33" s="8"/>
      <c r="U33" s="8"/>
      <c r="V33" s="8"/>
      <c r="W33" s="8"/>
    </row>
    <row r="34" spans="1:23" s="4" customFormat="1" ht="13">
      <c r="A34" s="42" t="s">
        <v>505</v>
      </c>
      <c r="B34" s="43">
        <v>8766</v>
      </c>
      <c r="C34" s="2"/>
      <c r="D34" s="2"/>
      <c r="E34" s="36">
        <v>8</v>
      </c>
      <c r="F34" s="34">
        <v>6.58</v>
      </c>
      <c r="G34" s="34">
        <v>2.91</v>
      </c>
      <c r="H34" s="34">
        <v>1.75</v>
      </c>
      <c r="I34" s="33">
        <f>F34/G34</f>
        <v>2.261168384879725</v>
      </c>
      <c r="J34" s="34">
        <v>10.3</v>
      </c>
      <c r="K34" s="33">
        <f>J34/I34</f>
        <v>4.55516717325228</v>
      </c>
      <c r="L34" s="26"/>
      <c r="O34" s="2"/>
      <c r="P34" s="2"/>
      <c r="Q34" s="2"/>
      <c r="R34" s="2"/>
      <c r="S34" s="2"/>
      <c r="T34" s="8"/>
      <c r="U34" s="8"/>
      <c r="V34" s="8"/>
      <c r="W34" s="8"/>
    </row>
    <row r="35" spans="1:23" s="4" customFormat="1" ht="13">
      <c r="A35" s="42" t="s">
        <v>504</v>
      </c>
      <c r="B35" s="41">
        <v>0.84</v>
      </c>
      <c r="C35" s="2"/>
      <c r="D35" s="2"/>
      <c r="E35" s="36">
        <v>5</v>
      </c>
      <c r="F35" s="34"/>
      <c r="G35" s="34">
        <v>1.76</v>
      </c>
      <c r="H35" s="34">
        <v>1.22</v>
      </c>
      <c r="I35" s="33"/>
      <c r="J35" s="40"/>
      <c r="K35" s="39"/>
      <c r="L35" s="26"/>
      <c r="O35" s="2"/>
      <c r="P35" s="2"/>
      <c r="Q35" s="2"/>
      <c r="R35" s="2"/>
      <c r="S35" s="2"/>
      <c r="T35" s="8"/>
      <c r="U35" s="8"/>
      <c r="V35" s="8"/>
      <c r="W35" s="8"/>
    </row>
    <row r="36" spans="1:23" s="4" customFormat="1" ht="13">
      <c r="A36" s="38" t="s">
        <v>503</v>
      </c>
      <c r="B36" s="37">
        <v>0.7</v>
      </c>
      <c r="C36" s="2"/>
      <c r="D36" s="2"/>
      <c r="E36" s="36">
        <v>6</v>
      </c>
      <c r="F36" s="34">
        <v>3.7</v>
      </c>
      <c r="G36" s="34">
        <v>2.13</v>
      </c>
      <c r="H36" s="34">
        <v>1.41</v>
      </c>
      <c r="I36" s="33">
        <f>F36/G36</f>
        <v>1.7370892018779345</v>
      </c>
      <c r="J36" s="34">
        <v>7.03</v>
      </c>
      <c r="K36" s="33">
        <f>J36/I36</f>
        <v>4.0469999999999997</v>
      </c>
      <c r="L36" s="2"/>
      <c r="M36" s="2"/>
      <c r="N36" s="2"/>
      <c r="O36" s="2"/>
      <c r="P36" s="2"/>
      <c r="Q36" s="2"/>
      <c r="R36" s="2"/>
      <c r="S36" s="2"/>
      <c r="T36" s="8"/>
      <c r="U36" s="8"/>
      <c r="V36" s="8"/>
      <c r="W36" s="8"/>
    </row>
    <row r="37" spans="1:23" s="4" customFormat="1" ht="13">
      <c r="A37" s="2"/>
      <c r="B37" s="2"/>
      <c r="C37" s="2"/>
      <c r="D37" s="2"/>
      <c r="E37" s="36">
        <v>8</v>
      </c>
      <c r="F37" s="34">
        <v>6.58</v>
      </c>
      <c r="G37" s="34">
        <v>2.91</v>
      </c>
      <c r="H37" s="34">
        <v>1.75</v>
      </c>
      <c r="I37" s="33">
        <f>F37/G37</f>
        <v>2.261168384879725</v>
      </c>
      <c r="J37" s="34">
        <v>10.3</v>
      </c>
      <c r="K37" s="33">
        <f>J37/I37</f>
        <v>4.55516717325228</v>
      </c>
      <c r="L37" s="2"/>
      <c r="M37" s="2"/>
      <c r="N37" s="2"/>
      <c r="O37" s="2"/>
      <c r="P37" s="2"/>
      <c r="Q37" s="2"/>
      <c r="R37" s="2"/>
      <c r="S37" s="2"/>
      <c r="T37" s="8"/>
      <c r="U37" s="8"/>
      <c r="V37" s="8"/>
      <c r="W37" s="8"/>
    </row>
    <row r="38" spans="1:23" s="4" customFormat="1" ht="13">
      <c r="A38" s="2"/>
      <c r="B38" s="2"/>
      <c r="C38" s="2"/>
      <c r="D38" s="2"/>
      <c r="E38" s="36">
        <v>10</v>
      </c>
      <c r="F38" s="34">
        <v>10.28</v>
      </c>
      <c r="G38" s="34">
        <v>3.65</v>
      </c>
      <c r="H38" s="34">
        <v>2.13</v>
      </c>
      <c r="I38" s="33">
        <f>F38/G38</f>
        <v>2.8164383561643835</v>
      </c>
      <c r="J38" s="34">
        <v>13.8</v>
      </c>
      <c r="K38" s="33">
        <f>J38/I38</f>
        <v>4.8998054474708175</v>
      </c>
      <c r="L38" s="2"/>
      <c r="M38" s="2"/>
      <c r="N38" s="2"/>
      <c r="O38" s="2"/>
      <c r="P38" s="2"/>
      <c r="Q38" s="2"/>
      <c r="R38" s="2"/>
      <c r="S38" s="2"/>
      <c r="T38" s="8"/>
      <c r="U38" s="8"/>
      <c r="V38" s="8"/>
      <c r="W38" s="8"/>
    </row>
    <row r="39" spans="1:23" s="4" customFormat="1" ht="13">
      <c r="A39" s="2"/>
      <c r="B39" s="2"/>
      <c r="C39" s="2"/>
      <c r="D39" s="2"/>
      <c r="E39" s="35">
        <v>12</v>
      </c>
      <c r="F39" s="34">
        <v>14.8</v>
      </c>
      <c r="G39" s="34">
        <v>4.4400000000000004</v>
      </c>
      <c r="H39" s="34">
        <v>2.5</v>
      </c>
      <c r="I39" s="33">
        <f>F39/G39</f>
        <v>3.333333333333333</v>
      </c>
      <c r="J39" s="34">
        <v>16.100000000000001</v>
      </c>
      <c r="K39" s="33">
        <f>J39/I39</f>
        <v>4.830000000000001</v>
      </c>
      <c r="L39" s="2"/>
      <c r="M39" s="2"/>
      <c r="N39" s="2"/>
      <c r="O39" s="2"/>
      <c r="P39" s="2"/>
      <c r="Q39" s="2"/>
      <c r="R39" s="2"/>
      <c r="S39" s="2"/>
      <c r="T39" s="8"/>
      <c r="U39" s="8"/>
      <c r="V39" s="8"/>
      <c r="W39" s="8"/>
    </row>
    <row r="40" spans="1:23" s="4" customFormat="1" ht="13">
      <c r="A40" s="2"/>
      <c r="B40" s="2"/>
      <c r="C40" s="2"/>
      <c r="D40" s="2"/>
      <c r="E40" s="2"/>
      <c r="F40" s="2"/>
      <c r="G40" s="2"/>
      <c r="H40" s="2"/>
      <c r="I40" s="2"/>
      <c r="J40" s="2"/>
      <c r="K40" s="2"/>
      <c r="L40" s="2"/>
      <c r="M40" s="2"/>
      <c r="N40" s="2"/>
      <c r="O40" s="2"/>
      <c r="P40" s="2"/>
      <c r="Q40" s="2"/>
      <c r="R40" s="2"/>
      <c r="S40" s="2"/>
      <c r="T40" s="8"/>
      <c r="U40" s="8"/>
      <c r="V40" s="8"/>
      <c r="W40" s="8"/>
    </row>
    <row r="41" spans="1:23" s="4" customFormat="1" ht="13">
      <c r="A41" s="2"/>
      <c r="B41" s="2"/>
      <c r="C41" s="2"/>
      <c r="D41" s="2"/>
      <c r="E41" s="2"/>
      <c r="F41" s="2"/>
      <c r="G41" s="2"/>
      <c r="H41" s="2"/>
      <c r="I41" s="2"/>
      <c r="J41" s="2"/>
      <c r="K41" s="2"/>
      <c r="L41" s="2"/>
      <c r="M41" s="2"/>
      <c r="N41" s="2"/>
      <c r="O41" s="2"/>
      <c r="P41" s="2"/>
      <c r="Q41" s="2"/>
      <c r="R41" s="2"/>
      <c r="S41" s="2"/>
      <c r="T41" s="8"/>
      <c r="U41" s="8"/>
      <c r="V41" s="8"/>
      <c r="W41" s="8"/>
    </row>
    <row r="42" spans="1:23" s="4" customFormat="1" ht="13">
      <c r="A42" s="2"/>
      <c r="B42" s="2"/>
      <c r="C42" s="2"/>
      <c r="D42" s="2"/>
      <c r="E42" s="2"/>
      <c r="F42" s="2"/>
      <c r="G42" s="2"/>
      <c r="H42" s="2"/>
      <c r="I42" s="2"/>
      <c r="J42" s="2"/>
      <c r="K42" s="2"/>
      <c r="L42" s="2"/>
      <c r="M42" s="2"/>
      <c r="N42" s="2"/>
      <c r="O42" s="2"/>
      <c r="P42" s="2"/>
      <c r="Q42" s="2"/>
      <c r="R42" s="2"/>
      <c r="S42" s="2"/>
      <c r="T42" s="8"/>
      <c r="U42" s="8"/>
      <c r="V42" s="8"/>
      <c r="W42" s="8"/>
    </row>
    <row r="43" spans="1:23" s="4" customFormat="1" ht="13">
      <c r="A43" s="32" t="s">
        <v>1</v>
      </c>
      <c r="B43" s="32" t="s">
        <v>502</v>
      </c>
      <c r="C43" s="32" t="s">
        <v>218</v>
      </c>
      <c r="D43" s="26"/>
      <c r="E43" s="2"/>
      <c r="F43" s="2"/>
      <c r="G43" s="2"/>
      <c r="H43" s="2"/>
      <c r="I43" s="2"/>
      <c r="J43" s="2"/>
      <c r="K43" s="2"/>
      <c r="L43" s="2"/>
      <c r="M43" s="2"/>
      <c r="N43" s="2"/>
      <c r="O43" s="2"/>
      <c r="P43" s="2"/>
      <c r="Q43" s="2"/>
      <c r="R43" s="2"/>
      <c r="S43" s="2"/>
      <c r="T43" s="8"/>
      <c r="U43" s="8"/>
      <c r="V43" s="8"/>
      <c r="W43" s="8"/>
    </row>
    <row r="44" spans="1:23" s="4" customFormat="1" ht="13">
      <c r="A44" s="31" t="s">
        <v>221</v>
      </c>
      <c r="B44" s="28"/>
      <c r="C44" s="28">
        <f>AVERAGE(N9:N11)</f>
        <v>2.3011493874643869</v>
      </c>
      <c r="D44" s="2"/>
      <c r="E44" s="2"/>
      <c r="F44" s="2"/>
      <c r="G44" s="2"/>
      <c r="H44" s="2"/>
      <c r="I44" s="2"/>
      <c r="J44" s="2"/>
      <c r="K44" s="2"/>
      <c r="L44" s="30"/>
      <c r="M44" s="2"/>
      <c r="N44" s="2"/>
      <c r="O44" s="2"/>
      <c r="P44" s="2"/>
      <c r="Q44" s="2"/>
      <c r="R44" s="2"/>
      <c r="S44" s="2"/>
      <c r="T44" s="8"/>
      <c r="U44" s="8"/>
      <c r="V44" s="8"/>
      <c r="W44" s="8"/>
    </row>
    <row r="45" spans="1:23" s="4" customFormat="1" ht="13">
      <c r="A45" s="18" t="s">
        <v>220</v>
      </c>
      <c r="B45" s="28"/>
      <c r="C45" s="28">
        <f>AVERAGE(N12:N13)</f>
        <v>3.6034773504273505</v>
      </c>
      <c r="D45" s="2"/>
      <c r="E45" s="25"/>
      <c r="F45" s="2"/>
      <c r="G45" s="2"/>
      <c r="H45" s="2"/>
      <c r="I45" s="2"/>
      <c r="J45" s="2"/>
      <c r="K45" s="2"/>
      <c r="L45" s="30"/>
      <c r="M45" s="30"/>
      <c r="N45" s="2"/>
      <c r="O45" s="2"/>
      <c r="P45" s="2"/>
      <c r="Q45" s="2"/>
      <c r="R45" s="2"/>
      <c r="S45" s="2"/>
      <c r="T45" s="8"/>
      <c r="U45" s="8"/>
      <c r="V45" s="8"/>
      <c r="W45" s="8"/>
    </row>
    <row r="46" spans="1:23" s="4" customFormat="1" ht="13">
      <c r="A46" s="18" t="s">
        <v>219</v>
      </c>
      <c r="B46" s="28"/>
      <c r="C46" s="28">
        <f>AVERAGE(N14:N17)</f>
        <v>6.1867824786324785</v>
      </c>
      <c r="D46" s="2"/>
      <c r="E46" s="25"/>
      <c r="F46" s="2"/>
      <c r="G46" s="2"/>
      <c r="H46" s="2"/>
      <c r="I46" s="2"/>
      <c r="J46" s="2"/>
      <c r="K46" s="2"/>
      <c r="L46" s="30"/>
      <c r="M46" s="30"/>
      <c r="N46" s="2"/>
      <c r="O46" s="2"/>
      <c r="P46" s="2"/>
      <c r="Q46" s="2"/>
      <c r="R46" s="2"/>
      <c r="S46" s="2"/>
      <c r="T46" s="8"/>
      <c r="U46" s="8"/>
      <c r="V46" s="8"/>
      <c r="W46" s="8"/>
    </row>
    <row r="47" spans="1:23" s="4" customFormat="1" ht="13">
      <c r="A47" s="18" t="s">
        <v>217</v>
      </c>
      <c r="B47" s="28">
        <f>(1/Q10*N10+1/Q11*N11+1/Q12*N12+1/Q13*N13)/(1/Q10+1/Q11+1/Q12+1/Q13)</f>
        <v>2.6588140926267867</v>
      </c>
      <c r="C47" s="28">
        <f>(1/Q10*O10+1/Q11*O11+1/Q12*O12+1/Q13*O13)/(1/Q10+1/Q11+1/Q12+1/Q13)</f>
        <v>3.1358228800964363</v>
      </c>
      <c r="D47" s="26"/>
      <c r="E47" s="25"/>
      <c r="F47" s="2"/>
      <c r="G47" s="2"/>
      <c r="H47" s="2"/>
      <c r="I47" s="2"/>
      <c r="J47" s="2"/>
      <c r="K47" s="2"/>
      <c r="L47" s="30"/>
      <c r="M47" s="2"/>
      <c r="N47" s="2"/>
      <c r="O47" s="2"/>
      <c r="P47" s="2"/>
      <c r="Q47" s="2"/>
      <c r="R47" s="2"/>
      <c r="S47" s="2"/>
      <c r="T47" s="8"/>
      <c r="U47" s="8"/>
      <c r="V47" s="8"/>
      <c r="W47" s="8"/>
    </row>
    <row r="48" spans="1:23" s="4" customFormat="1" ht="13">
      <c r="A48" s="18" t="s">
        <v>216</v>
      </c>
      <c r="B48" s="28">
        <f>(1/Q14*N14+1/Q15*N14+1/Q16*N15+1/Q17*N17)/(1/Q14+1/Q15+1/Q16+1/Q17)</f>
        <v>5.2492031493764015</v>
      </c>
      <c r="C48" s="28">
        <f>(1/Q14*O14+1/Q15*O14+1/Q16*O15+1/Q17*O17)/(1/Q14+1/Q15+1/Q16+1/Q17)</f>
        <v>6.1942373572810965</v>
      </c>
      <c r="D48" s="26"/>
      <c r="E48" s="25"/>
      <c r="F48" s="2"/>
      <c r="G48" s="2"/>
      <c r="H48" s="2"/>
      <c r="I48" s="2"/>
      <c r="J48" s="2"/>
      <c r="K48" s="2"/>
      <c r="L48" s="30"/>
      <c r="M48" s="2"/>
      <c r="N48" s="2"/>
      <c r="O48" s="2"/>
      <c r="P48" s="2"/>
      <c r="Q48" s="2"/>
      <c r="R48" s="2"/>
      <c r="S48" s="2"/>
      <c r="T48" s="8"/>
      <c r="U48" s="8"/>
      <c r="V48" s="8"/>
      <c r="W48" s="8"/>
    </row>
    <row r="49" spans="1:23" s="4" customFormat="1" ht="13">
      <c r="A49" s="18" t="s">
        <v>215</v>
      </c>
      <c r="B49" s="28">
        <f>(1/Q18*N18+1/Q19*N19+1/Q20*N20)/(1/Q18+1/Q19+1/Q20)</f>
        <v>9.0407613085908682</v>
      </c>
      <c r="C49" s="28">
        <f>(1/Q18*O18+1/Q19*O19+1/Q20*O20)/(1/Q18+1/Q19+1/Q20)</f>
        <v>10.672873287490331</v>
      </c>
      <c r="D49" s="26"/>
      <c r="E49" s="25"/>
      <c r="F49" s="2"/>
      <c r="G49" s="2"/>
      <c r="H49" s="2"/>
      <c r="I49" s="2"/>
      <c r="J49" s="2"/>
      <c r="K49" s="2"/>
      <c r="L49" s="30"/>
      <c r="M49" s="2"/>
      <c r="N49" s="2"/>
      <c r="O49" s="2"/>
      <c r="P49" s="2"/>
      <c r="Q49" s="2"/>
      <c r="R49" s="2"/>
      <c r="S49" s="2"/>
      <c r="T49" s="8"/>
      <c r="U49" s="8"/>
      <c r="V49" s="8"/>
      <c r="W49" s="8"/>
    </row>
    <row r="50" spans="1:23" s="4" customFormat="1" ht="13">
      <c r="A50" s="18" t="s">
        <v>214</v>
      </c>
      <c r="B50" s="28">
        <f>R10</f>
        <v>3.1854757047967208</v>
      </c>
      <c r="C50" s="28">
        <f>S10</f>
        <v>3.967097058288509</v>
      </c>
      <c r="D50" s="26"/>
      <c r="E50" s="25"/>
      <c r="F50" s="2"/>
      <c r="G50" s="2"/>
      <c r="H50" s="2"/>
      <c r="I50" s="2"/>
      <c r="J50" s="2"/>
      <c r="K50" s="2"/>
      <c r="L50" s="2"/>
      <c r="M50" s="2"/>
      <c r="N50" s="2"/>
      <c r="O50" s="2"/>
      <c r="P50" s="2"/>
      <c r="Q50" s="2"/>
      <c r="R50" s="2"/>
      <c r="S50" s="2"/>
      <c r="T50" s="8"/>
      <c r="U50" s="8"/>
      <c r="V50" s="8"/>
      <c r="W50" s="8"/>
    </row>
    <row r="51" spans="1:23" s="4" customFormat="1" ht="13">
      <c r="A51" s="18" t="s">
        <v>501</v>
      </c>
      <c r="B51" s="28">
        <f>AVERAGE(J13:J18)</f>
        <v>13.148126788517139</v>
      </c>
      <c r="C51" s="28">
        <f>(K16+K17+K18+M13+M14+M15)/6</f>
        <v>13.577404706790121</v>
      </c>
      <c r="D51" s="26"/>
      <c r="E51" s="25"/>
      <c r="F51" s="2"/>
      <c r="G51" s="2"/>
      <c r="H51" s="2"/>
      <c r="I51" s="2"/>
      <c r="J51" s="2"/>
      <c r="K51" s="2"/>
      <c r="L51" s="2"/>
      <c r="M51" s="2"/>
      <c r="N51" s="2"/>
      <c r="O51" s="2"/>
      <c r="P51" s="2"/>
      <c r="Q51" s="2"/>
      <c r="R51" s="2"/>
      <c r="S51" s="2"/>
      <c r="T51" s="8"/>
      <c r="U51" s="8"/>
      <c r="V51" s="8"/>
      <c r="W51" s="8"/>
    </row>
    <row r="52" spans="1:23" s="4" customFormat="1" ht="13">
      <c r="A52" s="18" t="s">
        <v>500</v>
      </c>
      <c r="B52" s="28">
        <f>AVERAGE(J19:J22)</f>
        <v>24.25563238537794</v>
      </c>
      <c r="C52" s="28">
        <f>AVERAGE(K19:K22)</f>
        <v>30.207245887345675</v>
      </c>
      <c r="D52" s="26"/>
      <c r="E52" s="25"/>
      <c r="F52" s="2"/>
      <c r="G52" s="2"/>
      <c r="H52" s="2"/>
      <c r="I52" s="2"/>
      <c r="J52" s="2"/>
      <c r="K52" s="2"/>
      <c r="L52" s="2"/>
      <c r="M52" s="2"/>
      <c r="N52" s="2"/>
      <c r="O52" s="2"/>
      <c r="P52" s="2"/>
      <c r="Q52" s="2"/>
      <c r="R52" s="2"/>
      <c r="S52" s="2"/>
      <c r="T52" s="8"/>
      <c r="U52" s="8"/>
      <c r="V52" s="8"/>
      <c r="W52" s="8"/>
    </row>
    <row r="53" spans="1:23" s="4" customFormat="1" ht="13">
      <c r="A53" s="18" t="s">
        <v>211</v>
      </c>
      <c r="B53" s="28">
        <f>R23</f>
        <v>35.984797966765058</v>
      </c>
      <c r="C53" s="28">
        <f>S23</f>
        <v>44.814401171573145</v>
      </c>
      <c r="D53" s="26"/>
      <c r="E53" s="25"/>
      <c r="F53" s="2"/>
      <c r="G53" s="2"/>
      <c r="H53" s="2"/>
      <c r="I53" s="2"/>
      <c r="J53" s="2"/>
      <c r="K53" s="2"/>
      <c r="L53" s="30"/>
      <c r="M53" s="2"/>
      <c r="N53" s="2"/>
      <c r="O53" s="2"/>
      <c r="P53" s="2"/>
      <c r="Q53" s="2"/>
      <c r="R53" s="2"/>
      <c r="S53" s="2"/>
      <c r="T53" s="8"/>
      <c r="U53" s="8"/>
      <c r="V53" s="8"/>
      <c r="W53" s="8"/>
    </row>
    <row r="54" spans="1:23" s="4" customFormat="1" ht="13">
      <c r="A54" s="18" t="s">
        <v>209</v>
      </c>
      <c r="B54" s="28">
        <f>AVERAGE(J9:J12)*AVERAGE($G29:$H29)</f>
        <v>1.8081269864312264</v>
      </c>
      <c r="C54" s="29">
        <f>AVERAGE(M9:M12)*AVERAGE($G29:$H29)</f>
        <v>1.2912929469135801</v>
      </c>
      <c r="D54" s="26"/>
      <c r="E54" s="25"/>
      <c r="F54" s="2"/>
      <c r="G54" s="2"/>
      <c r="H54" s="2"/>
      <c r="I54" s="2"/>
      <c r="J54" s="2"/>
      <c r="K54" s="2"/>
      <c r="L54" s="2"/>
      <c r="M54" s="2"/>
      <c r="N54" s="2"/>
      <c r="O54" s="2"/>
      <c r="P54" s="2"/>
      <c r="Q54" s="2"/>
      <c r="R54" s="2"/>
      <c r="S54" s="2"/>
      <c r="T54" s="8"/>
      <c r="U54" s="8"/>
      <c r="V54" s="8"/>
      <c r="W54" s="8"/>
    </row>
    <row r="55" spans="1:23" s="4" customFormat="1" ht="13">
      <c r="A55" s="18" t="s">
        <v>208</v>
      </c>
      <c r="B55" s="28">
        <f>AVERAGE(G30,G31,G32,G35,H30,H31,H32,H35)*R14</f>
        <v>12.515179237984789</v>
      </c>
      <c r="C55" s="28">
        <f>AVERAGE(G30,G31,G32,G35,H30,H31,H32,H35)*S14</f>
        <v>15.586033402860688</v>
      </c>
      <c r="D55" s="26"/>
      <c r="E55" s="25"/>
      <c r="F55" s="2"/>
      <c r="G55" s="2"/>
      <c r="H55" s="2"/>
      <c r="I55" s="2"/>
      <c r="J55" s="2"/>
      <c r="K55" s="2"/>
      <c r="L55" s="2"/>
      <c r="M55" s="2"/>
      <c r="N55" s="2"/>
      <c r="O55" s="2"/>
      <c r="P55" s="2"/>
      <c r="Q55" s="2"/>
      <c r="R55" s="2"/>
      <c r="S55" s="2"/>
      <c r="T55" s="8"/>
      <c r="U55" s="8"/>
      <c r="V55" s="8"/>
      <c r="W55" s="8"/>
    </row>
    <row r="56" spans="1:23" s="4" customFormat="1" ht="13">
      <c r="A56" s="18" t="s">
        <v>207</v>
      </c>
      <c r="B56" s="28">
        <f>AVERAGE(G33,G34,H33,H34,G36,G37,H36,H37)*R20</f>
        <v>51.249515380658096</v>
      </c>
      <c r="C56" s="28">
        <f>AVERAGE(G33,G34,H33,H34,G36,G37,H36,H37)*S20</f>
        <v>63.824627950912159</v>
      </c>
      <c r="D56" s="26"/>
      <c r="E56" s="25"/>
      <c r="F56" s="2"/>
      <c r="G56" s="2"/>
      <c r="H56" s="2"/>
      <c r="I56" s="2"/>
      <c r="J56" s="2"/>
      <c r="K56" s="2"/>
      <c r="L56" s="2"/>
      <c r="M56" s="2"/>
      <c r="N56" s="2"/>
      <c r="O56" s="2"/>
      <c r="P56" s="2"/>
      <c r="Q56" s="2"/>
      <c r="R56" s="2"/>
      <c r="S56" s="2"/>
      <c r="T56" s="8"/>
      <c r="U56" s="8"/>
      <c r="V56" s="8"/>
      <c r="W56" s="8"/>
    </row>
    <row r="57" spans="1:23" s="4" customFormat="1" ht="13">
      <c r="A57" s="18" t="s">
        <v>206</v>
      </c>
      <c r="B57" s="28">
        <f>AVERAGE(G34,G37,G38,G39,H34,H37,H38,H39)*R23</f>
        <v>99.138118398437726</v>
      </c>
      <c r="C57" s="28">
        <f>AVERAGE(G34,G37,G38,G39,H34,H37,H38,H39)*S23</f>
        <v>123.46367522768401</v>
      </c>
      <c r="D57" s="26"/>
      <c r="E57" s="25"/>
      <c r="F57" s="2"/>
      <c r="G57" s="2"/>
      <c r="H57" s="2"/>
      <c r="I57" s="2"/>
      <c r="J57" s="2"/>
      <c r="K57" s="2"/>
      <c r="L57" s="2"/>
      <c r="M57" s="2"/>
      <c r="N57" s="2"/>
      <c r="O57" s="2"/>
      <c r="P57" s="2"/>
      <c r="Q57" s="2"/>
      <c r="R57" s="2"/>
      <c r="S57" s="2"/>
      <c r="T57" s="8"/>
      <c r="U57" s="8"/>
      <c r="V57" s="8"/>
      <c r="W57" s="8"/>
    </row>
    <row r="58" spans="1:23" s="4" customFormat="1" ht="13">
      <c r="A58" s="18" t="s">
        <v>205</v>
      </c>
      <c r="B58" s="28">
        <f>AVERAGE(J9:J12)*$K$29</f>
        <v>11.008302535037171</v>
      </c>
      <c r="C58" s="29">
        <f>AVERAGE(M9:M12)*$K$29</f>
        <v>7.8616952944444423</v>
      </c>
      <c r="D58" s="26"/>
      <c r="E58" s="25"/>
      <c r="F58" s="2"/>
      <c r="G58" s="2"/>
      <c r="H58" s="2"/>
      <c r="I58" s="2"/>
      <c r="J58" s="2"/>
      <c r="K58" s="2"/>
      <c r="L58" s="2"/>
      <c r="M58" s="2"/>
      <c r="N58" s="2"/>
      <c r="O58" s="2"/>
      <c r="P58" s="2"/>
      <c r="Q58" s="2"/>
      <c r="R58" s="2"/>
      <c r="S58" s="2"/>
      <c r="T58" s="8"/>
      <c r="U58" s="8"/>
      <c r="V58" s="8"/>
      <c r="W58" s="8"/>
    </row>
    <row r="59" spans="1:23" s="4" customFormat="1" ht="13">
      <c r="A59" s="18" t="s">
        <v>204</v>
      </c>
      <c r="B59" s="28">
        <f>AVERAGE(K30,K31)*R14</f>
        <v>37.423389683572815</v>
      </c>
      <c r="C59" s="28">
        <f>AVERAGE(K30,K31)*S14</f>
        <v>46.605980670745772</v>
      </c>
      <c r="D59" s="26"/>
      <c r="E59" s="25"/>
      <c r="F59" s="2"/>
      <c r="G59" s="2"/>
      <c r="H59" s="2"/>
      <c r="I59" s="2"/>
      <c r="J59" s="2"/>
      <c r="K59" s="2"/>
      <c r="L59" s="2"/>
      <c r="M59" s="2"/>
      <c r="N59" s="2"/>
      <c r="O59" s="2"/>
      <c r="P59" s="2"/>
      <c r="Q59" s="2"/>
      <c r="R59" s="2"/>
      <c r="S59" s="2"/>
      <c r="T59" s="8"/>
      <c r="U59" s="8"/>
      <c r="V59" s="8"/>
      <c r="W59" s="8"/>
    </row>
    <row r="60" spans="1:23" s="4" customFormat="1" ht="13">
      <c r="A60" s="18" t="s">
        <v>203</v>
      </c>
      <c r="B60" s="27">
        <f>AVERAGE(K33,K34,K36,K37)*R20</f>
        <v>107.52607289087437</v>
      </c>
      <c r="C60" s="27">
        <f>AVERAGE(K33,K34,K36,K37)*S20</f>
        <v>133.90978522057964</v>
      </c>
      <c r="D60" s="26"/>
      <c r="E60" s="25"/>
      <c r="F60" s="2"/>
      <c r="G60" s="2"/>
      <c r="H60" s="2"/>
      <c r="I60" s="2"/>
      <c r="J60" s="2"/>
      <c r="K60" s="2"/>
      <c r="L60" s="2"/>
      <c r="M60" s="2"/>
      <c r="N60" s="2"/>
      <c r="O60" s="2"/>
      <c r="P60" s="2"/>
      <c r="Q60" s="2"/>
      <c r="R60" s="2"/>
      <c r="S60" s="2"/>
      <c r="T60" s="8"/>
      <c r="U60" s="8"/>
      <c r="V60" s="8"/>
      <c r="W60" s="8"/>
    </row>
    <row r="61" spans="1:23" s="4" customFormat="1" ht="13">
      <c r="A61" s="18" t="s">
        <v>202</v>
      </c>
      <c r="B61" s="27">
        <f>AVERAGE(K38,K39)*R23</f>
        <v>175.06254164158375</v>
      </c>
      <c r="C61" s="27">
        <f>AVERAGE(K38,K39)*S23</f>
        <v>218.0177023221575</v>
      </c>
      <c r="D61" s="26"/>
      <c r="E61" s="25"/>
      <c r="F61" s="2"/>
      <c r="G61" s="2"/>
      <c r="H61" s="2"/>
      <c r="I61" s="2"/>
      <c r="J61" s="2"/>
      <c r="K61" s="2"/>
      <c r="L61" s="2"/>
      <c r="M61" s="2"/>
      <c r="N61" s="2"/>
      <c r="O61" s="2"/>
      <c r="P61" s="2"/>
      <c r="Q61" s="2"/>
      <c r="R61" s="2"/>
      <c r="S61" s="2"/>
      <c r="T61" s="8"/>
      <c r="U61" s="8"/>
      <c r="V61" s="8"/>
      <c r="W61" s="8"/>
    </row>
    <row r="62" spans="1:23" s="4" customFormat="1" ht="13">
      <c r="T62" s="8"/>
      <c r="U62" s="8"/>
      <c r="V62" s="8"/>
      <c r="W62" s="8"/>
    </row>
    <row r="63" spans="1:23">
      <c r="T63" s="370"/>
      <c r="U63" s="370"/>
      <c r="V63" s="370"/>
      <c r="W63" s="370"/>
    </row>
    <row r="64" spans="1:23" s="70" customFormat="1" ht="13">
      <c r="A64" s="71" t="s">
        <v>563</v>
      </c>
      <c r="B64" s="71"/>
      <c r="C64" s="71"/>
    </row>
    <row r="65" spans="1:7" s="4" customFormat="1" ht="13"/>
    <row r="66" spans="1:7" s="2" customFormat="1" ht="13">
      <c r="A66" s="2" t="s">
        <v>562</v>
      </c>
    </row>
    <row r="67" spans="1:7" s="2" customFormat="1" ht="13">
      <c r="A67" s="2" t="s">
        <v>561</v>
      </c>
      <c r="B67" s="23" t="s">
        <v>560</v>
      </c>
      <c r="C67" s="23" t="s">
        <v>559</v>
      </c>
      <c r="D67" s="23" t="s">
        <v>558</v>
      </c>
      <c r="E67" s="23" t="s">
        <v>557</v>
      </c>
    </row>
    <row r="68" spans="1:7" s="2" customFormat="1" ht="13">
      <c r="A68" s="74" t="s">
        <v>556</v>
      </c>
      <c r="B68" s="75">
        <v>888</v>
      </c>
      <c r="C68" s="75">
        <v>464</v>
      </c>
      <c r="D68" s="75">
        <v>148</v>
      </c>
      <c r="E68" s="18"/>
    </row>
    <row r="69" spans="1:7" s="2" customFormat="1" ht="13">
      <c r="A69" s="74" t="s">
        <v>555</v>
      </c>
      <c r="B69" s="18">
        <v>1710</v>
      </c>
      <c r="C69" s="18">
        <v>1832</v>
      </c>
      <c r="D69" s="18">
        <v>285</v>
      </c>
      <c r="E69" s="18"/>
    </row>
    <row r="70" spans="1:7" s="2" customFormat="1" ht="13">
      <c r="A70" s="74" t="s">
        <v>554</v>
      </c>
      <c r="B70" s="18">
        <v>11928</v>
      </c>
      <c r="C70" s="18">
        <v>5699</v>
      </c>
      <c r="D70" s="18">
        <v>695</v>
      </c>
      <c r="E70" s="18">
        <v>272</v>
      </c>
    </row>
    <row r="71" spans="1:7" s="2" customFormat="1" ht="13"/>
    <row r="72" spans="1:7" s="2" customFormat="1" ht="13"/>
    <row r="73" spans="1:7" s="2" customFormat="1" ht="13">
      <c r="B73" s="35" t="s">
        <v>421</v>
      </c>
      <c r="C73" s="35" t="s">
        <v>553</v>
      </c>
      <c r="D73" s="35" t="s">
        <v>552</v>
      </c>
      <c r="E73" s="35" t="s">
        <v>551</v>
      </c>
      <c r="F73" s="35" t="s">
        <v>550</v>
      </c>
      <c r="G73" s="35" t="s">
        <v>549</v>
      </c>
    </row>
    <row r="74" spans="1:7" s="2" customFormat="1" ht="13">
      <c r="B74" s="35">
        <f>0.15*0.53+0.47</f>
        <v>0.54949999999999999</v>
      </c>
      <c r="C74" s="35">
        <v>2425</v>
      </c>
      <c r="D74" s="35">
        <f>325</f>
        <v>325</v>
      </c>
      <c r="E74" s="35">
        <v>70</v>
      </c>
      <c r="F74" s="35">
        <v>0.5</v>
      </c>
      <c r="G74" s="35">
        <v>0.80700000000000005</v>
      </c>
    </row>
    <row r="75" spans="1:7" s="2" customFormat="1" ht="13"/>
    <row r="76" spans="1:7" s="2" customFormat="1" ht="13">
      <c r="B76" s="23" t="s">
        <v>548</v>
      </c>
      <c r="C76" s="23" t="s">
        <v>547</v>
      </c>
      <c r="D76" s="23" t="s">
        <v>546</v>
      </c>
      <c r="E76" s="23" t="s">
        <v>545</v>
      </c>
    </row>
    <row r="77" spans="1:7" s="2" customFormat="1" ht="13">
      <c r="B77" s="23" t="s">
        <v>544</v>
      </c>
      <c r="C77" s="23" t="s">
        <v>543</v>
      </c>
      <c r="D77" s="23" t="s">
        <v>543</v>
      </c>
      <c r="E77" s="23" t="s">
        <v>542</v>
      </c>
    </row>
    <row r="78" spans="1:7" s="2" customFormat="1" ht="13">
      <c r="A78" s="2">
        <v>100</v>
      </c>
      <c r="B78" s="18">
        <v>0.5</v>
      </c>
      <c r="C78" s="18">
        <v>185</v>
      </c>
      <c r="D78" s="18">
        <v>53.44</v>
      </c>
      <c r="E78" s="53">
        <f>(C78-D78)*B$74*C$74/G$74/100000</f>
        <v>2.172349857496902</v>
      </c>
    </row>
    <row r="79" spans="1:7" s="2" customFormat="1" ht="13">
      <c r="B79" s="18">
        <v>0.75</v>
      </c>
      <c r="C79" s="18">
        <v>225.5</v>
      </c>
      <c r="D79" s="18">
        <v>60.66</v>
      </c>
      <c r="E79" s="53">
        <f>(C79-D79)*B$74*C$74/G$74/100000</f>
        <v>2.72187709417596</v>
      </c>
    </row>
    <row r="80" spans="1:7" s="2" customFormat="1" ht="13">
      <c r="A80" s="2">
        <f>148+128</f>
        <v>276</v>
      </c>
      <c r="B80" s="18">
        <v>1</v>
      </c>
      <c r="C80" s="18">
        <v>275.89999999999998</v>
      </c>
      <c r="D80" s="18">
        <v>71.02</v>
      </c>
      <c r="E80" s="53">
        <f>(C80-D80)*B$74*C$74/G$74/100000</f>
        <v>3.3830270508054521</v>
      </c>
    </row>
    <row r="81" spans="1:21" s="2" customFormat="1" ht="13">
      <c r="A81" s="2">
        <v>59</v>
      </c>
      <c r="B81" s="18">
        <v>1.25</v>
      </c>
      <c r="C81" s="18">
        <v>341.1</v>
      </c>
      <c r="D81" s="18">
        <v>88.22</v>
      </c>
      <c r="E81" s="53">
        <f>(C81-D81)*B$74*C$74/G$74/100000</f>
        <v>4.1756144114002476</v>
      </c>
    </row>
    <row r="82" spans="1:21" s="2" customFormat="1" ht="13">
      <c r="A82" s="2">
        <v>695</v>
      </c>
      <c r="B82" s="18">
        <v>1.5</v>
      </c>
      <c r="C82" s="18">
        <v>386.1</v>
      </c>
      <c r="D82" s="18">
        <v>99.13</v>
      </c>
      <c r="E82" s="53">
        <f>(C82-D82)*B$74*C$74/G$74/100000</f>
        <v>4.7385165597893435</v>
      </c>
    </row>
    <row r="83" spans="1:21" s="2" customFormat="1" ht="13"/>
    <row r="84" spans="1:21" s="2" customFormat="1" ht="13">
      <c r="B84" s="2" t="s">
        <v>541</v>
      </c>
      <c r="C84" s="73">
        <f>(0.3+0.66)*0.5*E84</f>
        <v>1.9924590631213606</v>
      </c>
      <c r="E84" s="72">
        <f>SUMPRODUCT(A78:A82, E78:E82)/SUM(A78:A82)</f>
        <v>4.1509563815028345</v>
      </c>
    </row>
    <row r="85" spans="1:21" s="2" customFormat="1" ht="13"/>
    <row r="88" spans="1:21">
      <c r="A88" s="71" t="s">
        <v>581</v>
      </c>
      <c r="B88" s="71"/>
      <c r="C88" s="78"/>
      <c r="D88" s="78"/>
      <c r="E88" s="78"/>
      <c r="F88" s="78"/>
      <c r="G88" s="78"/>
      <c r="H88" s="78"/>
      <c r="I88" s="78"/>
      <c r="J88" s="78"/>
      <c r="K88" s="78"/>
      <c r="L88" s="78"/>
      <c r="M88" s="78"/>
      <c r="N88" s="78"/>
      <c r="O88" s="78"/>
      <c r="P88" s="78"/>
      <c r="Q88" s="78"/>
      <c r="R88" s="78"/>
      <c r="S88" s="78"/>
      <c r="T88" s="78"/>
      <c r="U88" s="78"/>
    </row>
    <row r="89" spans="1:21">
      <c r="A89" s="4"/>
      <c r="B89" s="4"/>
      <c r="C89" s="4"/>
      <c r="D89" s="4"/>
      <c r="E89" s="4"/>
      <c r="F89" s="4"/>
      <c r="G89" s="4"/>
      <c r="H89" s="4"/>
      <c r="I89" s="4"/>
      <c r="J89" s="4"/>
      <c r="K89" s="4"/>
      <c r="L89" s="4"/>
      <c r="M89" s="4"/>
      <c r="N89" s="4"/>
      <c r="O89" s="4"/>
      <c r="P89" s="4"/>
      <c r="Q89" s="4"/>
      <c r="R89" s="4"/>
      <c r="S89" s="4"/>
      <c r="T89" s="4"/>
      <c r="U89" s="4"/>
    </row>
    <row r="90" spans="1:21">
      <c r="A90" s="18" t="s">
        <v>580</v>
      </c>
      <c r="B90" s="18">
        <v>9.8900000000000002E-2</v>
      </c>
      <c r="C90" s="18" t="s">
        <v>565</v>
      </c>
      <c r="D90" s="18">
        <v>1</v>
      </c>
      <c r="E90" s="18">
        <v>98</v>
      </c>
      <c r="F90" s="18">
        <v>5</v>
      </c>
      <c r="G90" s="18"/>
      <c r="H90" s="18">
        <v>0.8</v>
      </c>
      <c r="I90" s="18">
        <v>76</v>
      </c>
      <c r="J90" s="2"/>
      <c r="K90" s="53">
        <f>B90+D90*(0.00405*F90+0.000519*E90-0.11)+F90*(0.0000689*E90-0.0118)+0.0022*E90</f>
        <v>0.25037300000000001</v>
      </c>
      <c r="L90" s="357">
        <f t="shared" ref="L90:L97" si="7">K90*I90*H90</f>
        <v>15.222678400000001</v>
      </c>
      <c r="M90" s="2"/>
      <c r="N90" s="2" t="s">
        <v>579</v>
      </c>
      <c r="O90" s="2"/>
      <c r="P90" s="2"/>
      <c r="Q90" s="2"/>
      <c r="R90" s="2"/>
      <c r="S90" s="2"/>
      <c r="T90" s="2"/>
      <c r="U90" s="2"/>
    </row>
    <row r="91" spans="1:21">
      <c r="A91" s="18" t="s">
        <v>578</v>
      </c>
      <c r="B91" s="18">
        <v>0.85399999999999998</v>
      </c>
      <c r="C91" s="18" t="s">
        <v>565</v>
      </c>
      <c r="D91" s="18">
        <v>1</v>
      </c>
      <c r="E91" s="18">
        <v>108</v>
      </c>
      <c r="F91" s="18">
        <v>5</v>
      </c>
      <c r="G91" s="18"/>
      <c r="H91" s="18">
        <v>0.8</v>
      </c>
      <c r="I91" s="18">
        <v>76</v>
      </c>
      <c r="J91" s="2"/>
      <c r="K91" s="53">
        <f>B91+D91*(0.00231*F91-0.0349)+F91*(0.000309*E91-0.0494)+0.00266*E91</f>
        <v>1.03779</v>
      </c>
      <c r="L91" s="357">
        <f t="shared" si="7"/>
        <v>63.097632000000004</v>
      </c>
      <c r="M91" s="2"/>
      <c r="N91" s="2" t="s">
        <v>577</v>
      </c>
      <c r="O91" s="2"/>
      <c r="P91" s="2"/>
      <c r="Q91" s="2"/>
      <c r="R91" s="2"/>
      <c r="S91" s="2"/>
      <c r="T91" s="2"/>
      <c r="U91" s="2"/>
    </row>
    <row r="92" spans="1:21">
      <c r="A92" s="18" t="s">
        <v>576</v>
      </c>
      <c r="B92" s="18">
        <v>3.0219999999999998</v>
      </c>
      <c r="C92" s="18" t="s">
        <v>565</v>
      </c>
      <c r="D92" s="18">
        <v>1</v>
      </c>
      <c r="E92" s="18">
        <v>55</v>
      </c>
      <c r="F92" s="18">
        <v>5</v>
      </c>
      <c r="G92" s="18"/>
      <c r="H92" s="18">
        <v>0.8</v>
      </c>
      <c r="I92" s="18">
        <v>76</v>
      </c>
      <c r="J92" s="2"/>
      <c r="K92" s="53">
        <f>B92+D92*(0.00745*F92-0.142)+F92*(0.00077*E92-0.111)+0.00199*E92</f>
        <v>2.6834499999999997</v>
      </c>
      <c r="L92" s="357">
        <f t="shared" si="7"/>
        <v>163.15376000000001</v>
      </c>
      <c r="M92" s="2"/>
      <c r="N92" s="2" t="s">
        <v>575</v>
      </c>
      <c r="O92" s="2"/>
      <c r="P92" s="2"/>
      <c r="Q92" s="2"/>
      <c r="R92" s="2"/>
      <c r="S92" s="2"/>
      <c r="T92" s="2"/>
      <c r="U92" s="2"/>
    </row>
    <row r="93" spans="1:21">
      <c r="A93" s="18" t="s">
        <v>574</v>
      </c>
      <c r="B93" s="18">
        <v>5.3680000000000003</v>
      </c>
      <c r="C93" s="18" t="s">
        <v>565</v>
      </c>
      <c r="D93" s="18">
        <v>1</v>
      </c>
      <c r="E93" s="18">
        <v>133</v>
      </c>
      <c r="F93" s="18">
        <v>5</v>
      </c>
      <c r="G93" s="18"/>
      <c r="H93" s="18">
        <v>0.8</v>
      </c>
      <c r="I93" s="18">
        <v>76</v>
      </c>
      <c r="J93" s="2"/>
      <c r="K93" s="53">
        <f>B93+D93*(0.00143*F93-0.0309)+F93*(0.0008*E93-0.134)+0.00219*E93</f>
        <v>5.4975200000000006</v>
      </c>
      <c r="L93" s="357">
        <f t="shared" si="7"/>
        <v>334.24921600000005</v>
      </c>
      <c r="M93" s="2"/>
      <c r="N93" s="2" t="s">
        <v>573</v>
      </c>
      <c r="O93" s="2"/>
      <c r="P93" s="2"/>
      <c r="Q93" s="2"/>
      <c r="R93" s="2"/>
      <c r="S93" s="2"/>
      <c r="T93" s="2"/>
      <c r="U93" s="2"/>
    </row>
    <row r="94" spans="1:21">
      <c r="A94" s="18" t="s">
        <v>572</v>
      </c>
      <c r="B94" s="18">
        <v>0.63600000000000001</v>
      </c>
      <c r="C94" s="18" t="s">
        <v>565</v>
      </c>
      <c r="D94" s="18">
        <v>1</v>
      </c>
      <c r="E94" s="18">
        <v>108</v>
      </c>
      <c r="F94" s="18">
        <v>5</v>
      </c>
      <c r="G94" s="18"/>
      <c r="H94" s="18">
        <v>0.8</v>
      </c>
      <c r="I94" s="18">
        <v>76</v>
      </c>
      <c r="J94" s="2"/>
      <c r="K94" s="53">
        <f>B94+D94*(0.0125*F94+0.0036*E94-0.71)+F94*(0.000329*E94-0.0615)+0.00738*E94</f>
        <v>1.0445000000000002</v>
      </c>
      <c r="L94" s="357">
        <f t="shared" si="7"/>
        <v>63.505600000000015</v>
      </c>
      <c r="M94" s="2"/>
      <c r="N94" s="2" t="s">
        <v>571</v>
      </c>
      <c r="O94" s="2"/>
      <c r="P94" s="2"/>
      <c r="Q94" s="2"/>
      <c r="R94" s="2"/>
      <c r="S94" s="2"/>
      <c r="T94" s="2"/>
      <c r="U94" s="2"/>
    </row>
    <row r="95" spans="1:21">
      <c r="A95" s="18" t="s">
        <v>570</v>
      </c>
      <c r="B95" s="18">
        <v>0.70399999999999996</v>
      </c>
      <c r="C95" s="18" t="s">
        <v>565</v>
      </c>
      <c r="D95" s="18">
        <v>1</v>
      </c>
      <c r="E95" s="18">
        <v>117</v>
      </c>
      <c r="F95" s="18">
        <v>5</v>
      </c>
      <c r="G95" s="18"/>
      <c r="H95" s="18">
        <v>0.8</v>
      </c>
      <c r="I95" s="18">
        <v>76</v>
      </c>
      <c r="J95" s="2"/>
      <c r="K95" s="53">
        <f>B95+D95*(0.00144*F95+0.000262*E95-0.0553)+F95*(0.00018*E95-0.0299)+0.00166*E95</f>
        <v>0.83657399999999993</v>
      </c>
      <c r="L95" s="357">
        <f t="shared" si="7"/>
        <v>50.863699199999999</v>
      </c>
      <c r="M95" s="2"/>
      <c r="N95" s="2" t="s">
        <v>569</v>
      </c>
      <c r="O95" s="2"/>
      <c r="P95" s="2"/>
      <c r="Q95" s="2"/>
      <c r="R95" s="2"/>
      <c r="S95" s="2"/>
      <c r="T95" s="2"/>
      <c r="U95" s="2"/>
    </row>
    <row r="96" spans="1:21">
      <c r="A96" s="18" t="s">
        <v>568</v>
      </c>
      <c r="B96" s="18">
        <v>2.6720000000000002</v>
      </c>
      <c r="C96" s="18" t="s">
        <v>565</v>
      </c>
      <c r="D96" s="18">
        <v>1</v>
      </c>
      <c r="E96" s="18">
        <v>93</v>
      </c>
      <c r="F96" s="18">
        <v>5</v>
      </c>
      <c r="G96" s="18"/>
      <c r="H96" s="18">
        <v>0.8</v>
      </c>
      <c r="I96" s="18">
        <v>76</v>
      </c>
      <c r="J96" s="2"/>
      <c r="K96" s="53">
        <f>B96+F96*(0.000406*E96-0.0611)+0.00228*E96</f>
        <v>2.7673300000000003</v>
      </c>
      <c r="L96" s="357">
        <f t="shared" si="7"/>
        <v>168.25366400000004</v>
      </c>
      <c r="M96" s="2"/>
      <c r="N96" s="2" t="s">
        <v>567</v>
      </c>
      <c r="O96" s="2"/>
      <c r="P96" s="2"/>
      <c r="Q96" s="2"/>
      <c r="R96" s="2"/>
      <c r="S96" s="2"/>
      <c r="T96" s="2"/>
      <c r="U96" s="2"/>
    </row>
    <row r="97" spans="1:21">
      <c r="A97" s="18" t="s">
        <v>566</v>
      </c>
      <c r="B97" s="18">
        <v>2.2919999999999998</v>
      </c>
      <c r="C97" s="18" t="s">
        <v>565</v>
      </c>
      <c r="D97" s="18">
        <v>1</v>
      </c>
      <c r="E97" s="18">
        <v>93</v>
      </c>
      <c r="F97" s="18">
        <v>5</v>
      </c>
      <c r="G97" s="18"/>
      <c r="H97" s="18">
        <v>0.8</v>
      </c>
      <c r="I97" s="18">
        <v>76</v>
      </c>
      <c r="J97" s="2"/>
      <c r="K97" s="53">
        <f>B97+D97*(0.00383*F97-0.0656)+F97*(0.000575*E97-0.0912)+0.00249*E97</f>
        <v>2.2884949999999997</v>
      </c>
      <c r="L97" s="357">
        <f t="shared" si="7"/>
        <v>139.14049599999998</v>
      </c>
      <c r="M97" s="2"/>
      <c r="N97" s="2" t="s">
        <v>564</v>
      </c>
      <c r="O97" s="2"/>
      <c r="P97" s="2"/>
      <c r="Q97" s="2"/>
      <c r="R97" s="2"/>
      <c r="S97" s="2"/>
      <c r="T97" s="2"/>
      <c r="U97" s="2"/>
    </row>
    <row r="98" spans="1:21">
      <c r="A98" s="2"/>
      <c r="B98" s="2"/>
      <c r="C98" s="2"/>
      <c r="D98" s="2"/>
      <c r="E98" s="2"/>
      <c r="F98" s="2"/>
      <c r="G98" s="2"/>
      <c r="H98" s="2"/>
      <c r="I98" s="2"/>
      <c r="J98" s="2"/>
      <c r="K98" s="76">
        <f>AVERAGE(K90:K97)</f>
        <v>2.050754</v>
      </c>
      <c r="L98" s="358">
        <f>AVERAGE(L90:L97)</f>
        <v>124.68584320000001</v>
      </c>
      <c r="M98" s="2"/>
      <c r="N98" s="2"/>
      <c r="O98" s="2"/>
      <c r="P98" s="2"/>
      <c r="Q98" s="2"/>
      <c r="R98" s="2"/>
      <c r="S98" s="2"/>
      <c r="T98" s="2"/>
      <c r="U98" s="2"/>
    </row>
    <row r="101" spans="1:21">
      <c r="A101" s="70" t="s">
        <v>666</v>
      </c>
      <c r="B101" s="78"/>
      <c r="C101" s="78"/>
      <c r="D101" s="78"/>
      <c r="E101" s="78"/>
      <c r="F101" s="78"/>
      <c r="G101" s="78"/>
      <c r="H101" s="78"/>
      <c r="I101" s="78"/>
      <c r="J101" s="78"/>
      <c r="K101" s="78"/>
      <c r="L101" s="78"/>
      <c r="M101" s="78"/>
      <c r="N101" s="78"/>
      <c r="O101" s="78"/>
    </row>
    <row r="102" spans="1:21">
      <c r="A102" s="12"/>
      <c r="B102" s="12"/>
      <c r="C102" s="2"/>
      <c r="D102" s="2"/>
      <c r="E102" s="2"/>
      <c r="F102" s="2"/>
      <c r="G102" s="2"/>
      <c r="H102" s="2"/>
      <c r="I102" s="2"/>
      <c r="J102" s="2"/>
      <c r="K102" s="2"/>
      <c r="L102" s="2"/>
      <c r="M102" s="2"/>
      <c r="N102" s="2"/>
      <c r="O102" s="2"/>
    </row>
    <row r="103" spans="1:21">
      <c r="A103" s="13" t="s">
        <v>251</v>
      </c>
      <c r="B103" s="19">
        <v>140</v>
      </c>
      <c r="C103" s="2"/>
      <c r="D103" s="2"/>
      <c r="E103" s="2"/>
      <c r="F103" s="2"/>
      <c r="G103" s="2"/>
      <c r="H103" s="2"/>
      <c r="I103" s="2"/>
      <c r="J103" s="2"/>
      <c r="K103" s="2"/>
      <c r="L103" s="2"/>
      <c r="M103" s="2"/>
      <c r="N103" s="2"/>
      <c r="O103" s="2"/>
    </row>
    <row r="104" spans="1:21">
      <c r="A104" s="13" t="s">
        <v>250</v>
      </c>
      <c r="B104" s="19">
        <v>54.1</v>
      </c>
      <c r="C104" s="2"/>
      <c r="D104" s="2"/>
      <c r="E104" s="2"/>
      <c r="F104" s="2"/>
      <c r="G104" s="2"/>
      <c r="H104" s="2"/>
      <c r="I104" s="2"/>
      <c r="J104" s="2"/>
      <c r="K104" s="2"/>
      <c r="L104" s="2"/>
      <c r="M104" s="2"/>
      <c r="N104" s="2"/>
      <c r="O104" s="2"/>
    </row>
    <row r="105" spans="1:21">
      <c r="A105" s="13" t="s">
        <v>383</v>
      </c>
      <c r="B105" s="13">
        <v>8.33</v>
      </c>
      <c r="C105" s="2"/>
      <c r="D105" s="2"/>
      <c r="E105" s="2"/>
      <c r="F105" s="2"/>
      <c r="G105" s="2"/>
      <c r="H105" s="2"/>
      <c r="I105" s="2"/>
      <c r="J105" s="2"/>
      <c r="K105" s="2"/>
      <c r="L105" s="2"/>
      <c r="M105" s="2"/>
      <c r="N105" s="2"/>
      <c r="O105" s="2"/>
    </row>
    <row r="106" spans="1:21">
      <c r="A106" s="13" t="s">
        <v>249</v>
      </c>
      <c r="B106" s="144">
        <f>B110*B111*365</f>
        <v>4927.5</v>
      </c>
      <c r="C106" s="2"/>
      <c r="D106" s="2"/>
      <c r="E106" s="2"/>
      <c r="F106" s="2"/>
      <c r="G106" s="2"/>
      <c r="H106" s="2"/>
      <c r="I106" s="2"/>
      <c r="J106" s="2"/>
      <c r="K106" s="2"/>
      <c r="L106" s="2"/>
      <c r="M106" s="2"/>
      <c r="N106" s="2"/>
      <c r="O106" s="2"/>
    </row>
    <row r="107" spans="1:21">
      <c r="A107" s="19" t="s">
        <v>665</v>
      </c>
      <c r="B107" s="20">
        <v>0.8</v>
      </c>
      <c r="C107" s="2"/>
      <c r="D107" s="2"/>
      <c r="E107" s="2"/>
      <c r="F107" s="2"/>
      <c r="G107" s="2"/>
      <c r="H107" s="2"/>
      <c r="I107" s="2"/>
      <c r="J107" s="2"/>
      <c r="K107" s="2"/>
      <c r="L107" s="2"/>
      <c r="M107" s="2"/>
      <c r="N107" s="2"/>
      <c r="O107" s="2"/>
    </row>
    <row r="108" spans="1:21">
      <c r="A108" s="19" t="s">
        <v>664</v>
      </c>
      <c r="B108" s="19">
        <v>0.65</v>
      </c>
      <c r="C108" s="2"/>
      <c r="D108" s="2"/>
      <c r="E108" s="2"/>
      <c r="F108" s="2"/>
      <c r="G108" s="2"/>
      <c r="H108" s="2"/>
      <c r="I108" s="2"/>
      <c r="J108" s="2"/>
      <c r="K108" s="2"/>
      <c r="L108" s="2"/>
      <c r="M108" s="2"/>
      <c r="N108" s="2"/>
      <c r="O108" s="2"/>
    </row>
    <row r="109" spans="1:21">
      <c r="A109" s="12"/>
      <c r="B109" s="12"/>
      <c r="C109" s="2"/>
      <c r="D109" s="74" t="s">
        <v>663</v>
      </c>
      <c r="E109" s="2"/>
      <c r="F109" s="2"/>
      <c r="G109" s="2"/>
      <c r="H109" s="2"/>
      <c r="I109" s="2"/>
      <c r="J109" s="2"/>
      <c r="K109" s="2"/>
      <c r="L109" s="2"/>
      <c r="M109" s="2"/>
      <c r="N109" s="2"/>
      <c r="O109" s="2"/>
    </row>
    <row r="110" spans="1:21">
      <c r="A110" s="2" t="s">
        <v>662</v>
      </c>
      <c r="B110" s="18">
        <v>3</v>
      </c>
      <c r="C110" s="2"/>
      <c r="D110" s="74" t="s">
        <v>661</v>
      </c>
      <c r="E110" s="2"/>
      <c r="F110" s="2"/>
      <c r="G110" s="2"/>
      <c r="H110" s="2"/>
      <c r="I110" s="2"/>
      <c r="J110" s="2"/>
      <c r="K110" s="2"/>
      <c r="L110" s="2"/>
      <c r="M110" s="2"/>
      <c r="N110" s="2"/>
      <c r="O110" s="2"/>
    </row>
    <row r="111" spans="1:21">
      <c r="A111" s="2" t="s">
        <v>660</v>
      </c>
      <c r="B111" s="18">
        <v>4.5</v>
      </c>
      <c r="C111" s="2" t="s">
        <v>659</v>
      </c>
      <c r="D111" s="74" t="s">
        <v>658</v>
      </c>
      <c r="E111" s="2"/>
      <c r="F111" s="2"/>
      <c r="G111" s="2"/>
      <c r="H111" s="2"/>
      <c r="I111" s="2"/>
      <c r="J111" s="2"/>
      <c r="K111" s="2"/>
      <c r="L111" s="2"/>
      <c r="M111" s="2"/>
      <c r="N111" s="2"/>
      <c r="O111" s="2"/>
    </row>
    <row r="112" spans="1:21">
      <c r="A112" s="2"/>
      <c r="B112" s="2"/>
      <c r="C112" s="2"/>
      <c r="D112" s="2"/>
      <c r="E112" s="2"/>
      <c r="F112" s="2"/>
      <c r="G112" s="2"/>
      <c r="H112" s="2"/>
      <c r="I112" s="2"/>
      <c r="J112" s="2"/>
      <c r="K112" s="2"/>
      <c r="L112" s="2"/>
      <c r="M112" s="2"/>
      <c r="N112" s="2"/>
      <c r="O112" s="2"/>
    </row>
    <row r="113" spans="1:15">
      <c r="A113" s="17" t="s">
        <v>657</v>
      </c>
      <c r="B113" s="22">
        <f>2*B111*B108*B105*(B103-B104)/B107</f>
        <v>5232.4374375000007</v>
      </c>
      <c r="C113" s="17" t="s">
        <v>656</v>
      </c>
      <c r="D113" s="2"/>
      <c r="E113" s="2"/>
      <c r="F113" s="2"/>
      <c r="G113" s="2"/>
      <c r="H113" s="2"/>
      <c r="I113" s="2"/>
      <c r="J113" s="2"/>
      <c r="K113" s="2"/>
      <c r="L113" s="2"/>
      <c r="M113" s="2"/>
      <c r="N113" s="2"/>
      <c r="O113" s="2"/>
    </row>
    <row r="114" spans="1:15">
      <c r="A114" s="17" t="s">
        <v>655</v>
      </c>
      <c r="B114" s="22">
        <f>B106*B105*(B103-B104)/B107</f>
        <v>4407322.3031249996</v>
      </c>
      <c r="C114" s="17" t="s">
        <v>255</v>
      </c>
      <c r="D114" s="2"/>
      <c r="E114" s="2"/>
      <c r="F114" s="2"/>
      <c r="G114" s="2"/>
      <c r="H114" s="2"/>
      <c r="I114" s="2"/>
      <c r="J114" s="2"/>
      <c r="K114" s="2"/>
      <c r="L114" s="2"/>
      <c r="M114" s="2"/>
      <c r="N114" s="2"/>
      <c r="O114" s="2"/>
    </row>
    <row r="115" spans="1:15">
      <c r="A115" s="17" t="s">
        <v>303</v>
      </c>
      <c r="B115" s="22">
        <f>B114/B113+1*0.01*8760</f>
        <v>929.90769230769217</v>
      </c>
      <c r="C115" s="17" t="s">
        <v>654</v>
      </c>
      <c r="D115" s="2"/>
      <c r="E115" s="2"/>
      <c r="F115" s="2"/>
      <c r="G115" s="2"/>
      <c r="H115" s="2"/>
      <c r="I115" s="2"/>
      <c r="J115" s="2"/>
      <c r="K115" s="2"/>
      <c r="L115" s="2"/>
      <c r="M115" s="2"/>
      <c r="N115" s="2"/>
      <c r="O115" s="2"/>
    </row>
    <row r="116" spans="1:15">
      <c r="A116" s="2"/>
      <c r="B116" s="2"/>
      <c r="C116" s="2"/>
      <c r="D116" s="2"/>
      <c r="E116" s="2"/>
      <c r="F116" s="2"/>
      <c r="G116" s="2"/>
      <c r="H116" s="2"/>
      <c r="I116" s="2"/>
      <c r="J116" s="2"/>
      <c r="K116" s="2"/>
      <c r="L116" s="2"/>
      <c r="M116" s="2"/>
      <c r="N116" s="2"/>
      <c r="O116" s="2"/>
    </row>
    <row r="117" spans="1:15">
      <c r="A117" s="13" t="s">
        <v>240</v>
      </c>
      <c r="B117" s="19">
        <v>1</v>
      </c>
      <c r="C117" s="19">
        <v>1</v>
      </c>
      <c r="D117" s="2"/>
      <c r="E117" s="2"/>
      <c r="F117" s="2"/>
      <c r="G117" s="2"/>
      <c r="H117" s="2"/>
      <c r="I117" s="2"/>
      <c r="J117" s="2"/>
      <c r="K117" s="2"/>
      <c r="L117" s="2"/>
      <c r="M117" s="2"/>
      <c r="N117" s="2"/>
      <c r="O117" s="2"/>
    </row>
    <row r="118" spans="1:15">
      <c r="A118" s="13" t="s">
        <v>653</v>
      </c>
      <c r="B118" s="19">
        <v>0.8</v>
      </c>
      <c r="C118" s="19">
        <v>0.8</v>
      </c>
      <c r="D118" s="2"/>
      <c r="E118" s="2"/>
      <c r="F118" s="2"/>
      <c r="G118" s="2"/>
      <c r="H118" s="2"/>
      <c r="I118" s="2"/>
      <c r="J118" s="2"/>
      <c r="K118" s="2"/>
      <c r="L118" s="2"/>
      <c r="M118" s="2"/>
      <c r="N118" s="2"/>
      <c r="O118" s="2"/>
    </row>
    <row r="119" spans="1:15">
      <c r="A119" s="13" t="s">
        <v>652</v>
      </c>
      <c r="B119" s="19">
        <v>0.88</v>
      </c>
      <c r="C119" s="19">
        <v>0.95</v>
      </c>
      <c r="D119" s="2"/>
      <c r="E119" s="2"/>
      <c r="F119" s="2"/>
      <c r="G119" s="2"/>
      <c r="H119" s="2"/>
      <c r="I119" s="2"/>
      <c r="J119" s="2"/>
      <c r="K119" s="2"/>
      <c r="L119" s="2"/>
      <c r="M119" s="2"/>
      <c r="N119" s="2"/>
      <c r="O119" s="2"/>
    </row>
    <row r="120" spans="1:15">
      <c r="A120" s="2"/>
      <c r="B120" s="2"/>
      <c r="C120" s="2"/>
      <c r="D120" s="2"/>
      <c r="E120" s="2"/>
      <c r="F120" s="2"/>
      <c r="G120" s="2"/>
      <c r="H120" s="2"/>
      <c r="I120" s="2"/>
      <c r="J120" s="2"/>
      <c r="K120" s="2"/>
      <c r="L120" s="2"/>
      <c r="M120" s="2"/>
      <c r="N120" s="2"/>
      <c r="O120" s="2"/>
    </row>
    <row r="121" spans="1:15">
      <c r="A121" s="2" t="s">
        <v>651</v>
      </c>
      <c r="B121" s="143">
        <f>B117*B115*(1/B118-1/B119)/100</f>
        <v>1.0567132867132856</v>
      </c>
      <c r="C121" s="143">
        <f>B117*B115*(1/C118-1/C119)/100</f>
        <v>1.8353441295546562</v>
      </c>
      <c r="D121" s="2"/>
      <c r="E121" s="2"/>
      <c r="F121" s="2"/>
      <c r="G121" s="2"/>
      <c r="H121" s="2"/>
      <c r="I121" s="2"/>
      <c r="J121" s="2"/>
      <c r="K121" s="2"/>
      <c r="L121" s="2"/>
      <c r="M121" s="2"/>
      <c r="N121" s="2"/>
      <c r="O121" s="2"/>
    </row>
  </sheetData>
  <mergeCells count="18">
    <mergeCell ref="E27:K27"/>
    <mergeCell ref="J7:O7"/>
    <mergeCell ref="B7:F7"/>
    <mergeCell ref="G7:I7"/>
    <mergeCell ref="R7:S7"/>
    <mergeCell ref="R23:R25"/>
    <mergeCell ref="S23:S25"/>
    <mergeCell ref="A9:A12"/>
    <mergeCell ref="A7:A8"/>
    <mergeCell ref="A23:A25"/>
    <mergeCell ref="R20:R22"/>
    <mergeCell ref="S20:S22"/>
    <mergeCell ref="A19:A22"/>
    <mergeCell ref="R14:R19"/>
    <mergeCell ref="S14:S19"/>
    <mergeCell ref="A13:A18"/>
    <mergeCell ref="R10:R13"/>
    <mergeCell ref="S10:S13"/>
  </mergeCells>
  <hyperlinks>
    <hyperlink ref="A68" display="JO, CHANG dba VILLAGE CLEANERS - 1120366 - Steam Pipe Insulation" xr:uid="{00000000-0004-0000-0300-000000000000}"/>
    <hyperlink ref="A69" display="Evergreen Plaza Cleaners -1101378 - Pipe Insulation" xr:uid="{00000000-0004-0000-0300-000001000000}"/>
    <hyperlink ref="A70" display="JEFFERSON PARK VALET SHOP - 6022 N Keystone Ave (#997264) - Custom Pipe Insul" xr:uid="{00000000-0004-0000-0300-000002000000}"/>
    <hyperlink ref="D109" display="http://www.bandctech.com/Manuals/commercial-laundry-planning-guide.pdf" xr:uid="{00000000-0004-0000-0300-000003000000}"/>
    <hyperlink ref="D110" display="http://www1.eere.energy.gov/buildings/appliance_standards/commercial/pdfs/ccw_snopr_chap6.pdf" xr:uid="{00000000-0004-0000-0300-000004000000}"/>
    <hyperlink ref="D111" display="http://www.allianceforwaterefficiency.org/laundromats.aspx" xr:uid="{00000000-0004-0000-0300-000005000000}"/>
  </hyperlinks>
  <pageMargins left="0.7" right="0.7" top="0.75" bottom="0.75" header="0.3" footer="0.3"/>
  <pageSetup scale="26" orientation="portrait"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3:O73"/>
  <sheetViews>
    <sheetView view="pageBreakPre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11.81640625" customWidth="1"/>
    <col min="7" max="7" width="27.81640625" bestFit="1" customWidth="1"/>
  </cols>
  <sheetData>
    <row r="3" spans="1:15" s="141" customFormat="1" ht="13">
      <c r="A3" s="71" t="s">
        <v>650</v>
      </c>
      <c r="B3" s="71"/>
      <c r="C3" s="71"/>
      <c r="D3" s="142"/>
      <c r="E3" s="142"/>
      <c r="F3" s="142"/>
      <c r="H3" s="142"/>
      <c r="I3" s="142"/>
      <c r="J3" s="142"/>
      <c r="K3" s="142"/>
      <c r="L3" s="142"/>
      <c r="M3" s="142"/>
      <c r="N3" s="142"/>
      <c r="O3" s="142"/>
    </row>
    <row r="4" spans="1:15" s="30" customFormat="1" ht="13">
      <c r="A4" s="111" t="s">
        <v>649</v>
      </c>
      <c r="B4" s="111"/>
      <c r="C4" s="111"/>
      <c r="D4" s="111"/>
      <c r="E4" s="111"/>
      <c r="F4" s="111"/>
      <c r="G4" s="111"/>
      <c r="H4" s="111"/>
      <c r="I4" s="111"/>
    </row>
    <row r="5" spans="1:15" s="30" customFormat="1" ht="13">
      <c r="A5" s="111" t="s">
        <v>648</v>
      </c>
      <c r="B5" s="111"/>
      <c r="C5" s="111"/>
      <c r="D5" s="111"/>
      <c r="E5" s="111"/>
      <c r="F5" s="111"/>
      <c r="G5" s="111"/>
      <c r="H5" s="111"/>
      <c r="I5" s="111"/>
    </row>
    <row r="6" spans="1:15" s="30" customFormat="1" ht="13">
      <c r="A6" s="111" t="s">
        <v>647</v>
      </c>
      <c r="B6" s="111"/>
      <c r="C6" s="111"/>
      <c r="D6" s="111"/>
      <c r="E6" s="111"/>
      <c r="F6" s="111"/>
      <c r="G6" s="111"/>
      <c r="H6" s="111"/>
      <c r="I6" s="111"/>
      <c r="J6" s="111"/>
      <c r="K6" s="111"/>
      <c r="L6" s="111"/>
      <c r="M6" s="111"/>
      <c r="N6" s="111"/>
      <c r="O6" s="111"/>
    </row>
    <row r="7" spans="1:15" s="30" customFormat="1" ht="13">
      <c r="A7" s="111" t="s">
        <v>646</v>
      </c>
      <c r="B7" s="111"/>
      <c r="C7" s="111"/>
      <c r="D7" s="111"/>
      <c r="E7" s="111"/>
      <c r="F7" s="111"/>
      <c r="G7" s="111"/>
      <c r="H7" s="111"/>
      <c r="I7" s="111"/>
      <c r="J7" s="111"/>
      <c r="K7" s="111"/>
      <c r="L7" s="111"/>
      <c r="M7" s="111"/>
      <c r="N7" s="111"/>
      <c r="O7" s="111"/>
    </row>
    <row r="8" spans="1:15" s="30" customFormat="1" ht="13">
      <c r="A8" s="111" t="s">
        <v>645</v>
      </c>
      <c r="B8" s="111"/>
      <c r="C8" s="111"/>
      <c r="D8" s="111"/>
      <c r="E8" s="111"/>
      <c r="F8" s="111"/>
      <c r="G8" s="111"/>
      <c r="H8" s="111"/>
      <c r="I8" s="111"/>
      <c r="J8" s="111"/>
      <c r="K8" s="111"/>
      <c r="L8" s="111"/>
      <c r="M8" s="111"/>
      <c r="N8" s="111"/>
      <c r="O8" s="111"/>
    </row>
    <row r="9" spans="1:15" s="30" customFormat="1" ht="13.5" thickBot="1">
      <c r="A9" s="111"/>
      <c r="B9" s="111"/>
      <c r="C9" s="111"/>
      <c r="D9" s="111"/>
      <c r="E9" s="111"/>
      <c r="F9" s="111"/>
      <c r="G9" s="111"/>
      <c r="H9" s="111"/>
      <c r="I9" s="111"/>
      <c r="J9" s="111"/>
      <c r="K9" s="111"/>
      <c r="L9" s="111"/>
      <c r="M9" s="111"/>
      <c r="N9" s="111"/>
      <c r="O9" s="111"/>
    </row>
    <row r="10" spans="1:15" s="2" customFormat="1" ht="13">
      <c r="A10" s="5"/>
      <c r="B10" s="140" t="s">
        <v>611</v>
      </c>
      <c r="C10" s="139" t="s">
        <v>644</v>
      </c>
      <c r="D10" s="138" t="s">
        <v>643</v>
      </c>
      <c r="E10" s="138" t="s">
        <v>642</v>
      </c>
      <c r="F10" s="5"/>
      <c r="G10" s="5"/>
      <c r="H10" s="5"/>
      <c r="I10" s="5"/>
      <c r="J10" s="5"/>
      <c r="K10" s="5"/>
      <c r="L10" s="5"/>
      <c r="M10" s="5"/>
      <c r="N10" s="5"/>
    </row>
    <row r="11" spans="1:15" s="2" customFormat="1" ht="13">
      <c r="A11" s="5"/>
      <c r="B11" s="125" t="s">
        <v>641</v>
      </c>
      <c r="C11" s="130">
        <v>200</v>
      </c>
      <c r="D11" s="137">
        <v>250</v>
      </c>
      <c r="E11" s="137">
        <v>400</v>
      </c>
      <c r="F11" s="5" t="s">
        <v>640</v>
      </c>
      <c r="G11" s="5"/>
      <c r="H11" s="5"/>
      <c r="I11" s="5"/>
      <c r="J11" s="5"/>
      <c r="K11" s="5"/>
      <c r="L11" s="5"/>
      <c r="M11" s="5"/>
      <c r="N11" s="5"/>
    </row>
    <row r="12" spans="1:15" s="2" customFormat="1" ht="13">
      <c r="A12" s="5"/>
      <c r="B12" s="125" t="s">
        <v>639</v>
      </c>
      <c r="C12" s="136">
        <v>250</v>
      </c>
      <c r="D12" s="135">
        <v>250</v>
      </c>
      <c r="E12" s="135">
        <v>250</v>
      </c>
      <c r="F12" s="5" t="s">
        <v>602</v>
      </c>
      <c r="G12" s="5"/>
      <c r="H12" s="5"/>
      <c r="I12" s="5"/>
      <c r="J12" s="5"/>
      <c r="K12" s="5"/>
      <c r="L12" s="5"/>
      <c r="M12" s="5"/>
      <c r="N12" s="5"/>
    </row>
    <row r="13" spans="1:15" s="2" customFormat="1" ht="13">
      <c r="A13" s="5"/>
      <c r="B13" s="125" t="s">
        <v>638</v>
      </c>
      <c r="C13" s="134">
        <v>0.52</v>
      </c>
      <c r="D13" s="133">
        <v>0.52</v>
      </c>
      <c r="E13" s="133">
        <v>0.52</v>
      </c>
      <c r="F13" s="5"/>
      <c r="G13" s="5"/>
      <c r="H13" s="5"/>
      <c r="I13" s="5"/>
      <c r="J13" s="5"/>
      <c r="K13" s="5"/>
      <c r="L13" s="5"/>
      <c r="M13" s="5"/>
      <c r="N13" s="5"/>
    </row>
    <row r="14" spans="1:15" s="2" customFormat="1" ht="13">
      <c r="A14" s="5"/>
      <c r="B14" s="125" t="s">
        <v>637</v>
      </c>
      <c r="C14" s="132">
        <v>0.56000000000000005</v>
      </c>
      <c r="D14" s="131">
        <v>0.56000000000000005</v>
      </c>
      <c r="E14" s="131">
        <v>0.56000000000000005</v>
      </c>
      <c r="F14" s="5"/>
      <c r="G14" s="5"/>
      <c r="H14" s="5"/>
      <c r="I14" s="5"/>
      <c r="J14" s="5"/>
      <c r="K14" s="5"/>
      <c r="L14" s="5"/>
      <c r="M14" s="5"/>
      <c r="N14" s="5"/>
    </row>
    <row r="15" spans="1:15" s="2" customFormat="1" ht="13">
      <c r="A15" s="5"/>
      <c r="B15" s="125" t="s">
        <v>636</v>
      </c>
      <c r="C15" s="132">
        <v>0.5</v>
      </c>
      <c r="D15" s="131">
        <v>0.5</v>
      </c>
      <c r="E15" s="131">
        <v>0.5</v>
      </c>
      <c r="F15" s="5"/>
      <c r="G15" s="5"/>
      <c r="H15" s="5"/>
      <c r="I15" s="5"/>
      <c r="J15" s="5"/>
      <c r="K15" s="5"/>
      <c r="L15" s="5"/>
      <c r="M15" s="5"/>
      <c r="N15" s="5"/>
    </row>
    <row r="16" spans="1:15" s="2" customFormat="1" ht="13">
      <c r="A16" s="5"/>
      <c r="B16" s="125" t="s">
        <v>635</v>
      </c>
      <c r="C16" s="124">
        <v>18658</v>
      </c>
      <c r="D16" s="123">
        <v>24562</v>
      </c>
      <c r="E16" s="123">
        <v>43300</v>
      </c>
      <c r="F16" s="5" t="s">
        <v>594</v>
      </c>
      <c r="G16" s="5"/>
      <c r="H16" s="5"/>
      <c r="I16" s="5"/>
      <c r="J16" s="5"/>
      <c r="K16" s="5"/>
      <c r="L16" s="5"/>
      <c r="M16" s="5"/>
      <c r="N16" s="5"/>
    </row>
    <row r="17" spans="1:14" s="2" customFormat="1" ht="13">
      <c r="A17" s="5"/>
      <c r="B17" s="125" t="s">
        <v>634</v>
      </c>
      <c r="C17" s="124">
        <v>195</v>
      </c>
      <c r="D17" s="123">
        <v>211</v>
      </c>
      <c r="E17" s="123">
        <v>579</v>
      </c>
      <c r="F17" s="5" t="s">
        <v>592</v>
      </c>
      <c r="G17" s="5"/>
      <c r="H17" s="5"/>
      <c r="I17" s="5"/>
      <c r="J17" s="5"/>
      <c r="K17" s="5"/>
      <c r="L17" s="5"/>
      <c r="M17" s="5"/>
      <c r="N17" s="5"/>
    </row>
    <row r="18" spans="1:14" s="2" customFormat="1" ht="13">
      <c r="A18" s="5"/>
      <c r="B18" s="125" t="s">
        <v>633</v>
      </c>
      <c r="C18" s="124">
        <v>105</v>
      </c>
      <c r="D18" s="126">
        <v>105</v>
      </c>
      <c r="E18" s="126">
        <v>105</v>
      </c>
      <c r="F18" s="5"/>
      <c r="G18" s="5"/>
      <c r="H18" s="5"/>
      <c r="I18" s="5"/>
      <c r="J18" s="5"/>
      <c r="K18" s="5"/>
      <c r="L18" s="5"/>
      <c r="M18" s="5"/>
      <c r="N18" s="5"/>
    </row>
    <row r="19" spans="1:14" s="2" customFormat="1" ht="13">
      <c r="A19" s="5"/>
      <c r="B19" s="125" t="s">
        <v>632</v>
      </c>
      <c r="C19" s="128">
        <v>0.39</v>
      </c>
      <c r="D19" s="127">
        <v>0.39</v>
      </c>
      <c r="E19" s="127">
        <v>0.39</v>
      </c>
      <c r="F19" s="5"/>
      <c r="G19" s="5"/>
      <c r="H19" s="5"/>
      <c r="I19" s="5"/>
      <c r="J19" s="5"/>
      <c r="K19" s="5"/>
      <c r="L19" s="5"/>
      <c r="M19" s="5"/>
      <c r="N19" s="5"/>
    </row>
    <row r="20" spans="1:14" s="2" customFormat="1" ht="13">
      <c r="A20" s="5"/>
      <c r="B20" s="125" t="s">
        <v>631</v>
      </c>
      <c r="C20" s="128">
        <v>0.41</v>
      </c>
      <c r="D20" s="127">
        <v>0.41</v>
      </c>
      <c r="E20" s="127">
        <v>0.41</v>
      </c>
      <c r="F20" s="5"/>
      <c r="G20" s="5"/>
      <c r="H20" s="5"/>
      <c r="I20" s="5"/>
      <c r="J20" s="5"/>
      <c r="K20" s="5"/>
      <c r="L20" s="5"/>
      <c r="M20" s="5"/>
      <c r="N20" s="5"/>
    </row>
    <row r="21" spans="1:14" s="2" customFormat="1" ht="13">
      <c r="A21" s="5"/>
      <c r="B21" s="125" t="s">
        <v>153</v>
      </c>
      <c r="C21" s="130">
        <v>12</v>
      </c>
      <c r="D21" s="129">
        <v>12</v>
      </c>
      <c r="E21" s="129">
        <v>12</v>
      </c>
      <c r="F21" s="5"/>
      <c r="G21" s="5"/>
      <c r="H21" s="5"/>
      <c r="I21" s="5"/>
      <c r="J21" s="5"/>
      <c r="K21" s="5"/>
      <c r="L21" s="5"/>
      <c r="M21" s="5"/>
      <c r="N21" s="5"/>
    </row>
    <row r="22" spans="1:14" s="2" customFormat="1" ht="13">
      <c r="A22" s="5"/>
      <c r="B22" s="125" t="s">
        <v>630</v>
      </c>
      <c r="C22" s="128">
        <v>0.5</v>
      </c>
      <c r="D22" s="127">
        <v>0.5</v>
      </c>
      <c r="E22" s="127">
        <v>0.5</v>
      </c>
      <c r="F22" s="5"/>
      <c r="G22" s="5"/>
      <c r="H22" s="5"/>
      <c r="I22" s="5"/>
      <c r="J22" s="5"/>
      <c r="K22" s="5"/>
      <c r="L22" s="5"/>
      <c r="M22" s="5"/>
      <c r="N22" s="5"/>
    </row>
    <row r="23" spans="1:14" s="2" customFormat="1" ht="13">
      <c r="A23" s="5"/>
      <c r="B23" s="125" t="s">
        <v>629</v>
      </c>
      <c r="C23" s="124">
        <v>8747</v>
      </c>
      <c r="D23" s="124">
        <v>10788</v>
      </c>
      <c r="E23" s="126">
        <v>13000</v>
      </c>
      <c r="F23" s="5"/>
      <c r="G23" s="5"/>
      <c r="H23" s="5"/>
      <c r="I23" s="5"/>
      <c r="J23" s="5"/>
      <c r="K23" s="5"/>
      <c r="L23" s="5"/>
      <c r="M23" s="5"/>
      <c r="N23" s="5"/>
    </row>
    <row r="24" spans="1:14" s="2" customFormat="1" ht="13">
      <c r="A24" s="5"/>
      <c r="B24" s="125" t="s">
        <v>628</v>
      </c>
      <c r="C24" s="124">
        <v>125</v>
      </c>
      <c r="D24" s="123">
        <v>176</v>
      </c>
      <c r="E24" s="123">
        <v>392</v>
      </c>
      <c r="F24" s="5"/>
      <c r="G24" s="5"/>
      <c r="H24" s="5"/>
      <c r="I24" s="5"/>
      <c r="J24" s="5"/>
      <c r="K24" s="5"/>
      <c r="L24" s="5"/>
      <c r="M24" s="5"/>
      <c r="N24" s="5"/>
    </row>
    <row r="25" spans="1:14" s="2" customFormat="1" ht="13">
      <c r="A25" s="5"/>
      <c r="B25" s="122" t="s">
        <v>627</v>
      </c>
      <c r="C25" s="121">
        <v>124</v>
      </c>
      <c r="D25" s="120">
        <v>210</v>
      </c>
      <c r="E25" s="120">
        <v>394</v>
      </c>
      <c r="F25" s="5"/>
      <c r="G25" s="5"/>
      <c r="H25" s="5"/>
      <c r="I25" s="5"/>
      <c r="J25" s="5"/>
      <c r="K25" s="5"/>
      <c r="L25" s="5"/>
      <c r="M25" s="5"/>
      <c r="N25" s="5"/>
    </row>
    <row r="26" spans="1:14" s="2" customFormat="1" ht="13">
      <c r="A26" s="5"/>
      <c r="B26" s="122" t="s">
        <v>626</v>
      </c>
      <c r="C26" s="121">
        <f>150*15+5425</f>
        <v>7675</v>
      </c>
      <c r="D26" s="120">
        <f>150*22+5425</f>
        <v>8725</v>
      </c>
      <c r="E26" s="120">
        <f>150*30+5425</f>
        <v>9925</v>
      </c>
      <c r="F26" s="5"/>
      <c r="G26" s="5"/>
      <c r="H26" s="5"/>
      <c r="I26" s="5"/>
      <c r="J26" s="5"/>
      <c r="K26" s="5"/>
      <c r="L26" s="5"/>
      <c r="M26" s="5"/>
      <c r="N26" s="5"/>
    </row>
    <row r="27" spans="1:14" s="2" customFormat="1" ht="13">
      <c r="A27" s="5"/>
      <c r="B27" s="122" t="s">
        <v>625</v>
      </c>
      <c r="C27" s="121">
        <f>200*15+6511</f>
        <v>9511</v>
      </c>
      <c r="D27" s="120">
        <f>200*22+6511</f>
        <v>10911</v>
      </c>
      <c r="E27" s="120">
        <f>200*30+6511</f>
        <v>12511</v>
      </c>
      <c r="F27" s="5"/>
      <c r="G27" s="5"/>
      <c r="H27" s="5"/>
      <c r="I27" s="5"/>
      <c r="J27" s="5"/>
      <c r="K27" s="5"/>
      <c r="L27" s="5"/>
      <c r="M27" s="5"/>
      <c r="N27" s="5"/>
    </row>
    <row r="28" spans="1:14" s="2" customFormat="1" ht="13.5" thickBot="1">
      <c r="A28" s="5"/>
      <c r="B28" s="122" t="s">
        <v>624</v>
      </c>
      <c r="C28" s="121">
        <v>172</v>
      </c>
      <c r="D28" s="120">
        <v>277</v>
      </c>
      <c r="E28" s="120">
        <v>640</v>
      </c>
      <c r="F28" s="5"/>
      <c r="G28" s="5"/>
      <c r="H28" s="5"/>
      <c r="I28" s="5"/>
      <c r="J28" s="5"/>
      <c r="K28" s="5"/>
      <c r="L28" s="5"/>
      <c r="M28" s="5"/>
      <c r="N28" s="5"/>
    </row>
    <row r="29" spans="1:14" s="2" customFormat="1" ht="13">
      <c r="A29" s="5"/>
      <c r="B29" s="119" t="s">
        <v>623</v>
      </c>
      <c r="C29" s="118">
        <f>C11*(C12/C13-C12/C14)*C15</f>
        <v>3434.0659340659386</v>
      </c>
      <c r="D29" s="118">
        <f>D11*(D12/D13-D12/D14)*D15</f>
        <v>4292.5824175824237</v>
      </c>
      <c r="E29" s="118">
        <f>E11*(E12/E13-E12/E14)*E15</f>
        <v>6868.1318681318771</v>
      </c>
      <c r="F29" s="5"/>
      <c r="G29" s="5"/>
      <c r="H29" s="5"/>
      <c r="I29" s="5"/>
      <c r="J29" s="5"/>
      <c r="K29" s="5"/>
      <c r="L29" s="5"/>
      <c r="M29" s="5"/>
      <c r="N29" s="5"/>
    </row>
    <row r="30" spans="1:14" s="2" customFormat="1" ht="13">
      <c r="A30" s="5"/>
      <c r="B30" s="117" t="s">
        <v>622</v>
      </c>
      <c r="C30" s="116">
        <f>(C16*((C21-C11/C17)*C22))-C27*((C21-C11/C28)*C22)</f>
        <v>50843.446034585577</v>
      </c>
      <c r="D30" s="116">
        <f>(D16*((D21-D11/D17)*D22))-D27*((D21-D11/D28)*D22)</f>
        <v>72278.788594795275</v>
      </c>
      <c r="E30" s="116">
        <f>(E16*((E21-E11/E17)*E22))-E27*((E21-E11/E28)*E22)</f>
        <v>173686.86539291881</v>
      </c>
      <c r="F30" s="5"/>
      <c r="G30" s="5"/>
      <c r="H30" s="5"/>
      <c r="I30" s="5"/>
      <c r="J30" s="5"/>
      <c r="K30" s="5"/>
      <c r="L30" s="5"/>
      <c r="M30" s="5"/>
      <c r="N30" s="5"/>
    </row>
    <row r="31" spans="1:14" s="2" customFormat="1" ht="13">
      <c r="A31" s="5"/>
      <c r="B31" s="115" t="s">
        <v>621</v>
      </c>
      <c r="C31" s="114">
        <f>C11*(C18/C19-C18/C20)*C22</f>
        <v>1313.3208255159445</v>
      </c>
      <c r="D31" s="114">
        <f>D11*(D18/D19-D18/D20)*D22</f>
        <v>1641.6510318949306</v>
      </c>
      <c r="E31" s="114">
        <f>E11*(E18/E19-E18/E20)*E22</f>
        <v>2626.6416510318891</v>
      </c>
      <c r="F31" s="5"/>
      <c r="G31" s="5"/>
      <c r="H31" s="5"/>
      <c r="I31" s="5"/>
      <c r="J31" s="5"/>
      <c r="K31" s="5"/>
      <c r="L31" s="5"/>
      <c r="M31" s="5"/>
      <c r="N31" s="5"/>
    </row>
    <row r="32" spans="1:14" s="2" customFormat="1" ht="13.5" thickBot="1">
      <c r="A32" s="5"/>
      <c r="B32" s="115" t="s">
        <v>620</v>
      </c>
      <c r="C32" s="114">
        <f>(C23*((C21-C11/C24)*C15))-C26*((C21-C11/C25)*C15)</f>
        <v>5623.9161290322591</v>
      </c>
      <c r="D32" s="114">
        <f>(D23*((D21-D11/D24)*D15))-D26*((D21-D11/D25)*D15)</f>
        <v>9909.5205627705582</v>
      </c>
      <c r="E32" s="114">
        <f>(E23*((E21-E11/E24)*E15))-E26*((E21-E11/E25)*E15)</f>
        <v>16855.41800476535</v>
      </c>
      <c r="F32" s="5"/>
      <c r="G32" s="5"/>
      <c r="H32" s="5"/>
      <c r="I32" s="5"/>
      <c r="J32" s="5"/>
      <c r="K32" s="5"/>
      <c r="L32" s="5"/>
      <c r="M32" s="5"/>
      <c r="N32" s="5"/>
    </row>
    <row r="33" spans="1:14" s="2" customFormat="1" ht="13.5" thickBot="1">
      <c r="A33" s="5"/>
      <c r="B33" s="113" t="s">
        <v>619</v>
      </c>
      <c r="C33" s="112">
        <f>(C29+C31+C32+C30)*365/100000</f>
        <v>223.43383356967897</v>
      </c>
      <c r="D33" s="112">
        <f>(D29+D31+D32+D30)*365/100000</f>
        <v>321.64728051570762</v>
      </c>
      <c r="E33" s="112">
        <f>(E29+E31+E32+E30)*365/100000</f>
        <v>730.13525774649497</v>
      </c>
      <c r="F33" s="5"/>
      <c r="G33" s="5"/>
      <c r="H33" s="5"/>
      <c r="I33" s="5"/>
      <c r="J33" s="5"/>
      <c r="K33" s="5"/>
      <c r="L33" s="5"/>
      <c r="M33" s="5"/>
      <c r="N33" s="5"/>
    </row>
    <row r="34" spans="1:14" s="2" customFormat="1" ht="13"/>
    <row r="35" spans="1:14" s="2" customFormat="1" ht="13"/>
    <row r="36" spans="1:14" s="78" customFormat="1" ht="13">
      <c r="A36" s="71" t="s">
        <v>618</v>
      </c>
      <c r="B36" s="71"/>
    </row>
    <row r="37" spans="1:14" s="2" customFormat="1" ht="13">
      <c r="A37" s="111" t="s">
        <v>617</v>
      </c>
    </row>
    <row r="38" spans="1:14" s="2" customFormat="1" ht="13">
      <c r="A38" s="111" t="s">
        <v>616</v>
      </c>
    </row>
    <row r="39" spans="1:14" s="2" customFormat="1" ht="13">
      <c r="A39" s="111" t="s">
        <v>615</v>
      </c>
    </row>
    <row r="40" spans="1:14" s="2" customFormat="1" ht="13">
      <c r="A40" s="111" t="s">
        <v>614</v>
      </c>
    </row>
    <row r="41" spans="1:14" s="2" customFormat="1" ht="13">
      <c r="A41" s="111" t="s">
        <v>613</v>
      </c>
    </row>
    <row r="42" spans="1:14" s="2" customFormat="1" ht="13">
      <c r="A42" s="378" t="s">
        <v>832</v>
      </c>
    </row>
    <row r="43" spans="1:14" s="2" customFormat="1" ht="13">
      <c r="A43" s="379" t="s">
        <v>833</v>
      </c>
    </row>
    <row r="44" spans="1:14" s="2" customFormat="1" ht="13.5" thickBot="1">
      <c r="A44" s="30"/>
    </row>
    <row r="45" spans="1:14" s="2" customFormat="1" ht="13.5" thickBot="1">
      <c r="C45" s="110" t="s">
        <v>612</v>
      </c>
      <c r="D45" s="109"/>
      <c r="E45" s="109"/>
      <c r="F45" s="108"/>
    </row>
    <row r="46" spans="1:14" s="103" customFormat="1" ht="13">
      <c r="B46" s="107" t="s">
        <v>611</v>
      </c>
      <c r="C46" s="106" t="s">
        <v>610</v>
      </c>
      <c r="D46" s="105" t="s">
        <v>609</v>
      </c>
      <c r="E46" s="105" t="s">
        <v>608</v>
      </c>
      <c r="F46" s="104" t="s">
        <v>607</v>
      </c>
    </row>
    <row r="47" spans="1:14" s="2" customFormat="1" ht="13">
      <c r="B47" s="94" t="s">
        <v>606</v>
      </c>
      <c r="C47" s="98">
        <v>0.9</v>
      </c>
      <c r="D47" s="97">
        <v>0.9</v>
      </c>
      <c r="E47" s="97">
        <v>0.9</v>
      </c>
      <c r="F47" s="96">
        <v>0.9</v>
      </c>
    </row>
    <row r="48" spans="1:14" s="2" customFormat="1" ht="13">
      <c r="B48" s="94" t="s">
        <v>605</v>
      </c>
      <c r="C48" s="102">
        <v>11000</v>
      </c>
      <c r="D48" s="77">
        <v>14667</v>
      </c>
      <c r="E48" s="77">
        <v>18333</v>
      </c>
      <c r="F48" s="92">
        <v>22000</v>
      </c>
      <c r="G48" s="2" t="s">
        <v>594</v>
      </c>
    </row>
    <row r="49" spans="2:7" s="2" customFormat="1" ht="13">
      <c r="B49" s="94" t="s">
        <v>604</v>
      </c>
      <c r="C49" s="102">
        <v>65</v>
      </c>
      <c r="D49" s="77">
        <v>87</v>
      </c>
      <c r="E49" s="77">
        <v>108</v>
      </c>
      <c r="F49" s="92">
        <v>130</v>
      </c>
      <c r="G49" s="2" t="s">
        <v>592</v>
      </c>
    </row>
    <row r="50" spans="2:7" s="2" customFormat="1" ht="13">
      <c r="B50" s="94" t="s">
        <v>603</v>
      </c>
      <c r="C50" s="102">
        <v>105</v>
      </c>
      <c r="D50" s="77">
        <v>105</v>
      </c>
      <c r="E50" s="77">
        <v>105</v>
      </c>
      <c r="F50" s="92">
        <v>105</v>
      </c>
      <c r="G50" s="2" t="s">
        <v>602</v>
      </c>
    </row>
    <row r="51" spans="2:7" s="2" customFormat="1" ht="13">
      <c r="B51" s="94" t="s">
        <v>601</v>
      </c>
      <c r="C51" s="98">
        <v>0.15</v>
      </c>
      <c r="D51" s="97">
        <v>0.15</v>
      </c>
      <c r="E51" s="97">
        <v>0.15</v>
      </c>
      <c r="F51" s="96">
        <v>0.15</v>
      </c>
    </row>
    <row r="52" spans="2:7" s="2" customFormat="1" ht="13">
      <c r="B52" s="94" t="s">
        <v>600</v>
      </c>
      <c r="C52" s="101">
        <v>6</v>
      </c>
      <c r="D52" s="100">
        <v>6</v>
      </c>
      <c r="E52" s="100">
        <v>6</v>
      </c>
      <c r="F52" s="99">
        <v>6</v>
      </c>
      <c r="G52" s="2" t="s">
        <v>599</v>
      </c>
    </row>
    <row r="53" spans="2:7" s="2" customFormat="1" ht="13">
      <c r="B53" s="94" t="s">
        <v>598</v>
      </c>
      <c r="C53" s="101">
        <v>100</v>
      </c>
      <c r="D53" s="100">
        <v>100</v>
      </c>
      <c r="E53" s="100">
        <v>100</v>
      </c>
      <c r="F53" s="99">
        <v>100</v>
      </c>
      <c r="G53" s="2" t="s">
        <v>597</v>
      </c>
    </row>
    <row r="54" spans="2:7" s="2" customFormat="1" ht="13">
      <c r="B54" s="94" t="s">
        <v>596</v>
      </c>
      <c r="C54" s="98">
        <v>0</v>
      </c>
      <c r="D54" s="97">
        <v>0</v>
      </c>
      <c r="E54" s="97">
        <v>0</v>
      </c>
      <c r="F54" s="96">
        <v>0</v>
      </c>
    </row>
    <row r="55" spans="2:7" s="2" customFormat="1" ht="13">
      <c r="B55" s="94" t="s">
        <v>595</v>
      </c>
      <c r="C55" s="59">
        <v>6250</v>
      </c>
      <c r="D55" s="18">
        <v>8333</v>
      </c>
      <c r="E55" s="18">
        <v>10417</v>
      </c>
      <c r="F55" s="95">
        <v>12500</v>
      </c>
      <c r="G55" s="2" t="s">
        <v>594</v>
      </c>
    </row>
    <row r="56" spans="2:7" s="2" customFormat="1" ht="13">
      <c r="B56" s="94" t="s">
        <v>593</v>
      </c>
      <c r="C56" s="59">
        <v>55</v>
      </c>
      <c r="D56" s="18">
        <v>73</v>
      </c>
      <c r="E56" s="18">
        <v>92</v>
      </c>
      <c r="F56" s="95">
        <v>110</v>
      </c>
      <c r="G56" s="2" t="s">
        <v>592</v>
      </c>
    </row>
    <row r="57" spans="2:7" s="2" customFormat="1" ht="13">
      <c r="B57" s="94" t="s">
        <v>591</v>
      </c>
      <c r="C57" s="98">
        <v>0.38</v>
      </c>
      <c r="D57" s="97">
        <v>0.38</v>
      </c>
      <c r="E57" s="97">
        <v>0.38</v>
      </c>
      <c r="F57" s="96">
        <v>0.38</v>
      </c>
    </row>
    <row r="58" spans="2:7" s="2" customFormat="1" ht="13">
      <c r="B58" s="94" t="s">
        <v>590</v>
      </c>
      <c r="C58" s="59">
        <v>1</v>
      </c>
      <c r="D58" s="18">
        <v>1</v>
      </c>
      <c r="E58" s="18">
        <v>1</v>
      </c>
      <c r="F58" s="95">
        <v>1</v>
      </c>
      <c r="G58" s="2" t="s">
        <v>589</v>
      </c>
    </row>
    <row r="59" spans="2:7" s="2" customFormat="1" ht="13">
      <c r="B59" s="94" t="s">
        <v>588</v>
      </c>
      <c r="C59" s="93">
        <v>11000</v>
      </c>
      <c r="D59" s="77">
        <v>11000</v>
      </c>
      <c r="E59" s="77">
        <v>11000</v>
      </c>
      <c r="F59" s="92">
        <v>11000</v>
      </c>
      <c r="G59" s="2" t="s">
        <v>587</v>
      </c>
    </row>
    <row r="60" spans="2:7" s="2" customFormat="1" ht="13">
      <c r="B60" s="91" t="s">
        <v>586</v>
      </c>
      <c r="C60" s="90">
        <v>365.25</v>
      </c>
      <c r="D60" s="89">
        <v>365.25</v>
      </c>
      <c r="E60" s="89">
        <v>365.25</v>
      </c>
      <c r="F60" s="88">
        <v>365.25</v>
      </c>
    </row>
    <row r="61" spans="2:7" s="2" customFormat="1" ht="13">
      <c r="B61" s="382" t="s">
        <v>836</v>
      </c>
      <c r="C61" s="384">
        <v>40</v>
      </c>
      <c r="D61" s="385">
        <v>40</v>
      </c>
      <c r="E61" s="385">
        <v>40</v>
      </c>
      <c r="F61" s="386">
        <v>40</v>
      </c>
      <c r="G61" s="2" t="s">
        <v>840</v>
      </c>
    </row>
    <row r="62" spans="2:7" s="2" customFormat="1" ht="13">
      <c r="B62" s="383" t="s">
        <v>837</v>
      </c>
      <c r="C62" s="384">
        <v>10</v>
      </c>
      <c r="D62" s="385">
        <v>10</v>
      </c>
      <c r="E62" s="385">
        <v>10</v>
      </c>
      <c r="F62" s="386">
        <v>10</v>
      </c>
      <c r="G62" s="2" t="s">
        <v>841</v>
      </c>
    </row>
    <row r="63" spans="2:7" s="2" customFormat="1" ht="13">
      <c r="B63" s="383" t="s">
        <v>839</v>
      </c>
      <c r="C63" s="372">
        <v>365.25</v>
      </c>
      <c r="D63" s="373">
        <v>365.25</v>
      </c>
      <c r="E63" s="373">
        <v>365.25</v>
      </c>
      <c r="F63" s="374">
        <v>365.25</v>
      </c>
    </row>
    <row r="64" spans="2:7" s="2" customFormat="1" ht="13.5" thickBot="1">
      <c r="B64" s="382" t="s">
        <v>838</v>
      </c>
      <c r="C64" s="387">
        <v>2571</v>
      </c>
      <c r="D64" s="388">
        <v>2571</v>
      </c>
      <c r="E64" s="388">
        <v>2571</v>
      </c>
      <c r="F64" s="389">
        <v>2571</v>
      </c>
      <c r="G64" s="2" t="s">
        <v>842</v>
      </c>
    </row>
    <row r="65" spans="2:6" s="2" customFormat="1" ht="13">
      <c r="B65" s="87" t="s">
        <v>585</v>
      </c>
      <c r="C65" s="86">
        <f>((1-C$47)*C$48+C$47*C$49*C$50/C$51)*(C$52-(C$53/C$49)-(C$58*0.25))-((1-C$54)*C$55+C$54*C$56*C$50/C$57)*(C$52-(C$53/C$56)-(C$58*0.25))</f>
        <v>152521.32867132867</v>
      </c>
      <c r="D65" s="86">
        <f>((1-D$47)*D$48+D$47*D$49*D$50/D$51)*(D$52-(D$53/D$49)-(D$58*0.25))-((1-D$54)*D$55+D$54*D$56*D$50/D$57)*(D$52-(D$53/D$56)-(D$58*0.25))</f>
        <v>222405.48142418516</v>
      </c>
      <c r="E65" s="86">
        <f>((1-E$47)*E$48+E$47*E$49*E$50/E$51)*(E$52-(E$53/E$49)-(E$58*0.25))-((1-E$54)*E$55+E$54*E$56*E$50/E$57)*(E$52-(E$53/E$56)-(E$58*0.25))</f>
        <v>288499.05108695658</v>
      </c>
      <c r="F65" s="371">
        <f>((1-F$47)*F$48+F$47*F$49*F$50/F$51)*(F$52-(F$53/F$49)-(F$58*0.25))-((1-F$54)*F$55+F$54*F$56*F$50/F$57)*(F$52-(F$53/F$56)-(F$58*0.25))</f>
        <v>358371.32867132867</v>
      </c>
    </row>
    <row r="66" spans="2:6" s="2" customFormat="1" ht="13">
      <c r="B66" s="85" t="s">
        <v>584</v>
      </c>
      <c r="C66" s="84">
        <f>C$58*C$59</f>
        <v>11000</v>
      </c>
      <c r="D66" s="83">
        <f>D$58*D$59</f>
        <v>11000</v>
      </c>
      <c r="E66" s="83">
        <f>E$58*E$59</f>
        <v>11000</v>
      </c>
      <c r="F66" s="82">
        <f>F$58*F$59</f>
        <v>11000</v>
      </c>
    </row>
    <row r="67" spans="2:6" s="2" customFormat="1" ht="13">
      <c r="B67" s="85" t="s">
        <v>583</v>
      </c>
      <c r="C67" s="84">
        <f>((1/C$51)-(1/C$57))*C53*C50</f>
        <v>42368.42105263158</v>
      </c>
      <c r="D67" s="83">
        <f>((1/D$51)-(1/D$57))*D53*D50</f>
        <v>42368.42105263158</v>
      </c>
      <c r="E67" s="83">
        <f>((1/E$51)-(1/E$57))*E53*E50</f>
        <v>42368.42105263158</v>
      </c>
      <c r="F67" s="82">
        <f>((1/F$51)-(1/F$57))*F53*F50</f>
        <v>42368.42105263158</v>
      </c>
    </row>
    <row r="68" spans="2:6" s="2" customFormat="1" ht="13">
      <c r="B68" s="380" t="s">
        <v>834</v>
      </c>
      <c r="C68" s="84">
        <f xml:space="preserve"> (C61 -C62)*C52 *C63</f>
        <v>65745</v>
      </c>
      <c r="D68" s="83">
        <f t="shared" ref="D68:F68" si="0" xml:space="preserve"> (D61 -D62)*D52 *D63</f>
        <v>65745</v>
      </c>
      <c r="E68" s="83">
        <f t="shared" si="0"/>
        <v>65745</v>
      </c>
      <c r="F68" s="82">
        <f t="shared" si="0"/>
        <v>65745</v>
      </c>
    </row>
    <row r="69" spans="2:6" s="2" customFormat="1" ht="13.5" thickBot="1">
      <c r="B69" s="381" t="s">
        <v>835</v>
      </c>
      <c r="C69" s="375">
        <f xml:space="preserve"> C68 / 1000000 * C64</f>
        <v>169.030395</v>
      </c>
      <c r="D69" s="376">
        <f t="shared" ref="D69:F69" si="1" xml:space="preserve"> D68 / 1000000 * D64</f>
        <v>169.030395</v>
      </c>
      <c r="E69" s="376">
        <f t="shared" si="1"/>
        <v>169.030395</v>
      </c>
      <c r="F69" s="377">
        <f t="shared" si="1"/>
        <v>169.030395</v>
      </c>
    </row>
    <row r="70" spans="2:6" s="2" customFormat="1" ht="13.5" thickBot="1">
      <c r="B70" s="390" t="s">
        <v>582</v>
      </c>
      <c r="C70" s="81">
        <f>((C$67+C$66+C$65)/100000)*C$60+C69</f>
        <v>921.04270586676478</v>
      </c>
      <c r="D70" s="80">
        <f t="shared" ref="D70:F70" si="2">((D$67+D$66+D$65)/100000)*D$60+D69</f>
        <v>1176.2945737965733</v>
      </c>
      <c r="E70" s="80">
        <f t="shared" si="2"/>
        <v>1417.7013369898457</v>
      </c>
      <c r="F70" s="79">
        <f t="shared" si="2"/>
        <v>1672.9098308667649</v>
      </c>
    </row>
    <row r="71" spans="2:6" s="2" customFormat="1" ht="13"/>
    <row r="72" spans="2:6" s="4" customFormat="1" ht="13"/>
    <row r="73" spans="2:6" s="4" customFormat="1" ht="13"/>
  </sheetData>
  <pageMargins left="0.7" right="0.7" top="0.75" bottom="0.75" header="0.3" footer="0.3"/>
  <pageSetup scale="28" orientation="portrait"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AJ86"/>
  <sheetViews>
    <sheetView zoomScale="70" zoomScaleNormal="70" workbookViewId="0"/>
  </sheetViews>
  <sheetFormatPr defaultColWidth="9.1796875" defaultRowHeight="13"/>
  <cols>
    <col min="1" max="1" width="36.1796875" style="16" customWidth="1"/>
    <col min="2" max="2" width="11" style="164" customWidth="1"/>
    <col min="3" max="3" width="10.453125" style="164" customWidth="1"/>
    <col min="4" max="4" width="10.453125" style="163" customWidth="1"/>
    <col min="5" max="5" width="9" style="163" customWidth="1"/>
    <col min="6" max="6" width="8.54296875" style="163" customWidth="1"/>
    <col min="7" max="7" width="8.54296875" style="16" customWidth="1"/>
    <col min="8" max="8" width="9" style="16" customWidth="1"/>
    <col min="9" max="9" width="8.81640625" style="16" customWidth="1"/>
    <col min="10" max="10" width="4.26953125" style="16" customWidth="1"/>
    <col min="11" max="11" width="5" style="16" customWidth="1"/>
    <col min="12" max="12" width="8.54296875" style="16" customWidth="1"/>
    <col min="13" max="13" width="8.54296875" style="163" customWidth="1"/>
    <col min="14" max="14" width="10.453125" style="163" customWidth="1"/>
    <col min="15" max="16" width="10.453125" style="16" customWidth="1"/>
    <col min="17" max="17" width="9" style="16" customWidth="1"/>
    <col min="18" max="21" width="8.54296875" style="16" customWidth="1"/>
    <col min="22" max="23" width="8.54296875" style="163" customWidth="1"/>
    <col min="24" max="26" width="7.54296875" style="16" customWidth="1"/>
    <col min="27" max="27" width="5" style="16" customWidth="1"/>
    <col min="28" max="28" width="2.81640625" style="16" customWidth="1"/>
    <col min="29" max="30" width="5" style="16" customWidth="1"/>
    <col min="31" max="31" width="5" style="163" customWidth="1"/>
    <col min="32" max="32" width="8.54296875" style="163" customWidth="1"/>
    <col min="33" max="33" width="8.54296875" style="16" customWidth="1"/>
    <col min="34" max="36" width="7.54296875" style="16" customWidth="1"/>
    <col min="37" max="44" width="5" style="16" customWidth="1"/>
    <col min="45" max="16384" width="9.1796875" style="16"/>
  </cols>
  <sheetData>
    <row r="1" spans="1:36" s="2" customFormat="1">
      <c r="A1" s="205" t="s">
        <v>758</v>
      </c>
      <c r="I1" s="6"/>
      <c r="J1" s="24"/>
      <c r="K1" s="24"/>
      <c r="L1" s="4"/>
      <c r="M1" s="4"/>
      <c r="N1" s="4"/>
      <c r="O1" s="4"/>
      <c r="P1" s="3"/>
      <c r="Q1" s="3"/>
      <c r="R1" s="4"/>
      <c r="S1" s="204"/>
      <c r="T1" s="4"/>
    </row>
    <row r="2" spans="1:36">
      <c r="B2" s="16"/>
      <c r="D2" s="16"/>
      <c r="E2" s="16"/>
      <c r="G2" s="163"/>
      <c r="H2" s="163"/>
      <c r="J2" s="163"/>
      <c r="K2" s="163"/>
      <c r="L2" s="163"/>
      <c r="N2" s="16"/>
      <c r="S2" s="163"/>
      <c r="T2" s="163"/>
      <c r="U2" s="163"/>
      <c r="W2" s="16"/>
      <c r="AB2" s="163"/>
      <c r="AC2" s="163"/>
      <c r="AD2" s="163"/>
      <c r="AF2" s="16"/>
    </row>
    <row r="3" spans="1:36" s="4" customFormat="1">
      <c r="A3" s="16"/>
      <c r="B3" s="550" t="s">
        <v>793</v>
      </c>
      <c r="C3" s="550"/>
      <c r="D3" s="550"/>
      <c r="E3" s="550"/>
      <c r="F3" s="550"/>
      <c r="G3" s="550"/>
      <c r="H3" s="550"/>
      <c r="I3" s="550"/>
      <c r="K3" s="550" t="s">
        <v>794</v>
      </c>
      <c r="L3" s="550"/>
      <c r="M3" s="550"/>
      <c r="N3" s="550"/>
      <c r="O3" s="550"/>
      <c r="P3" s="550"/>
      <c r="Q3" s="550"/>
      <c r="R3" s="550"/>
      <c r="T3" s="550" t="s">
        <v>795</v>
      </c>
      <c r="U3" s="550"/>
      <c r="V3" s="550"/>
      <c r="W3" s="550"/>
      <c r="X3" s="550"/>
      <c r="Y3" s="550"/>
      <c r="Z3" s="550"/>
      <c r="AA3" s="550"/>
      <c r="AC3" s="550" t="s">
        <v>796</v>
      </c>
      <c r="AD3" s="550"/>
      <c r="AE3" s="550"/>
      <c r="AF3" s="550"/>
      <c r="AG3" s="550"/>
      <c r="AH3" s="550"/>
      <c r="AI3" s="550"/>
      <c r="AJ3" s="550"/>
    </row>
    <row r="4" spans="1:36" s="4" customFormat="1">
      <c r="A4" s="203"/>
      <c r="B4" s="148">
        <v>2018</v>
      </c>
      <c r="C4" s="148">
        <v>2019</v>
      </c>
      <c r="D4" s="148">
        <v>2020</v>
      </c>
      <c r="E4" s="202">
        <v>2021</v>
      </c>
      <c r="F4" s="202">
        <v>2022</v>
      </c>
      <c r="G4" s="202">
        <v>2023</v>
      </c>
      <c r="H4" s="202">
        <v>2024</v>
      </c>
      <c r="I4" s="202">
        <v>2025</v>
      </c>
      <c r="K4" s="148">
        <v>2018</v>
      </c>
      <c r="L4" s="148">
        <v>2019</v>
      </c>
      <c r="M4" s="148">
        <v>2020</v>
      </c>
      <c r="N4" s="202">
        <v>2021</v>
      </c>
      <c r="O4" s="202">
        <v>2022</v>
      </c>
      <c r="P4" s="202">
        <v>2023</v>
      </c>
      <c r="Q4" s="202">
        <v>2024</v>
      </c>
      <c r="R4" s="202">
        <v>2025</v>
      </c>
      <c r="T4" s="148">
        <v>2018</v>
      </c>
      <c r="U4" s="148">
        <v>2019</v>
      </c>
      <c r="V4" s="148">
        <v>2020</v>
      </c>
      <c r="W4" s="202">
        <v>2021</v>
      </c>
      <c r="X4" s="202">
        <v>2022</v>
      </c>
      <c r="Y4" s="202">
        <v>2023</v>
      </c>
      <c r="Z4" s="202">
        <v>2024</v>
      </c>
      <c r="AA4" s="202">
        <v>2025</v>
      </c>
      <c r="AC4" s="148">
        <v>2018</v>
      </c>
      <c r="AD4" s="148">
        <v>2019</v>
      </c>
      <c r="AE4" s="148">
        <v>2020</v>
      </c>
      <c r="AF4" s="202">
        <v>2021</v>
      </c>
      <c r="AG4" s="202">
        <v>2022</v>
      </c>
      <c r="AH4" s="202">
        <v>2023</v>
      </c>
      <c r="AI4" s="202">
        <v>2024</v>
      </c>
      <c r="AJ4" s="202">
        <v>2025</v>
      </c>
    </row>
    <row r="5" spans="1:36" s="4" customFormat="1">
      <c r="A5" s="14" t="s">
        <v>797</v>
      </c>
      <c r="B5" s="15">
        <f>B53</f>
        <v>824000.00000000012</v>
      </c>
      <c r="C5" s="15">
        <f t="shared" ref="C5:I5" si="0">C53</f>
        <v>824000.00000000012</v>
      </c>
      <c r="D5" s="15">
        <f t="shared" si="0"/>
        <v>362304.8709703866</v>
      </c>
      <c r="E5" s="15">
        <f t="shared" si="0"/>
        <v>157335.27451620335</v>
      </c>
      <c r="F5" s="15">
        <f t="shared" si="0"/>
        <v>69178.806228984715</v>
      </c>
      <c r="G5" s="15">
        <f t="shared" si="0"/>
        <v>30041.733746467315</v>
      </c>
      <c r="H5" s="15">
        <f t="shared" si="0"/>
        <v>0</v>
      </c>
      <c r="I5" s="15">
        <f t="shared" si="0"/>
        <v>0</v>
      </c>
      <c r="K5" s="15">
        <f>B54</f>
        <v>823000</v>
      </c>
      <c r="L5" s="15">
        <f t="shared" ref="L5:R5" si="1">C54</f>
        <v>460695.1290296134</v>
      </c>
      <c r="M5" s="15">
        <f t="shared" si="1"/>
        <v>202563.2151453394</v>
      </c>
      <c r="N5" s="15">
        <f t="shared" si="1"/>
        <v>87965.527420087325</v>
      </c>
      <c r="O5" s="15">
        <f t="shared" si="1"/>
        <v>38677.595948758164</v>
      </c>
      <c r="P5" s="15">
        <f t="shared" si="1"/>
        <v>16796.214083254912</v>
      </c>
      <c r="Q5" s="15">
        <f t="shared" si="1"/>
        <v>0</v>
      </c>
      <c r="R5" s="15">
        <f t="shared" si="1"/>
        <v>0</v>
      </c>
      <c r="T5" s="15">
        <f>B55</f>
        <v>814000</v>
      </c>
      <c r="U5" s="15">
        <f t="shared" ref="U5:AA5" si="2">C55</f>
        <v>454101.5103384573</v>
      </c>
      <c r="V5" s="15">
        <f t="shared" si="2"/>
        <v>199664.064454651</v>
      </c>
      <c r="W5" s="15">
        <f t="shared" si="2"/>
        <v>86706.536149664724</v>
      </c>
      <c r="X5" s="15">
        <f t="shared" si="2"/>
        <v>38124.029601933777</v>
      </c>
      <c r="Y5" s="15">
        <f t="shared" si="2"/>
        <v>16555.821198369667</v>
      </c>
      <c r="Z5" s="15">
        <f t="shared" si="2"/>
        <v>0</v>
      </c>
      <c r="AA5" s="15">
        <f t="shared" si="2"/>
        <v>0</v>
      </c>
      <c r="AC5" s="15">
        <f>B56</f>
        <v>805000</v>
      </c>
      <c r="AD5" s="15">
        <f t="shared" ref="AD5:AJ5" si="3">C56</f>
        <v>448191.60189627699</v>
      </c>
      <c r="AE5" s="15">
        <f t="shared" si="3"/>
        <v>197065.53458136105</v>
      </c>
      <c r="AF5" s="15">
        <f t="shared" si="3"/>
        <v>85578.093107048131</v>
      </c>
      <c r="AG5" s="15">
        <f t="shared" si="3"/>
        <v>37627.864054661164</v>
      </c>
      <c r="AH5" s="15">
        <f t="shared" si="3"/>
        <v>16340.355305304158</v>
      </c>
      <c r="AI5" s="15">
        <f t="shared" si="3"/>
        <v>0</v>
      </c>
      <c r="AJ5" s="15">
        <f t="shared" si="3"/>
        <v>0</v>
      </c>
    </row>
    <row r="6" spans="1:36" s="4" customFormat="1">
      <c r="A6" s="14" t="s">
        <v>798</v>
      </c>
      <c r="B6" s="15">
        <f>B73</f>
        <v>0</v>
      </c>
      <c r="C6" s="15">
        <f t="shared" ref="C6:I6" si="4">C73</f>
        <v>0</v>
      </c>
      <c r="D6" s="15">
        <f t="shared" si="4"/>
        <v>0</v>
      </c>
      <c r="E6" s="15">
        <f t="shared" si="4"/>
        <v>0</v>
      </c>
      <c r="F6" s="15">
        <f t="shared" si="4"/>
        <v>0</v>
      </c>
      <c r="G6" s="15">
        <f t="shared" si="4"/>
        <v>0</v>
      </c>
      <c r="H6" s="15">
        <f t="shared" si="4"/>
        <v>0</v>
      </c>
      <c r="I6" s="15">
        <f t="shared" si="4"/>
        <v>0</v>
      </c>
      <c r="K6" s="15">
        <f>B74</f>
        <v>0</v>
      </c>
      <c r="L6" s="15">
        <f t="shared" ref="L6:R6" si="5">C74</f>
        <v>0</v>
      </c>
      <c r="M6" s="15">
        <f t="shared" si="5"/>
        <v>0</v>
      </c>
      <c r="N6" s="15">
        <f t="shared" si="5"/>
        <v>0</v>
      </c>
      <c r="O6" s="15">
        <f t="shared" si="5"/>
        <v>0</v>
      </c>
      <c r="P6" s="15">
        <f t="shared" si="5"/>
        <v>0</v>
      </c>
      <c r="Q6" s="15">
        <f t="shared" si="5"/>
        <v>0</v>
      </c>
      <c r="R6" s="15">
        <f t="shared" si="5"/>
        <v>0</v>
      </c>
      <c r="T6" s="15">
        <f>B75</f>
        <v>0</v>
      </c>
      <c r="U6" s="15">
        <f t="shared" ref="U6:AA6" si="6">C75</f>
        <v>0</v>
      </c>
      <c r="V6" s="15">
        <f t="shared" si="6"/>
        <v>0</v>
      </c>
      <c r="W6" s="15">
        <f t="shared" si="6"/>
        <v>0</v>
      </c>
      <c r="X6" s="15">
        <f t="shared" si="6"/>
        <v>0</v>
      </c>
      <c r="Y6" s="15">
        <f t="shared" si="6"/>
        <v>0</v>
      </c>
      <c r="Z6" s="15">
        <f t="shared" si="6"/>
        <v>0</v>
      </c>
      <c r="AA6" s="15">
        <f t="shared" si="6"/>
        <v>0</v>
      </c>
      <c r="AC6" s="15">
        <f>B76</f>
        <v>0</v>
      </c>
      <c r="AD6" s="15">
        <f t="shared" ref="AD6:AJ6" si="7">C76</f>
        <v>0</v>
      </c>
      <c r="AE6" s="15">
        <f t="shared" si="7"/>
        <v>0</v>
      </c>
      <c r="AF6" s="15">
        <f t="shared" si="7"/>
        <v>0</v>
      </c>
      <c r="AG6" s="15">
        <f t="shared" si="7"/>
        <v>0</v>
      </c>
      <c r="AH6" s="15">
        <f t="shared" si="7"/>
        <v>0</v>
      </c>
      <c r="AI6" s="15">
        <f t="shared" si="7"/>
        <v>0</v>
      </c>
      <c r="AJ6" s="15">
        <f t="shared" si="7"/>
        <v>0</v>
      </c>
    </row>
    <row r="7" spans="1:36">
      <c r="B7" s="163"/>
      <c r="C7" s="163"/>
      <c r="G7" s="163"/>
      <c r="H7" s="163"/>
      <c r="I7" s="163"/>
      <c r="K7" s="163"/>
      <c r="L7" s="163"/>
      <c r="O7" s="163"/>
      <c r="P7" s="163"/>
      <c r="Q7" s="163"/>
      <c r="R7" s="163"/>
      <c r="T7" s="163"/>
      <c r="U7" s="163"/>
      <c r="X7" s="163"/>
      <c r="Y7" s="163"/>
      <c r="Z7" s="163"/>
      <c r="AA7" s="163"/>
      <c r="AC7" s="163"/>
      <c r="AD7" s="163"/>
      <c r="AG7" s="163"/>
      <c r="AH7" s="163"/>
      <c r="AI7" s="163"/>
      <c r="AJ7" s="163"/>
    </row>
    <row r="8" spans="1:36" s="4" customFormat="1">
      <c r="A8" s="14" t="s">
        <v>799</v>
      </c>
      <c r="B8" s="15">
        <f>N53</f>
        <v>575000</v>
      </c>
      <c r="C8" s="15">
        <f t="shared" ref="C8:I8" si="8">O53</f>
        <v>575000</v>
      </c>
      <c r="D8" s="15">
        <f t="shared" si="8"/>
        <v>252821.96699996633</v>
      </c>
      <c r="E8" s="15">
        <f t="shared" si="8"/>
        <v>109790.99860050596</v>
      </c>
      <c r="F8" s="15">
        <f t="shared" si="8"/>
        <v>48274.045608818211</v>
      </c>
      <c r="G8" s="15">
        <f t="shared" si="8"/>
        <v>20963.588475993573</v>
      </c>
      <c r="H8" s="15">
        <f t="shared" si="8"/>
        <v>0</v>
      </c>
      <c r="I8" s="15">
        <f t="shared" si="8"/>
        <v>0</v>
      </c>
      <c r="K8" s="15">
        <f>N54</f>
        <v>573000</v>
      </c>
      <c r="L8" s="15">
        <f t="shared" ref="L8:R8" si="9">O54</f>
        <v>320178.0330000337</v>
      </c>
      <c r="M8" s="15">
        <f t="shared" si="9"/>
        <v>140779.20016217159</v>
      </c>
      <c r="N8" s="15">
        <f t="shared" si="9"/>
        <v>61135.071257425137</v>
      </c>
      <c r="O8" s="15">
        <f t="shared" si="9"/>
        <v>26880.502553017963</v>
      </c>
      <c r="P8" s="15">
        <f t="shared" si="9"/>
        <v>11673.18351802747</v>
      </c>
      <c r="Q8" s="15">
        <f t="shared" si="9"/>
        <v>0</v>
      </c>
      <c r="R8" s="15">
        <f t="shared" si="9"/>
        <v>0</v>
      </c>
      <c r="T8" s="15">
        <f>N55</f>
        <v>566000</v>
      </c>
      <c r="U8" s="15">
        <f t="shared" ref="U8:AA8" si="10">O55</f>
        <v>315429.80123732239</v>
      </c>
      <c r="V8" s="15">
        <f t="shared" si="10"/>
        <v>138691.44834648393</v>
      </c>
      <c r="W8" s="15">
        <f t="shared" si="10"/>
        <v>60228.439767312586</v>
      </c>
      <c r="X8" s="15">
        <f t="shared" si="10"/>
        <v>26481.865410975592</v>
      </c>
      <c r="Y8" s="15">
        <f t="shared" si="10"/>
        <v>11500.070515136826</v>
      </c>
      <c r="Z8" s="15">
        <f t="shared" si="10"/>
        <v>0</v>
      </c>
      <c r="AA8" s="15">
        <f t="shared" si="10"/>
        <v>0</v>
      </c>
      <c r="AC8" s="15">
        <f>N56</f>
        <v>558000</v>
      </c>
      <c r="AD8" s="15">
        <f t="shared" ref="AD8:AJ8" si="11">O56</f>
        <v>309899.43478727271</v>
      </c>
      <c r="AE8" s="15">
        <f t="shared" si="11"/>
        <v>136259.79943494973</v>
      </c>
      <c r="AF8" s="15">
        <f t="shared" si="11"/>
        <v>59172.466801786177</v>
      </c>
      <c r="AG8" s="15">
        <f t="shared" si="11"/>
        <v>26017.564259248327</v>
      </c>
      <c r="AH8" s="15">
        <f t="shared" si="11"/>
        <v>11298.442121431986</v>
      </c>
      <c r="AI8" s="15">
        <f t="shared" si="11"/>
        <v>0</v>
      </c>
      <c r="AJ8" s="15">
        <f t="shared" si="11"/>
        <v>0</v>
      </c>
    </row>
    <row r="9" spans="1:36" s="4" customFormat="1">
      <c r="A9" s="14" t="s">
        <v>800</v>
      </c>
      <c r="B9" s="15">
        <f>N73</f>
        <v>0</v>
      </c>
      <c r="C9" s="15">
        <f t="shared" ref="C9:I9" si="12">O73</f>
        <v>0</v>
      </c>
      <c r="D9" s="15">
        <f t="shared" si="12"/>
        <v>0</v>
      </c>
      <c r="E9" s="15">
        <f t="shared" si="12"/>
        <v>0</v>
      </c>
      <c r="F9" s="15">
        <f t="shared" si="12"/>
        <v>0</v>
      </c>
      <c r="G9" s="15">
        <f t="shared" si="12"/>
        <v>0</v>
      </c>
      <c r="H9" s="15">
        <f t="shared" si="12"/>
        <v>0</v>
      </c>
      <c r="I9" s="15">
        <f t="shared" si="12"/>
        <v>0</v>
      </c>
      <c r="K9" s="15">
        <f>N74</f>
        <v>0</v>
      </c>
      <c r="L9" s="15">
        <f t="shared" ref="L9:R9" si="13">O74</f>
        <v>0</v>
      </c>
      <c r="M9" s="15">
        <f t="shared" si="13"/>
        <v>0</v>
      </c>
      <c r="N9" s="15">
        <f t="shared" si="13"/>
        <v>0</v>
      </c>
      <c r="O9" s="15">
        <f t="shared" si="13"/>
        <v>0</v>
      </c>
      <c r="P9" s="15">
        <f t="shared" si="13"/>
        <v>0</v>
      </c>
      <c r="Q9" s="15">
        <f t="shared" si="13"/>
        <v>0</v>
      </c>
      <c r="R9" s="15">
        <f t="shared" si="13"/>
        <v>0</v>
      </c>
      <c r="T9" s="15">
        <f>N75</f>
        <v>0</v>
      </c>
      <c r="U9" s="15">
        <f t="shared" ref="U9:AA9" si="14">O75</f>
        <v>0</v>
      </c>
      <c r="V9" s="15">
        <f t="shared" si="14"/>
        <v>0</v>
      </c>
      <c r="W9" s="15">
        <f t="shared" si="14"/>
        <v>0</v>
      </c>
      <c r="X9" s="15">
        <f t="shared" si="14"/>
        <v>0</v>
      </c>
      <c r="Y9" s="15">
        <f t="shared" si="14"/>
        <v>0</v>
      </c>
      <c r="Z9" s="15">
        <f t="shared" si="14"/>
        <v>0</v>
      </c>
      <c r="AA9" s="15">
        <f t="shared" si="14"/>
        <v>0</v>
      </c>
      <c r="AC9" s="15">
        <f>N76</f>
        <v>0</v>
      </c>
      <c r="AD9" s="15">
        <f t="shared" ref="AD9:AJ9" si="15">O76</f>
        <v>0</v>
      </c>
      <c r="AE9" s="15">
        <f t="shared" si="15"/>
        <v>0</v>
      </c>
      <c r="AF9" s="15">
        <f t="shared" si="15"/>
        <v>0</v>
      </c>
      <c r="AG9" s="15">
        <f t="shared" si="15"/>
        <v>0</v>
      </c>
      <c r="AH9" s="15">
        <f t="shared" si="15"/>
        <v>0</v>
      </c>
      <c r="AI9" s="15">
        <f t="shared" si="15"/>
        <v>0</v>
      </c>
      <c r="AJ9" s="15">
        <f t="shared" si="15"/>
        <v>0</v>
      </c>
    </row>
    <row r="10" spans="1:36" s="4" customFormat="1">
      <c r="A10" s="201"/>
      <c r="B10" s="16"/>
      <c r="C10" s="16"/>
      <c r="D10" s="16"/>
      <c r="E10" s="16"/>
      <c r="F10" s="16"/>
      <c r="G10" s="16"/>
      <c r="M10" s="16"/>
      <c r="N10" s="16"/>
      <c r="O10" s="16"/>
      <c r="P10" s="16"/>
      <c r="V10" s="16"/>
      <c r="W10" s="16"/>
      <c r="X10" s="16"/>
      <c r="Y10" s="16"/>
      <c r="AA10" s="16"/>
    </row>
    <row r="11" spans="1:36" s="4" customFormat="1">
      <c r="A11" s="171" t="s">
        <v>801</v>
      </c>
      <c r="B11" s="16"/>
      <c r="C11" s="16"/>
      <c r="D11" s="16"/>
      <c r="E11" s="16"/>
      <c r="F11" s="16"/>
      <c r="G11" s="16"/>
      <c r="M11" s="16"/>
      <c r="N11" s="16"/>
      <c r="O11" s="16"/>
      <c r="P11" s="16"/>
      <c r="V11" s="16"/>
      <c r="W11" s="16"/>
      <c r="X11" s="16"/>
      <c r="Y11" s="16"/>
      <c r="AA11" s="16"/>
    </row>
    <row r="12" spans="1:36">
      <c r="B12" s="164" t="s">
        <v>802</v>
      </c>
      <c r="C12" s="164" t="s">
        <v>697</v>
      </c>
      <c r="D12" s="16" t="s">
        <v>803</v>
      </c>
    </row>
    <row r="13" spans="1:36">
      <c r="A13" s="14" t="s">
        <v>804</v>
      </c>
      <c r="B13" s="15">
        <v>3280440</v>
      </c>
      <c r="C13" s="15">
        <v>151200</v>
      </c>
      <c r="D13" s="327">
        <f>B13/C13</f>
        <v>21.696031746031746</v>
      </c>
    </row>
    <row r="14" spans="1:36">
      <c r="A14" s="14" t="s">
        <v>805</v>
      </c>
      <c r="B14" s="15">
        <v>1108565</v>
      </c>
      <c r="C14" s="15">
        <v>91350</v>
      </c>
      <c r="D14" s="327">
        <f>B14/C14</f>
        <v>12.135358511220581</v>
      </c>
    </row>
    <row r="15" spans="1:36">
      <c r="D15" s="16"/>
    </row>
    <row r="16" spans="1:36" s="2" customFormat="1">
      <c r="A16" s="69" t="s">
        <v>667</v>
      </c>
      <c r="C16" s="328"/>
      <c r="D16" s="329"/>
      <c r="E16" s="147"/>
      <c r="F16" s="11"/>
      <c r="G16" s="330"/>
      <c r="H16" s="330"/>
      <c r="I16" s="147"/>
      <c r="J16" s="331"/>
      <c r="N16" s="551" t="s">
        <v>806</v>
      </c>
      <c r="O16" s="551"/>
      <c r="P16" s="551"/>
      <c r="Q16" s="147"/>
      <c r="R16" s="11"/>
      <c r="S16" s="330"/>
      <c r="T16" s="330"/>
      <c r="U16" s="330"/>
      <c r="V16" s="147"/>
      <c r="W16" s="331"/>
      <c r="X16" s="331"/>
      <c r="Y16" s="331"/>
    </row>
    <row r="17" spans="1:32" s="2" customFormat="1">
      <c r="P17" s="11"/>
      <c r="Q17" s="11"/>
      <c r="R17" s="147"/>
      <c r="S17" s="24"/>
      <c r="T17" s="24"/>
      <c r="U17" s="24"/>
      <c r="V17" s="24"/>
      <c r="W17" s="147"/>
      <c r="X17" s="24"/>
      <c r="Y17" s="24"/>
      <c r="Z17" s="24"/>
    </row>
    <row r="18" spans="1:32" s="2" customFormat="1">
      <c r="A18" s="178" t="s">
        <v>757</v>
      </c>
      <c r="B18" s="200">
        <v>2018</v>
      </c>
      <c r="C18" s="199">
        <v>2019</v>
      </c>
      <c r="D18" s="199">
        <v>2020</v>
      </c>
      <c r="E18" s="199">
        <v>2021</v>
      </c>
      <c r="F18" s="2" t="s">
        <v>807</v>
      </c>
      <c r="N18" s="200">
        <v>2018</v>
      </c>
      <c r="O18" s="199">
        <v>2019</v>
      </c>
      <c r="P18" s="199">
        <v>2020</v>
      </c>
      <c r="Q18" s="199">
        <v>2020</v>
      </c>
      <c r="Z18" s="24"/>
    </row>
    <row r="19" spans="1:32" s="2" customFormat="1">
      <c r="A19" s="195" t="s">
        <v>747</v>
      </c>
      <c r="B19" s="198">
        <v>46800</v>
      </c>
      <c r="C19" s="198">
        <v>45900</v>
      </c>
      <c r="D19" s="198">
        <v>44900</v>
      </c>
      <c r="E19" s="198">
        <v>44000</v>
      </c>
      <c r="G19" s="330"/>
      <c r="N19" s="83">
        <v>54000</v>
      </c>
      <c r="O19" s="83">
        <v>52800</v>
      </c>
      <c r="P19" s="83">
        <v>51600</v>
      </c>
      <c r="Q19" s="83">
        <v>50400</v>
      </c>
    </row>
    <row r="20" spans="1:32" s="2" customFormat="1">
      <c r="A20" s="197" t="s">
        <v>808</v>
      </c>
      <c r="B20" s="332">
        <v>4</v>
      </c>
      <c r="C20" s="332">
        <v>4</v>
      </c>
      <c r="D20" s="332">
        <v>4</v>
      </c>
      <c r="E20" s="332">
        <v>4</v>
      </c>
      <c r="N20" s="333">
        <v>4</v>
      </c>
      <c r="O20" s="333">
        <v>4</v>
      </c>
      <c r="P20" s="333">
        <v>4</v>
      </c>
      <c r="Q20" s="333">
        <v>4</v>
      </c>
    </row>
    <row r="21" spans="1:32" s="2" customFormat="1">
      <c r="A21" s="195" t="s">
        <v>756</v>
      </c>
      <c r="B21" s="198">
        <v>824000</v>
      </c>
      <c r="C21" s="198">
        <v>823000</v>
      </c>
      <c r="D21" s="198">
        <v>814000</v>
      </c>
      <c r="E21" s="198">
        <v>805000</v>
      </c>
      <c r="F21" s="334">
        <f>SUM(B45+B65)</f>
        <v>824000.00000000012</v>
      </c>
      <c r="G21" s="334">
        <f>SUM(C45+C65)</f>
        <v>823000</v>
      </c>
      <c r="H21" s="334">
        <f>SUM(D45+D65)</f>
        <v>814000</v>
      </c>
      <c r="I21" s="334">
        <f>SUM(E45+E65)</f>
        <v>805000</v>
      </c>
      <c r="N21" s="83">
        <v>575000</v>
      </c>
      <c r="O21" s="83">
        <v>573000</v>
      </c>
      <c r="P21" s="83">
        <v>566000</v>
      </c>
      <c r="Q21" s="83">
        <v>558000</v>
      </c>
      <c r="R21" s="334">
        <f>SUM(N45+N65)</f>
        <v>575000</v>
      </c>
      <c r="S21" s="334">
        <f>SUM(O45+O65)</f>
        <v>573000</v>
      </c>
      <c r="T21" s="334">
        <f>SUM(P45+P65)</f>
        <v>566000</v>
      </c>
      <c r="U21" s="334">
        <f>SUM(Q45+Q65)</f>
        <v>558000</v>
      </c>
    </row>
    <row r="22" spans="1:32" s="2" customFormat="1">
      <c r="A22" s="335" t="s">
        <v>809</v>
      </c>
      <c r="B22" s="198">
        <v>824000</v>
      </c>
      <c r="C22" s="198">
        <v>460695.12902961345</v>
      </c>
      <c r="D22" s="198">
        <v>454101.51033845718</v>
      </c>
      <c r="E22" s="198">
        <v>448191.60189627705</v>
      </c>
      <c r="N22" s="83">
        <v>575000</v>
      </c>
      <c r="O22" s="83">
        <v>320178.0330000337</v>
      </c>
      <c r="P22" s="83">
        <v>315429.80123732239</v>
      </c>
      <c r="Q22" s="83">
        <v>309899.43478727271</v>
      </c>
    </row>
    <row r="23" spans="1:32" s="2" customFormat="1">
      <c r="A23" s="335" t="s">
        <v>810</v>
      </c>
      <c r="B23" s="198">
        <v>1442860.685462042</v>
      </c>
      <c r="C23" s="198">
        <v>806697.68162705342</v>
      </c>
      <c r="D23" s="198">
        <v>795151.96174307622</v>
      </c>
      <c r="E23" s="198">
        <v>784803.44894465164</v>
      </c>
      <c r="N23" s="198">
        <v>1006850.5996852841</v>
      </c>
      <c r="O23" s="198">
        <v>560645.99049067579</v>
      </c>
      <c r="P23" s="198">
        <v>552331.62527723133</v>
      </c>
      <c r="Q23" s="198">
        <v>542647.70740468893</v>
      </c>
    </row>
    <row r="24" spans="1:32" s="2" customFormat="1">
      <c r="A24" s="197" t="s">
        <v>560</v>
      </c>
      <c r="B24" s="196">
        <v>400000</v>
      </c>
      <c r="C24" s="196">
        <v>400000</v>
      </c>
      <c r="D24" s="196">
        <v>400000</v>
      </c>
      <c r="E24" s="196">
        <v>400001</v>
      </c>
      <c r="N24" s="196">
        <v>350000</v>
      </c>
      <c r="O24" s="196">
        <v>350000</v>
      </c>
      <c r="P24" s="196">
        <v>350000</v>
      </c>
      <c r="Q24" s="196">
        <v>350001</v>
      </c>
    </row>
    <row r="25" spans="1:32" s="2" customFormat="1">
      <c r="A25" s="195" t="s">
        <v>755</v>
      </c>
      <c r="B25" s="194">
        <f>B24/B19</f>
        <v>8.5470085470085468</v>
      </c>
      <c r="C25" s="194">
        <f>C24/C19</f>
        <v>8.7145969498910674</v>
      </c>
      <c r="D25" s="194">
        <f>D24/D19</f>
        <v>8.908685968819599</v>
      </c>
      <c r="E25" s="194">
        <f>E24/E19</f>
        <v>9.0909318181818186</v>
      </c>
      <c r="N25" s="336">
        <f>N24/N19</f>
        <v>6.4814814814814818</v>
      </c>
      <c r="O25" s="336">
        <f>O24/O19</f>
        <v>6.6287878787878789</v>
      </c>
      <c r="P25" s="336">
        <f>P24/P19</f>
        <v>6.7829457364341081</v>
      </c>
      <c r="Q25" s="336">
        <f>Q24/Q19</f>
        <v>6.944464285714286</v>
      </c>
    </row>
    <row r="26" spans="1:32" s="2" customFormat="1"/>
    <row r="27" spans="1:32" s="2" customFormat="1">
      <c r="A27" s="193" t="s">
        <v>754</v>
      </c>
      <c r="B27" s="192">
        <v>4.2000000000000003E-2</v>
      </c>
      <c r="N27" s="192">
        <v>4.2000000000000003E-2</v>
      </c>
    </row>
    <row r="28" spans="1:32">
      <c r="A28" s="191" t="s">
        <v>811</v>
      </c>
      <c r="B28" s="190">
        <v>0.26400000000000001</v>
      </c>
      <c r="M28" s="2"/>
      <c r="N28" s="6"/>
      <c r="O28" s="2"/>
      <c r="P28" s="2"/>
      <c r="Q28" s="2"/>
      <c r="R28" s="2"/>
      <c r="S28" s="2"/>
      <c r="T28" s="2"/>
      <c r="U28" s="11"/>
      <c r="V28" s="11"/>
      <c r="W28" s="147"/>
      <c r="X28" s="2"/>
      <c r="Y28" s="2"/>
      <c r="Z28" s="2"/>
      <c r="AE28" s="16"/>
      <c r="AF28" s="16"/>
    </row>
    <row r="29" spans="1:32" s="2" customFormat="1"/>
    <row r="30" spans="1:32">
      <c r="C30" s="547" t="s">
        <v>753</v>
      </c>
      <c r="D30" s="548"/>
      <c r="E30" s="548"/>
      <c r="F30" s="548"/>
      <c r="G30" s="549"/>
      <c r="H30" s="163"/>
      <c r="I30" s="163"/>
      <c r="J30" s="163"/>
      <c r="M30" s="2"/>
      <c r="N30" s="16"/>
      <c r="O30" s="163"/>
      <c r="P30" s="163"/>
      <c r="V30" s="16"/>
      <c r="W30" s="16"/>
      <c r="X30" s="163"/>
      <c r="Y30" s="163"/>
      <c r="AE30" s="16"/>
      <c r="AF30" s="16"/>
    </row>
    <row r="31" spans="1:32">
      <c r="A31" s="4"/>
      <c r="B31" s="24"/>
      <c r="C31" s="337" t="s">
        <v>752</v>
      </c>
      <c r="D31" s="338" t="s">
        <v>751</v>
      </c>
      <c r="E31" s="339" t="s">
        <v>750</v>
      </c>
      <c r="F31" s="340" t="s">
        <v>749</v>
      </c>
      <c r="G31" s="341" t="s">
        <v>812</v>
      </c>
      <c r="H31" s="163"/>
      <c r="I31" s="163"/>
      <c r="J31" s="163"/>
      <c r="K31" s="4"/>
      <c r="M31" s="2"/>
      <c r="N31" s="16"/>
      <c r="P31" s="4"/>
      <c r="Q31" s="4"/>
      <c r="R31" s="4"/>
      <c r="S31" s="4"/>
      <c r="T31" s="4"/>
      <c r="V31" s="16"/>
      <c r="W31" s="16"/>
      <c r="Y31" s="4"/>
      <c r="Z31" s="4"/>
      <c r="AA31" s="4"/>
      <c r="AB31" s="4"/>
      <c r="AE31" s="16"/>
      <c r="AF31" s="16"/>
    </row>
    <row r="32" spans="1:32">
      <c r="A32" s="4"/>
      <c r="B32" s="24"/>
      <c r="C32" s="189">
        <v>1</v>
      </c>
      <c r="D32" s="188">
        <v>0.45</v>
      </c>
      <c r="E32" s="188">
        <v>0.2</v>
      </c>
      <c r="F32" s="188">
        <v>0.09</v>
      </c>
      <c r="G32" s="187">
        <v>0.04</v>
      </c>
      <c r="H32" s="163"/>
      <c r="I32" s="163"/>
      <c r="J32" s="163"/>
      <c r="K32" s="4"/>
      <c r="M32" s="2"/>
      <c r="N32" s="16"/>
      <c r="P32" s="4"/>
      <c r="Q32" s="4"/>
      <c r="R32" s="4"/>
      <c r="S32" s="4"/>
      <c r="T32" s="4"/>
      <c r="V32" s="16"/>
      <c r="W32" s="16"/>
      <c r="Y32" s="4"/>
      <c r="Z32" s="4"/>
      <c r="AA32" s="4"/>
      <c r="AB32" s="4"/>
      <c r="AE32" s="16"/>
      <c r="AF32" s="16"/>
    </row>
    <row r="33" spans="1:32" ht="14.5">
      <c r="A33" s="4"/>
      <c r="B33" s="342" t="s">
        <v>813</v>
      </c>
      <c r="C33" s="16"/>
      <c r="D33" s="343">
        <v>0.97708972753610179</v>
      </c>
      <c r="E33" s="343">
        <v>0.95470433565657364</v>
      </c>
      <c r="F33" s="343">
        <v>0.93283179920421666</v>
      </c>
      <c r="G33" s="343">
        <v>0.91146036852145962</v>
      </c>
      <c r="H33" s="163"/>
      <c r="I33" s="163"/>
      <c r="J33" s="163"/>
      <c r="K33" s="4"/>
      <c r="M33" s="2"/>
      <c r="N33" s="16"/>
      <c r="P33" s="4"/>
      <c r="Q33" s="4"/>
      <c r="R33" s="4"/>
      <c r="S33" s="4"/>
      <c r="T33" s="4"/>
      <c r="V33" s="16"/>
      <c r="W33" s="16"/>
      <c r="Y33" s="4"/>
      <c r="Z33" s="4"/>
      <c r="AA33" s="4"/>
      <c r="AB33" s="4"/>
      <c r="AE33" s="16"/>
      <c r="AF33" s="16"/>
    </row>
    <row r="34" spans="1:32" s="2" customFormat="1">
      <c r="A34" s="178" t="s">
        <v>748</v>
      </c>
    </row>
    <row r="35" spans="1:32" s="2" customFormat="1">
      <c r="A35" s="186"/>
      <c r="B35" s="185">
        <v>2018</v>
      </c>
      <c r="C35" s="185">
        <v>2019</v>
      </c>
      <c r="D35" s="184">
        <v>2020</v>
      </c>
      <c r="E35" s="184">
        <v>2021</v>
      </c>
      <c r="N35" s="185">
        <v>2018</v>
      </c>
      <c r="O35" s="185">
        <v>2019</v>
      </c>
      <c r="P35" s="184">
        <v>2020</v>
      </c>
      <c r="Q35" s="184">
        <v>2021</v>
      </c>
    </row>
    <row r="36" spans="1:32" s="2" customFormat="1">
      <c r="A36" s="182" t="s">
        <v>747</v>
      </c>
      <c r="B36" s="183">
        <f>B19</f>
        <v>46800</v>
      </c>
      <c r="C36" s="183">
        <f t="shared" ref="C36:D36" si="16">C19</f>
        <v>45900</v>
      </c>
      <c r="D36" s="183">
        <f t="shared" si="16"/>
        <v>44900</v>
      </c>
      <c r="E36" s="183">
        <f>E19</f>
        <v>44000</v>
      </c>
      <c r="N36" s="183">
        <f>N19</f>
        <v>54000</v>
      </c>
      <c r="O36" s="183">
        <f t="shared" ref="O36:Q36" si="17">O19</f>
        <v>52800</v>
      </c>
      <c r="P36" s="183">
        <f t="shared" si="17"/>
        <v>51600</v>
      </c>
      <c r="Q36" s="183">
        <f t="shared" si="17"/>
        <v>50400</v>
      </c>
    </row>
    <row r="37" spans="1:32" s="2" customFormat="1">
      <c r="A37" s="182" t="s">
        <v>746</v>
      </c>
      <c r="B37" s="181">
        <f>B21/B19</f>
        <v>17.606837606837608</v>
      </c>
      <c r="C37" s="181">
        <f>C21/C19</f>
        <v>17.930283224400871</v>
      </c>
      <c r="D37" s="181">
        <f>D21/D19</f>
        <v>18.129175946547885</v>
      </c>
      <c r="E37" s="181">
        <f>E21/E19</f>
        <v>18.295454545454547</v>
      </c>
      <c r="N37" s="181">
        <f>N21/N19</f>
        <v>10.648148148148149</v>
      </c>
      <c r="O37" s="181">
        <f>O21/O19</f>
        <v>10.852272727272727</v>
      </c>
      <c r="P37" s="181">
        <f>P21/P19</f>
        <v>10.968992248062015</v>
      </c>
      <c r="Q37" s="181">
        <f>Q21/Q19</f>
        <v>11.071428571428571</v>
      </c>
    </row>
    <row r="38" spans="1:32" s="2" customFormat="1">
      <c r="A38" s="180" t="s">
        <v>560</v>
      </c>
      <c r="B38" s="179">
        <v>375000</v>
      </c>
      <c r="C38" s="179">
        <v>375000</v>
      </c>
      <c r="D38" s="179">
        <v>375000</v>
      </c>
      <c r="E38" s="179">
        <v>375000</v>
      </c>
      <c r="N38" s="344">
        <f>N24</f>
        <v>350000</v>
      </c>
      <c r="O38" s="344">
        <f t="shared" ref="O38:Q38" si="18">O24</f>
        <v>350000</v>
      </c>
      <c r="P38" s="344">
        <f t="shared" si="18"/>
        <v>350000</v>
      </c>
      <c r="Q38" s="344">
        <f t="shared" si="18"/>
        <v>350001</v>
      </c>
    </row>
    <row r="39" spans="1:32" s="2" customFormat="1"/>
    <row r="40" spans="1:32" s="2" customFormat="1">
      <c r="A40" s="178" t="s">
        <v>814</v>
      </c>
    </row>
    <row r="41" spans="1:32">
      <c r="A41" s="177"/>
      <c r="B41" s="170">
        <v>2018</v>
      </c>
      <c r="C41" s="170">
        <v>2019</v>
      </c>
      <c r="D41" s="169">
        <v>2020</v>
      </c>
      <c r="E41" s="169">
        <v>2021</v>
      </c>
      <c r="J41" s="2"/>
      <c r="M41" s="2"/>
      <c r="N41" s="170">
        <v>2018</v>
      </c>
      <c r="O41" s="170">
        <v>2019</v>
      </c>
      <c r="P41" s="169">
        <v>2020</v>
      </c>
      <c r="Q41" s="169">
        <v>2021</v>
      </c>
      <c r="R41" s="163"/>
      <c r="V41" s="16"/>
      <c r="W41" s="16"/>
      <c r="Z41" s="2"/>
      <c r="AE41" s="16"/>
      <c r="AF41" s="16"/>
    </row>
    <row r="42" spans="1:32">
      <c r="A42" s="14" t="s">
        <v>697</v>
      </c>
      <c r="B42" s="15">
        <f>B36</f>
        <v>46800</v>
      </c>
      <c r="C42" s="15">
        <f t="shared" ref="C42:E42" si="19">C36</f>
        <v>45900</v>
      </c>
      <c r="D42" s="15">
        <f t="shared" si="19"/>
        <v>44900</v>
      </c>
      <c r="E42" s="15">
        <f t="shared" si="19"/>
        <v>44000</v>
      </c>
      <c r="J42" s="2"/>
      <c r="M42" s="2"/>
      <c r="N42" s="15">
        <f>N36</f>
        <v>54000</v>
      </c>
      <c r="O42" s="15">
        <f t="shared" ref="O42:Q42" si="20">O36</f>
        <v>52800</v>
      </c>
      <c r="P42" s="15">
        <f t="shared" si="20"/>
        <v>51600</v>
      </c>
      <c r="Q42" s="15">
        <f t="shared" si="20"/>
        <v>50400</v>
      </c>
      <c r="R42" s="163"/>
      <c r="V42" s="16"/>
      <c r="W42" s="16"/>
      <c r="Z42" s="2"/>
      <c r="AE42" s="16"/>
      <c r="AF42" s="16"/>
    </row>
    <row r="43" spans="1:32">
      <c r="A43" s="14" t="s">
        <v>815</v>
      </c>
      <c r="B43" s="345">
        <f>ROUND(B38*(1-$B$28),0)</f>
        <v>276000</v>
      </c>
      <c r="C43" s="345">
        <f>ROUND(C38*(1-$B$28),0)</f>
        <v>276000</v>
      </c>
      <c r="D43" s="345">
        <f>ROUND(D38*(1-$B$28),0)</f>
        <v>276000</v>
      </c>
      <c r="E43" s="345">
        <f>ROUND(E38*(1-$B$28),0)</f>
        <v>276000</v>
      </c>
      <c r="J43" s="2"/>
      <c r="M43" s="2"/>
      <c r="N43" s="345">
        <f>N38</f>
        <v>350000</v>
      </c>
      <c r="O43" s="345">
        <f>O38</f>
        <v>350000</v>
      </c>
      <c r="P43" s="345">
        <f>P38</f>
        <v>350000</v>
      </c>
      <c r="Q43" s="345">
        <f>Q38</f>
        <v>350001</v>
      </c>
      <c r="R43" s="163"/>
      <c r="V43" s="16"/>
      <c r="W43" s="16"/>
      <c r="Z43" s="2"/>
      <c r="AE43" s="16"/>
      <c r="AF43" s="16"/>
    </row>
    <row r="44" spans="1:32">
      <c r="A44" s="14" t="s">
        <v>745</v>
      </c>
      <c r="B44" s="29">
        <f>B37</f>
        <v>17.606837606837608</v>
      </c>
      <c r="C44" s="29">
        <f>C37</f>
        <v>17.930283224400871</v>
      </c>
      <c r="D44" s="29">
        <f>D37</f>
        <v>18.129175946547885</v>
      </c>
      <c r="E44" s="29">
        <f>E37</f>
        <v>18.295454545454547</v>
      </c>
      <c r="J44" s="2"/>
      <c r="M44" s="2"/>
      <c r="N44" s="346">
        <f>N37</f>
        <v>10.648148148148149</v>
      </c>
      <c r="O44" s="346">
        <f>O37</f>
        <v>10.852272727272727</v>
      </c>
      <c r="P44" s="346">
        <f>P37</f>
        <v>10.968992248062015</v>
      </c>
      <c r="Q44" s="346">
        <f>Q37</f>
        <v>11.071428571428571</v>
      </c>
      <c r="R44" s="163"/>
      <c r="V44" s="16"/>
      <c r="W44" s="16"/>
      <c r="Z44" s="163"/>
      <c r="AE44" s="16"/>
      <c r="AF44" s="16"/>
    </row>
    <row r="45" spans="1:32">
      <c r="A45" s="14" t="s">
        <v>744</v>
      </c>
      <c r="B45" s="15">
        <f>B44*B42</f>
        <v>824000.00000000012</v>
      </c>
      <c r="C45" s="15">
        <f>C44*C42</f>
        <v>823000</v>
      </c>
      <c r="D45" s="15">
        <f>D44*D42</f>
        <v>814000</v>
      </c>
      <c r="E45" s="15">
        <f>E44*E42</f>
        <v>805000</v>
      </c>
      <c r="J45" s="2"/>
      <c r="M45" s="2"/>
      <c r="N45" s="15">
        <f>N44*N42</f>
        <v>575000</v>
      </c>
      <c r="O45" s="15">
        <f>O44*O42</f>
        <v>573000</v>
      </c>
      <c r="P45" s="15">
        <f>P44*P42</f>
        <v>566000</v>
      </c>
      <c r="Q45" s="15">
        <f>Q44*Q42</f>
        <v>558000</v>
      </c>
      <c r="R45" s="163"/>
      <c r="V45" s="16"/>
      <c r="W45" s="16"/>
      <c r="Z45" s="163"/>
      <c r="AE45" s="16"/>
      <c r="AF45" s="16"/>
    </row>
    <row r="46" spans="1:32">
      <c r="A46" s="173" t="s">
        <v>741</v>
      </c>
      <c r="B46" s="172">
        <f>B45</f>
        <v>824000.00000000012</v>
      </c>
      <c r="C46" s="172">
        <f>C45-(B46*C42/B42*D$32)</f>
        <v>459330.76923076913</v>
      </c>
      <c r="D46" s="172">
        <f>D45-(C46*D42/C42*D$32)-(B46*D42/B42*E$32)</f>
        <v>453694.99497234798</v>
      </c>
      <c r="E46" s="172">
        <f>E45-(D46*E42/D42*D$32)-(C46*E42/C42*E$32)-(B46*E42/B42*F$32)</f>
        <v>447143.10895149742</v>
      </c>
      <c r="H46" s="165"/>
      <c r="J46" s="2"/>
      <c r="M46" s="2"/>
      <c r="N46" s="172">
        <f>N45</f>
        <v>575000</v>
      </c>
      <c r="O46" s="172">
        <f>O45-(N46*O42/N42*D$32)</f>
        <v>320000</v>
      </c>
      <c r="P46" s="172">
        <f>P45-(O46*P42/O42*D$32)-(N46*P42/N42*E$32)</f>
        <v>315383.83838383842</v>
      </c>
      <c r="Q46" s="172">
        <f>Q45-(P46*Q42/P42*D$32)-(O46*Q42/O42*E$32)-(N46*Q42/N42*F$32)</f>
        <v>309986.89217758976</v>
      </c>
      <c r="R46" s="163"/>
      <c r="V46" s="16"/>
      <c r="W46" s="16"/>
      <c r="Z46" s="163"/>
      <c r="AE46" s="16"/>
      <c r="AF46" s="16"/>
    </row>
    <row r="47" spans="1:32" s="2" customFormat="1">
      <c r="A47" s="175"/>
      <c r="B47" s="174"/>
      <c r="C47" s="174"/>
      <c r="D47" s="174"/>
      <c r="E47" s="174"/>
      <c r="N47" s="174"/>
      <c r="O47" s="174"/>
      <c r="P47" s="174"/>
      <c r="Q47" s="174"/>
      <c r="R47" s="163"/>
      <c r="S47" s="16"/>
      <c r="T47" s="16"/>
      <c r="U47" s="16"/>
      <c r="V47" s="16"/>
      <c r="W47" s="16"/>
      <c r="X47" s="16"/>
      <c r="Y47" s="16"/>
      <c r="Z47" s="163"/>
    </row>
    <row r="48" spans="1:32">
      <c r="A48" s="175"/>
      <c r="B48" s="174"/>
      <c r="C48" s="174"/>
      <c r="D48" s="174"/>
      <c r="E48" s="174"/>
      <c r="J48" s="2"/>
      <c r="M48" s="2"/>
      <c r="N48" s="174"/>
      <c r="O48" s="174"/>
      <c r="P48" s="174"/>
      <c r="Q48" s="174"/>
      <c r="R48" s="163"/>
      <c r="V48" s="16"/>
      <c r="W48" s="16"/>
      <c r="Z48" s="163"/>
      <c r="AE48" s="16"/>
      <c r="AF48" s="16"/>
    </row>
    <row r="49" spans="1:32">
      <c r="A49" s="173"/>
      <c r="B49" s="172"/>
      <c r="C49" s="172"/>
      <c r="D49" s="172"/>
      <c r="E49" s="172"/>
      <c r="J49" s="2"/>
      <c r="M49" s="2"/>
      <c r="N49" s="172"/>
      <c r="O49" s="172"/>
      <c r="P49" s="172"/>
      <c r="Q49" s="172"/>
      <c r="R49" s="163"/>
      <c r="V49" s="16"/>
      <c r="W49" s="16"/>
      <c r="Z49" s="163"/>
      <c r="AE49" s="16"/>
      <c r="AF49" s="16"/>
    </row>
    <row r="50" spans="1:32">
      <c r="A50" s="167"/>
      <c r="B50" s="166"/>
      <c r="C50" s="166"/>
      <c r="D50" s="166"/>
      <c r="E50" s="166"/>
      <c r="J50" s="2"/>
      <c r="M50" s="2"/>
      <c r="N50" s="166"/>
      <c r="O50" s="166"/>
      <c r="P50" s="166"/>
      <c r="Q50" s="166"/>
      <c r="R50" s="163"/>
      <c r="V50" s="16"/>
      <c r="W50" s="16"/>
      <c r="Z50" s="163"/>
      <c r="AE50" s="16"/>
      <c r="AF50" s="16"/>
    </row>
    <row r="51" spans="1:32">
      <c r="B51" s="16"/>
      <c r="D51" s="164"/>
      <c r="E51" s="164"/>
      <c r="M51" s="2"/>
      <c r="N51" s="164"/>
      <c r="O51" s="164"/>
      <c r="P51" s="164"/>
      <c r="Q51" s="164"/>
      <c r="R51" s="163"/>
      <c r="V51" s="16"/>
      <c r="W51" s="16"/>
      <c r="Z51" s="163"/>
      <c r="AE51" s="16"/>
      <c r="AF51" s="16"/>
    </row>
    <row r="52" spans="1:32">
      <c r="A52" s="171" t="s">
        <v>739</v>
      </c>
      <c r="B52" s="170" t="s">
        <v>816</v>
      </c>
      <c r="C52" s="170" t="s">
        <v>817</v>
      </c>
      <c r="D52" s="169" t="s">
        <v>818</v>
      </c>
      <c r="E52" s="170" t="s">
        <v>819</v>
      </c>
      <c r="F52" s="169" t="s">
        <v>820</v>
      </c>
      <c r="G52" s="169" t="s">
        <v>821</v>
      </c>
      <c r="M52" s="171" t="s">
        <v>739</v>
      </c>
      <c r="N52" s="170" t="s">
        <v>816</v>
      </c>
      <c r="O52" s="170" t="s">
        <v>817</v>
      </c>
      <c r="P52" s="169" t="s">
        <v>818</v>
      </c>
      <c r="Q52" s="170" t="s">
        <v>819</v>
      </c>
      <c r="R52" s="169" t="s">
        <v>820</v>
      </c>
      <c r="S52" s="169" t="s">
        <v>821</v>
      </c>
      <c r="V52" s="16"/>
      <c r="W52" s="16"/>
      <c r="Z52" s="163"/>
      <c r="AE52" s="16"/>
      <c r="AF52" s="16"/>
    </row>
    <row r="53" spans="1:32">
      <c r="A53" s="168">
        <v>2018</v>
      </c>
      <c r="B53" s="15">
        <f>B45</f>
        <v>824000.00000000012</v>
      </c>
      <c r="C53" s="15">
        <f>$B53</f>
        <v>824000.00000000012</v>
      </c>
      <c r="D53" s="15">
        <f>$C53*D$32*D$33</f>
        <v>362304.8709703866</v>
      </c>
      <c r="E53" s="15">
        <f t="shared" ref="E53:G56" si="21">$C53*E$32*E$33</f>
        <v>157335.27451620335</v>
      </c>
      <c r="F53" s="15">
        <f t="shared" si="21"/>
        <v>69178.806228984715</v>
      </c>
      <c r="G53" s="15">
        <f t="shared" si="21"/>
        <v>30041.733746467315</v>
      </c>
      <c r="L53" s="165"/>
      <c r="M53" s="168">
        <v>2018</v>
      </c>
      <c r="N53" s="15">
        <f>N45</f>
        <v>575000</v>
      </c>
      <c r="O53" s="15">
        <f>$N53</f>
        <v>575000</v>
      </c>
      <c r="P53" s="15">
        <f>$O53*D$32*D$33</f>
        <v>252821.96699996633</v>
      </c>
      <c r="Q53" s="15">
        <f t="shared" ref="Q53:S56" si="22">$O53*E$32*E$33</f>
        <v>109790.99860050596</v>
      </c>
      <c r="R53" s="15">
        <f t="shared" si="22"/>
        <v>48274.045608818211</v>
      </c>
      <c r="S53" s="15">
        <f t="shared" si="22"/>
        <v>20963.588475993573</v>
      </c>
      <c r="V53" s="16"/>
      <c r="W53" s="16"/>
      <c r="Z53" s="163"/>
      <c r="AE53" s="16"/>
      <c r="AF53" s="16"/>
    </row>
    <row r="54" spans="1:32">
      <c r="A54" s="168">
        <v>2019</v>
      </c>
      <c r="B54" s="146">
        <f>C45</f>
        <v>823000</v>
      </c>
      <c r="C54" s="15">
        <f>B54-D53</f>
        <v>460695.1290296134</v>
      </c>
      <c r="D54" s="15">
        <f t="shared" ref="D54:D56" si="23">$C54*D$32*D$33</f>
        <v>202563.2151453394</v>
      </c>
      <c r="E54" s="15">
        <f t="shared" si="21"/>
        <v>87965.527420087325</v>
      </c>
      <c r="F54" s="15">
        <f t="shared" si="21"/>
        <v>38677.595948758164</v>
      </c>
      <c r="G54" s="15">
        <f t="shared" si="21"/>
        <v>16796.214083254912</v>
      </c>
      <c r="L54" s="165"/>
      <c r="M54" s="168">
        <v>2019</v>
      </c>
      <c r="N54" s="146">
        <f>O45</f>
        <v>573000</v>
      </c>
      <c r="O54" s="15">
        <f>N54-P53</f>
        <v>320178.0330000337</v>
      </c>
      <c r="P54" s="15">
        <f t="shared" ref="P54:P56" si="24">$O54*D$32*D$33</f>
        <v>140779.20016217159</v>
      </c>
      <c r="Q54" s="15">
        <f t="shared" si="22"/>
        <v>61135.071257425137</v>
      </c>
      <c r="R54" s="15">
        <f t="shared" si="22"/>
        <v>26880.502553017963</v>
      </c>
      <c r="S54" s="15">
        <f t="shared" si="22"/>
        <v>11673.18351802747</v>
      </c>
      <c r="V54" s="16"/>
      <c r="W54" s="16"/>
      <c r="Z54" s="163"/>
      <c r="AE54" s="16"/>
      <c r="AF54" s="16"/>
    </row>
    <row r="55" spans="1:32">
      <c r="A55" s="168">
        <v>2020</v>
      </c>
      <c r="B55" s="146">
        <f>D45</f>
        <v>814000</v>
      </c>
      <c r="C55" s="15">
        <f>B55-D54-E53</f>
        <v>454101.5103384573</v>
      </c>
      <c r="D55" s="15">
        <f t="shared" si="23"/>
        <v>199664.064454651</v>
      </c>
      <c r="E55" s="15">
        <f t="shared" si="21"/>
        <v>86706.536149664724</v>
      </c>
      <c r="F55" s="15">
        <f t="shared" si="21"/>
        <v>38124.029601933777</v>
      </c>
      <c r="G55" s="15">
        <f t="shared" si="21"/>
        <v>16555.821198369667</v>
      </c>
      <c r="L55" s="165"/>
      <c r="M55" s="168">
        <v>2020</v>
      </c>
      <c r="N55" s="146">
        <f>P45</f>
        <v>566000</v>
      </c>
      <c r="O55" s="15">
        <f>N55-P54-Q53</f>
        <v>315429.80123732239</v>
      </c>
      <c r="P55" s="15">
        <f t="shared" si="24"/>
        <v>138691.44834648393</v>
      </c>
      <c r="Q55" s="15">
        <f t="shared" si="22"/>
        <v>60228.439767312586</v>
      </c>
      <c r="R55" s="15">
        <f t="shared" si="22"/>
        <v>26481.865410975592</v>
      </c>
      <c r="S55" s="15">
        <f t="shared" si="22"/>
        <v>11500.070515136826</v>
      </c>
      <c r="V55" s="16"/>
      <c r="W55" s="16"/>
      <c r="Z55" s="163"/>
      <c r="AE55" s="16"/>
      <c r="AF55" s="16"/>
    </row>
    <row r="56" spans="1:32">
      <c r="A56" s="168">
        <v>2021</v>
      </c>
      <c r="B56" s="146">
        <f>E45</f>
        <v>805000</v>
      </c>
      <c r="C56" s="15">
        <f>B56-D55-E54-F53</f>
        <v>448191.60189627699</v>
      </c>
      <c r="D56" s="15">
        <f t="shared" si="23"/>
        <v>197065.53458136105</v>
      </c>
      <c r="E56" s="15">
        <f t="shared" si="21"/>
        <v>85578.093107048131</v>
      </c>
      <c r="F56" s="15">
        <f t="shared" si="21"/>
        <v>37627.864054661164</v>
      </c>
      <c r="G56" s="15">
        <f t="shared" si="21"/>
        <v>16340.355305304158</v>
      </c>
      <c r="L56" s="165"/>
      <c r="M56" s="168">
        <v>2021</v>
      </c>
      <c r="N56" s="146">
        <f>Q45</f>
        <v>558000</v>
      </c>
      <c r="O56" s="15">
        <f>N56-P55-Q54-R53</f>
        <v>309899.43478727271</v>
      </c>
      <c r="P56" s="15">
        <f t="shared" si="24"/>
        <v>136259.79943494973</v>
      </c>
      <c r="Q56" s="15">
        <f t="shared" si="22"/>
        <v>59172.466801786177</v>
      </c>
      <c r="R56" s="15">
        <f t="shared" si="22"/>
        <v>26017.564259248327</v>
      </c>
      <c r="S56" s="15">
        <f t="shared" si="22"/>
        <v>11298.442121431986</v>
      </c>
      <c r="V56" s="16"/>
      <c r="W56" s="16"/>
      <c r="Z56" s="163"/>
      <c r="AE56" s="16"/>
      <c r="AF56" s="16"/>
    </row>
    <row r="57" spans="1:32">
      <c r="A57" s="167" t="s">
        <v>738</v>
      </c>
      <c r="B57" s="166">
        <f>SUM(B53:B56)</f>
        <v>3266000</v>
      </c>
      <c r="C57" s="166">
        <f t="shared" ref="C57:G57" si="25">SUM(C53:C56)</f>
        <v>2186988.2412643479</v>
      </c>
      <c r="D57" s="166">
        <f t="shared" si="25"/>
        <v>961597.68515173811</v>
      </c>
      <c r="E57" s="166">
        <f t="shared" si="25"/>
        <v>417585.43119300355</v>
      </c>
      <c r="F57" s="166">
        <f t="shared" si="25"/>
        <v>183608.29583433783</v>
      </c>
      <c r="G57" s="166">
        <f t="shared" si="25"/>
        <v>79734.124333396045</v>
      </c>
      <c r="M57" s="167" t="s">
        <v>738</v>
      </c>
      <c r="N57" s="166">
        <f>SUM(N53:N56)</f>
        <v>2272000</v>
      </c>
      <c r="O57" s="166">
        <f t="shared" ref="O57:S57" si="26">SUM(O53:O56)</f>
        <v>1520507.2690246289</v>
      </c>
      <c r="P57" s="166">
        <f t="shared" si="26"/>
        <v>668552.41494357155</v>
      </c>
      <c r="Q57" s="166">
        <f t="shared" si="26"/>
        <v>290326.97642702988</v>
      </c>
      <c r="R57" s="166">
        <f t="shared" si="26"/>
        <v>127653.97783206007</v>
      </c>
      <c r="S57" s="166">
        <f t="shared" si="26"/>
        <v>55435.284630589857</v>
      </c>
      <c r="V57" s="16"/>
      <c r="W57" s="16"/>
      <c r="Z57" s="163"/>
      <c r="AE57" s="16"/>
      <c r="AF57" s="16"/>
    </row>
    <row r="58" spans="1:32">
      <c r="M58" s="2"/>
      <c r="N58" s="164"/>
      <c r="O58" s="164"/>
      <c r="P58" s="163"/>
      <c r="Q58" s="163"/>
      <c r="R58" s="163"/>
      <c r="V58" s="16"/>
      <c r="W58" s="16"/>
      <c r="Z58" s="163"/>
      <c r="AE58" s="16"/>
      <c r="AF58" s="16"/>
    </row>
    <row r="59" spans="1:32">
      <c r="M59" s="2"/>
      <c r="N59" s="164"/>
      <c r="O59" s="164"/>
      <c r="P59" s="163"/>
      <c r="Q59" s="163"/>
      <c r="R59" s="163"/>
      <c r="V59" s="16"/>
      <c r="W59" s="16"/>
      <c r="Z59" s="163"/>
      <c r="AE59" s="16"/>
      <c r="AF59" s="16"/>
    </row>
    <row r="60" spans="1:32" s="2" customFormat="1">
      <c r="A60" s="178" t="s">
        <v>822</v>
      </c>
      <c r="Z60" s="163"/>
    </row>
    <row r="61" spans="1:32">
      <c r="A61" s="177"/>
      <c r="B61" s="170">
        <v>2018</v>
      </c>
      <c r="C61" s="170">
        <v>2019</v>
      </c>
      <c r="D61" s="169">
        <v>2020</v>
      </c>
      <c r="E61" s="169">
        <v>2021</v>
      </c>
      <c r="J61" s="2"/>
      <c r="M61" s="2"/>
      <c r="N61" s="170">
        <v>2018</v>
      </c>
      <c r="O61" s="170">
        <v>2019</v>
      </c>
      <c r="P61" s="169">
        <v>2020</v>
      </c>
      <c r="Q61" s="169">
        <v>2021</v>
      </c>
      <c r="R61" s="2"/>
      <c r="S61" s="2"/>
      <c r="T61" s="2"/>
      <c r="U61" s="2"/>
      <c r="V61" s="2"/>
      <c r="W61" s="2"/>
      <c r="X61" s="2"/>
      <c r="Y61" s="2"/>
      <c r="Z61" s="163"/>
      <c r="AE61" s="16"/>
      <c r="AF61" s="16"/>
    </row>
    <row r="62" spans="1:32">
      <c r="A62" s="14" t="s">
        <v>697</v>
      </c>
      <c r="B62" s="15">
        <v>0</v>
      </c>
      <c r="C62" s="15">
        <v>0</v>
      </c>
      <c r="D62" s="15">
        <v>0</v>
      </c>
      <c r="E62" s="15">
        <v>0</v>
      </c>
      <c r="J62" s="2"/>
      <c r="M62" s="2"/>
      <c r="N62" s="15"/>
      <c r="O62" s="15"/>
      <c r="P62" s="15"/>
      <c r="Q62" s="15"/>
      <c r="R62" s="2"/>
      <c r="S62" s="2"/>
      <c r="T62" s="2"/>
      <c r="U62" s="2"/>
      <c r="V62" s="2"/>
      <c r="W62" s="2"/>
      <c r="X62" s="2"/>
      <c r="Y62" s="2"/>
      <c r="Z62" s="2"/>
      <c r="AE62" s="16"/>
      <c r="AF62" s="16"/>
    </row>
    <row r="63" spans="1:32">
      <c r="A63" s="14" t="s">
        <v>815</v>
      </c>
      <c r="B63" s="345"/>
      <c r="C63" s="345"/>
      <c r="D63" s="345"/>
      <c r="E63" s="345"/>
      <c r="J63" s="2"/>
      <c r="M63" s="2"/>
      <c r="N63" s="345"/>
      <c r="O63" s="345"/>
      <c r="P63" s="345"/>
      <c r="Q63" s="345"/>
      <c r="R63" s="2"/>
      <c r="S63" s="2"/>
      <c r="T63" s="2"/>
      <c r="U63" s="2"/>
      <c r="V63" s="2"/>
      <c r="W63" s="2"/>
      <c r="X63" s="2"/>
      <c r="Y63" s="2"/>
      <c r="Z63" s="2"/>
      <c r="AE63" s="16"/>
      <c r="AF63" s="16"/>
    </row>
    <row r="64" spans="1:32">
      <c r="A64" s="14" t="s">
        <v>745</v>
      </c>
      <c r="B64" s="176"/>
      <c r="C64" s="176"/>
      <c r="D64" s="176"/>
      <c r="E64" s="176"/>
      <c r="J64" s="2"/>
      <c r="M64" s="2"/>
      <c r="N64" s="176"/>
      <c r="O64" s="176"/>
      <c r="P64" s="176"/>
      <c r="Q64" s="176"/>
      <c r="R64" s="2"/>
      <c r="S64" s="2"/>
      <c r="T64" s="2"/>
      <c r="U64" s="2"/>
      <c r="V64" s="2"/>
      <c r="W64" s="2"/>
      <c r="X64" s="2"/>
      <c r="Y64" s="2"/>
      <c r="Z64" s="2"/>
      <c r="AE64" s="16"/>
      <c r="AF64" s="16"/>
    </row>
    <row r="65" spans="1:32">
      <c r="A65" s="14" t="s">
        <v>744</v>
      </c>
      <c r="B65" s="15"/>
      <c r="C65" s="15"/>
      <c r="D65" s="15"/>
      <c r="E65" s="15"/>
      <c r="J65" s="2"/>
      <c r="M65" s="2"/>
      <c r="N65" s="15"/>
      <c r="O65" s="15"/>
      <c r="P65" s="15"/>
      <c r="Q65" s="15"/>
      <c r="R65" s="2"/>
      <c r="S65" s="2"/>
      <c r="T65" s="2"/>
      <c r="U65" s="11"/>
      <c r="V65" s="11"/>
      <c r="W65" s="147"/>
      <c r="X65" s="2"/>
      <c r="Y65" s="2"/>
      <c r="Z65" s="2"/>
      <c r="AE65" s="16"/>
      <c r="AF65" s="16"/>
    </row>
    <row r="66" spans="1:32">
      <c r="A66" s="173" t="s">
        <v>741</v>
      </c>
      <c r="B66" s="172"/>
      <c r="C66" s="172"/>
      <c r="D66" s="172"/>
      <c r="E66" s="172"/>
      <c r="J66" s="2"/>
      <c r="M66" s="2"/>
      <c r="N66" s="172"/>
      <c r="O66" s="172"/>
      <c r="P66" s="172"/>
      <c r="Q66" s="172"/>
      <c r="R66" s="2"/>
      <c r="S66" s="2"/>
      <c r="T66" s="2"/>
      <c r="U66" s="11"/>
      <c r="V66" s="11"/>
      <c r="W66" s="147"/>
      <c r="X66" s="2"/>
      <c r="Y66" s="2"/>
      <c r="Z66" s="2"/>
      <c r="AE66" s="16"/>
      <c r="AF66" s="16"/>
    </row>
    <row r="67" spans="1:32" s="2" customFormat="1">
      <c r="A67" s="175" t="s">
        <v>743</v>
      </c>
      <c r="B67" s="174"/>
      <c r="C67" s="174"/>
      <c r="D67" s="174"/>
      <c r="E67" s="174"/>
      <c r="N67" s="174"/>
      <c r="O67" s="174"/>
      <c r="P67" s="174"/>
      <c r="Q67" s="174"/>
      <c r="U67" s="11"/>
      <c r="V67" s="11"/>
      <c r="W67" s="147"/>
    </row>
    <row r="68" spans="1:32">
      <c r="A68" s="175" t="s">
        <v>742</v>
      </c>
      <c r="B68" s="174"/>
      <c r="C68" s="174"/>
      <c r="D68" s="174"/>
      <c r="E68" s="174"/>
      <c r="J68" s="2"/>
      <c r="M68" s="2"/>
      <c r="N68" s="174"/>
      <c r="O68" s="174"/>
      <c r="P68" s="174"/>
      <c r="Q68" s="174"/>
      <c r="R68" s="2"/>
      <c r="S68" s="2"/>
      <c r="T68" s="2"/>
      <c r="U68" s="11"/>
      <c r="V68" s="11"/>
      <c r="W68" s="147"/>
      <c r="X68" s="2"/>
      <c r="Y68" s="2"/>
      <c r="Z68" s="2"/>
      <c r="AE68" s="16"/>
      <c r="AF68" s="16"/>
    </row>
    <row r="69" spans="1:32">
      <c r="A69" s="173" t="s">
        <v>741</v>
      </c>
      <c r="B69" s="172"/>
      <c r="C69" s="172"/>
      <c r="D69" s="172"/>
      <c r="E69" s="172"/>
      <c r="J69" s="2"/>
      <c r="M69" s="2"/>
      <c r="N69" s="172"/>
      <c r="O69" s="172"/>
      <c r="P69" s="172"/>
      <c r="Q69" s="172"/>
      <c r="R69" s="2"/>
      <c r="S69" s="2"/>
      <c r="T69" s="2"/>
      <c r="U69" s="11"/>
      <c r="V69" s="11"/>
      <c r="W69" s="147"/>
      <c r="X69" s="2"/>
      <c r="Y69" s="2"/>
      <c r="Z69" s="2"/>
      <c r="AE69" s="16"/>
      <c r="AF69" s="16"/>
    </row>
    <row r="70" spans="1:32">
      <c r="A70" s="167" t="s">
        <v>740</v>
      </c>
      <c r="B70" s="166"/>
      <c r="C70" s="166"/>
      <c r="D70" s="166"/>
      <c r="E70" s="166"/>
      <c r="J70" s="2"/>
      <c r="M70" s="2"/>
      <c r="N70" s="166"/>
      <c r="O70" s="166"/>
      <c r="P70" s="166"/>
      <c r="Q70" s="166"/>
      <c r="R70" s="2"/>
      <c r="S70" s="2"/>
      <c r="T70" s="2"/>
      <c r="U70" s="11"/>
      <c r="V70" s="11"/>
      <c r="W70" s="147"/>
      <c r="X70" s="2"/>
      <c r="Y70" s="2"/>
      <c r="Z70" s="2"/>
      <c r="AE70" s="16"/>
      <c r="AF70" s="16"/>
    </row>
    <row r="71" spans="1:32">
      <c r="D71" s="164"/>
      <c r="E71" s="164"/>
      <c r="M71" s="2"/>
      <c r="N71" s="164"/>
      <c r="O71" s="164"/>
      <c r="P71" s="164"/>
      <c r="Q71" s="164"/>
      <c r="R71" s="2"/>
      <c r="S71" s="2"/>
      <c r="T71" s="2"/>
      <c r="U71" s="11"/>
      <c r="V71" s="11"/>
      <c r="W71" s="147"/>
      <c r="X71" s="2"/>
      <c r="Y71" s="2"/>
      <c r="Z71" s="2"/>
      <c r="AE71" s="16"/>
      <c r="AF71" s="16"/>
    </row>
    <row r="72" spans="1:32">
      <c r="A72" s="171" t="s">
        <v>739</v>
      </c>
      <c r="B72" s="170" t="s">
        <v>816</v>
      </c>
      <c r="C72" s="170" t="s">
        <v>817</v>
      </c>
      <c r="D72" s="169" t="s">
        <v>818</v>
      </c>
      <c r="E72" s="170" t="s">
        <v>819</v>
      </c>
      <c r="F72" s="169" t="s">
        <v>820</v>
      </c>
      <c r="G72" s="169" t="s">
        <v>821</v>
      </c>
      <c r="M72" s="171" t="s">
        <v>739</v>
      </c>
      <c r="N72" s="170" t="s">
        <v>816</v>
      </c>
      <c r="O72" s="170" t="s">
        <v>817</v>
      </c>
      <c r="P72" s="169" t="s">
        <v>818</v>
      </c>
      <c r="Q72" s="170" t="s">
        <v>819</v>
      </c>
      <c r="R72" s="169" t="s">
        <v>820</v>
      </c>
      <c r="S72" s="169" t="s">
        <v>821</v>
      </c>
      <c r="T72" s="2"/>
      <c r="U72" s="11"/>
      <c r="V72" s="11"/>
      <c r="W72" s="147"/>
      <c r="X72" s="2"/>
      <c r="Y72" s="2"/>
      <c r="Z72" s="2"/>
      <c r="AE72" s="16"/>
      <c r="AF72" s="16"/>
    </row>
    <row r="73" spans="1:32">
      <c r="A73" s="168">
        <v>2018</v>
      </c>
      <c r="B73" s="15">
        <f>B65</f>
        <v>0</v>
      </c>
      <c r="C73" s="15">
        <f>$B73</f>
        <v>0</v>
      </c>
      <c r="D73" s="15">
        <f>$C73*D$32*D$33</f>
        <v>0</v>
      </c>
      <c r="E73" s="15">
        <f t="shared" ref="E73:G76" si="27">$C73*E$32*E$33</f>
        <v>0</v>
      </c>
      <c r="F73" s="15">
        <f t="shared" si="27"/>
        <v>0</v>
      </c>
      <c r="G73" s="15">
        <f t="shared" si="27"/>
        <v>0</v>
      </c>
      <c r="L73" s="165"/>
      <c r="M73" s="168">
        <v>2018</v>
      </c>
      <c r="N73" s="15">
        <f>N65</f>
        <v>0</v>
      </c>
      <c r="O73" s="15">
        <f>$N73</f>
        <v>0</v>
      </c>
      <c r="P73" s="15">
        <f>$O73*D$32*D$33</f>
        <v>0</v>
      </c>
      <c r="Q73" s="15">
        <f t="shared" ref="Q73:S76" si="28">$O73*E$32*E$33</f>
        <v>0</v>
      </c>
      <c r="R73" s="15">
        <f t="shared" si="28"/>
        <v>0</v>
      </c>
      <c r="S73" s="15">
        <f t="shared" si="28"/>
        <v>0</v>
      </c>
      <c r="T73" s="2"/>
      <c r="U73" s="11"/>
      <c r="V73" s="11"/>
      <c r="W73" s="147"/>
      <c r="X73" s="2"/>
      <c r="Y73" s="2"/>
      <c r="Z73" s="2"/>
      <c r="AE73" s="16"/>
      <c r="AF73" s="16"/>
    </row>
    <row r="74" spans="1:32">
      <c r="A74" s="168">
        <v>2019</v>
      </c>
      <c r="B74" s="146">
        <f>C65</f>
        <v>0</v>
      </c>
      <c r="C74" s="15">
        <f>B74-D73</f>
        <v>0</v>
      </c>
      <c r="D74" s="15">
        <f t="shared" ref="D74:D76" si="29">$C74*D$32*D$33</f>
        <v>0</v>
      </c>
      <c r="E74" s="15">
        <f t="shared" si="27"/>
        <v>0</v>
      </c>
      <c r="F74" s="15">
        <f t="shared" si="27"/>
        <v>0</v>
      </c>
      <c r="G74" s="15">
        <f t="shared" si="27"/>
        <v>0</v>
      </c>
      <c r="L74" s="165"/>
      <c r="M74" s="168">
        <v>2019</v>
      </c>
      <c r="N74" s="146">
        <f>O65</f>
        <v>0</v>
      </c>
      <c r="O74" s="15">
        <f>N74-P73</f>
        <v>0</v>
      </c>
      <c r="P74" s="15">
        <f t="shared" ref="P74:P76" si="30">$O74*D$32*D$33</f>
        <v>0</v>
      </c>
      <c r="Q74" s="15">
        <f t="shared" si="28"/>
        <v>0</v>
      </c>
      <c r="R74" s="15">
        <f t="shared" si="28"/>
        <v>0</v>
      </c>
      <c r="S74" s="15">
        <f t="shared" si="28"/>
        <v>0</v>
      </c>
      <c r="T74" s="2"/>
      <c r="U74" s="11"/>
      <c r="V74" s="11"/>
      <c r="W74" s="147"/>
      <c r="X74" s="2"/>
      <c r="Y74" s="2"/>
      <c r="Z74" s="2"/>
      <c r="AE74" s="16"/>
      <c r="AF74" s="16"/>
    </row>
    <row r="75" spans="1:32">
      <c r="A75" s="168">
        <v>2020</v>
      </c>
      <c r="B75" s="146">
        <f>D65</f>
        <v>0</v>
      </c>
      <c r="C75" s="15">
        <f>B75-D74-E73</f>
        <v>0</v>
      </c>
      <c r="D75" s="15">
        <f t="shared" si="29"/>
        <v>0</v>
      </c>
      <c r="E75" s="15">
        <f t="shared" si="27"/>
        <v>0</v>
      </c>
      <c r="F75" s="15">
        <f t="shared" si="27"/>
        <v>0</v>
      </c>
      <c r="G75" s="15">
        <f t="shared" si="27"/>
        <v>0</v>
      </c>
      <c r="L75" s="165"/>
      <c r="M75" s="168">
        <v>2020</v>
      </c>
      <c r="N75" s="146">
        <f>P65</f>
        <v>0</v>
      </c>
      <c r="O75" s="15">
        <f>N75-P74-Q73</f>
        <v>0</v>
      </c>
      <c r="P75" s="15">
        <f t="shared" si="30"/>
        <v>0</v>
      </c>
      <c r="Q75" s="15">
        <f t="shared" si="28"/>
        <v>0</v>
      </c>
      <c r="R75" s="15">
        <f t="shared" si="28"/>
        <v>0</v>
      </c>
      <c r="S75" s="15">
        <f t="shared" si="28"/>
        <v>0</v>
      </c>
      <c r="T75" s="2"/>
      <c r="U75" s="11"/>
      <c r="V75" s="11"/>
      <c r="W75" s="147"/>
      <c r="X75" s="2"/>
      <c r="Y75" s="2"/>
      <c r="Z75" s="2"/>
      <c r="AE75" s="16"/>
      <c r="AF75" s="16"/>
    </row>
    <row r="76" spans="1:32">
      <c r="A76" s="168">
        <v>2021</v>
      </c>
      <c r="B76" s="146">
        <f>E65</f>
        <v>0</v>
      </c>
      <c r="C76" s="15">
        <f>B76-D75-E74-F73</f>
        <v>0</v>
      </c>
      <c r="D76" s="15">
        <f t="shared" si="29"/>
        <v>0</v>
      </c>
      <c r="E76" s="15">
        <f t="shared" si="27"/>
        <v>0</v>
      </c>
      <c r="F76" s="15">
        <f t="shared" si="27"/>
        <v>0</v>
      </c>
      <c r="G76" s="15">
        <f t="shared" si="27"/>
        <v>0</v>
      </c>
      <c r="L76" s="165"/>
      <c r="M76" s="168">
        <v>2021</v>
      </c>
      <c r="N76" s="146">
        <f>Q65</f>
        <v>0</v>
      </c>
      <c r="O76" s="15">
        <f>N76-P75-Q74-R73</f>
        <v>0</v>
      </c>
      <c r="P76" s="15">
        <f t="shared" si="30"/>
        <v>0</v>
      </c>
      <c r="Q76" s="15">
        <f t="shared" si="28"/>
        <v>0</v>
      </c>
      <c r="R76" s="15">
        <f t="shared" si="28"/>
        <v>0</v>
      </c>
      <c r="S76" s="15">
        <f t="shared" si="28"/>
        <v>0</v>
      </c>
      <c r="T76" s="2"/>
      <c r="U76" s="11"/>
      <c r="V76" s="11"/>
      <c r="W76" s="147"/>
      <c r="X76" s="2"/>
      <c r="Y76" s="2"/>
      <c r="Z76" s="2"/>
      <c r="AE76" s="16"/>
      <c r="AF76" s="16"/>
    </row>
    <row r="77" spans="1:32">
      <c r="A77" s="167" t="s">
        <v>738</v>
      </c>
      <c r="B77" s="166">
        <f>SUM(B73:B76)</f>
        <v>0</v>
      </c>
      <c r="C77" s="166">
        <f t="shared" ref="C77:G77" si="31">SUM(C73:C76)</f>
        <v>0</v>
      </c>
      <c r="D77" s="166">
        <f t="shared" si="31"/>
        <v>0</v>
      </c>
      <c r="E77" s="166">
        <f t="shared" si="31"/>
        <v>0</v>
      </c>
      <c r="F77" s="166">
        <f t="shared" si="31"/>
        <v>0</v>
      </c>
      <c r="G77" s="166">
        <f t="shared" si="31"/>
        <v>0</v>
      </c>
      <c r="M77" s="167" t="s">
        <v>738</v>
      </c>
      <c r="N77" s="166">
        <f>SUM(N73:N76)</f>
        <v>0</v>
      </c>
      <c r="O77" s="166">
        <f t="shared" ref="O77:S77" si="32">SUM(O73:O76)</f>
        <v>0</v>
      </c>
      <c r="P77" s="166">
        <f t="shared" si="32"/>
        <v>0</v>
      </c>
      <c r="Q77" s="166">
        <f t="shared" si="32"/>
        <v>0</v>
      </c>
      <c r="R77" s="166">
        <f t="shared" si="32"/>
        <v>0</v>
      </c>
      <c r="S77" s="166">
        <f t="shared" si="32"/>
        <v>0</v>
      </c>
      <c r="T77" s="2"/>
      <c r="U77" s="11"/>
      <c r="V77" s="11"/>
      <c r="W77" s="147"/>
      <c r="X77" s="2"/>
      <c r="Y77" s="2"/>
      <c r="Z77" s="2"/>
      <c r="AE77" s="16"/>
      <c r="AF77" s="16"/>
    </row>
    <row r="78" spans="1:32">
      <c r="M78" s="2"/>
      <c r="N78" s="6"/>
      <c r="O78" s="2"/>
      <c r="P78" s="2"/>
      <c r="Q78" s="2"/>
      <c r="R78" s="2"/>
      <c r="S78" s="2"/>
      <c r="T78" s="2"/>
      <c r="U78" s="11"/>
      <c r="V78" s="11"/>
      <c r="W78" s="147"/>
      <c r="X78" s="2"/>
      <c r="Y78" s="2"/>
      <c r="Z78" s="2"/>
      <c r="AE78" s="16"/>
      <c r="AF78" s="16"/>
    </row>
    <row r="79" spans="1:32">
      <c r="A79" s="2"/>
      <c r="B79" s="2"/>
      <c r="C79" s="2"/>
      <c r="D79" s="2"/>
      <c r="E79" s="2"/>
      <c r="F79" s="2"/>
      <c r="G79" s="2"/>
      <c r="H79" s="2"/>
      <c r="I79" s="2"/>
      <c r="J79" s="2"/>
      <c r="M79" s="2"/>
      <c r="N79" s="6"/>
      <c r="O79" s="2"/>
      <c r="P79" s="2"/>
      <c r="Q79" s="2"/>
      <c r="R79" s="2"/>
      <c r="S79" s="2"/>
      <c r="T79" s="2"/>
      <c r="U79" s="11"/>
      <c r="V79" s="11"/>
      <c r="W79" s="147"/>
      <c r="X79" s="2"/>
      <c r="Y79" s="2"/>
      <c r="Z79" s="2"/>
      <c r="AE79" s="16"/>
      <c r="AF79" s="16"/>
    </row>
    <row r="80" spans="1:32" s="4" customFormat="1">
      <c r="A80" s="2"/>
      <c r="B80" s="334">
        <f>B53+B73</f>
        <v>824000.00000000012</v>
      </c>
      <c r="C80" s="334">
        <f t="shared" ref="C80:G80" si="33">C53+C73</f>
        <v>824000.00000000012</v>
      </c>
      <c r="D80" s="334">
        <f t="shared" si="33"/>
        <v>362304.8709703866</v>
      </c>
      <c r="E80" s="334">
        <f t="shared" si="33"/>
        <v>157335.27451620335</v>
      </c>
      <c r="F80" s="334">
        <f t="shared" si="33"/>
        <v>69178.806228984715</v>
      </c>
      <c r="G80" s="334">
        <f t="shared" si="33"/>
        <v>30041.733746467315</v>
      </c>
      <c r="H80" s="2"/>
      <c r="I80" s="2"/>
      <c r="J80" s="2"/>
      <c r="K80" s="16"/>
      <c r="L80" s="16"/>
      <c r="M80" s="334"/>
      <c r="N80" s="334">
        <f t="shared" ref="N80:S83" si="34">N53+N73</f>
        <v>575000</v>
      </c>
      <c r="O80" s="334">
        <f t="shared" si="34"/>
        <v>575000</v>
      </c>
      <c r="P80" s="334">
        <f t="shared" si="34"/>
        <v>252821.96699996633</v>
      </c>
      <c r="Q80" s="334">
        <f t="shared" si="34"/>
        <v>109790.99860050596</v>
      </c>
      <c r="R80" s="334">
        <f t="shared" si="34"/>
        <v>48274.045608818211</v>
      </c>
      <c r="S80" s="334">
        <f t="shared" si="34"/>
        <v>20963.588475993573</v>
      </c>
      <c r="T80" s="2"/>
      <c r="U80" s="11"/>
      <c r="V80" s="11"/>
      <c r="W80" s="147"/>
      <c r="X80" s="2"/>
      <c r="Y80" s="2"/>
      <c r="Z80" s="2"/>
    </row>
    <row r="81" spans="1:32" s="4" customFormat="1">
      <c r="A81" s="2"/>
      <c r="B81" s="334">
        <f t="shared" ref="B81:G83" si="35">B54+B74</f>
        <v>823000</v>
      </c>
      <c r="C81" s="334">
        <f t="shared" si="35"/>
        <v>460695.1290296134</v>
      </c>
      <c r="D81" s="334">
        <f t="shared" si="35"/>
        <v>202563.2151453394</v>
      </c>
      <c r="E81" s="334">
        <f t="shared" si="35"/>
        <v>87965.527420087325</v>
      </c>
      <c r="F81" s="334">
        <f t="shared" si="35"/>
        <v>38677.595948758164</v>
      </c>
      <c r="G81" s="334">
        <f t="shared" si="35"/>
        <v>16796.214083254912</v>
      </c>
      <c r="H81" s="2"/>
      <c r="I81" s="2"/>
      <c r="J81" s="2"/>
      <c r="K81" s="16"/>
      <c r="L81" s="165"/>
      <c r="M81" s="334"/>
      <c r="N81" s="334">
        <f t="shared" si="34"/>
        <v>573000</v>
      </c>
      <c r="O81" s="334">
        <f t="shared" si="34"/>
        <v>320178.0330000337</v>
      </c>
      <c r="P81" s="334">
        <f t="shared" si="34"/>
        <v>140779.20016217159</v>
      </c>
      <c r="Q81" s="334">
        <f t="shared" si="34"/>
        <v>61135.071257425137</v>
      </c>
      <c r="R81" s="334">
        <f t="shared" si="34"/>
        <v>26880.502553017963</v>
      </c>
      <c r="S81" s="334">
        <f t="shared" si="34"/>
        <v>11673.18351802747</v>
      </c>
      <c r="T81" s="164"/>
      <c r="U81" s="164"/>
      <c r="V81" s="16"/>
      <c r="W81" s="16"/>
      <c r="X81" s="16"/>
      <c r="Y81" s="163"/>
      <c r="Z81" s="2"/>
    </row>
    <row r="82" spans="1:32" s="4" customFormat="1">
      <c r="A82" s="334"/>
      <c r="B82" s="334">
        <f t="shared" si="35"/>
        <v>814000</v>
      </c>
      <c r="C82" s="334">
        <f t="shared" si="35"/>
        <v>454101.5103384573</v>
      </c>
      <c r="D82" s="334">
        <f t="shared" si="35"/>
        <v>199664.064454651</v>
      </c>
      <c r="E82" s="334">
        <f t="shared" si="35"/>
        <v>86706.536149664724</v>
      </c>
      <c r="F82" s="334">
        <f t="shared" si="35"/>
        <v>38124.029601933777</v>
      </c>
      <c r="G82" s="334">
        <f t="shared" si="35"/>
        <v>16555.821198369667</v>
      </c>
      <c r="H82" s="11"/>
      <c r="I82" s="11"/>
      <c r="J82" s="2"/>
      <c r="L82" s="165"/>
      <c r="M82" s="334"/>
      <c r="N82" s="334">
        <f t="shared" si="34"/>
        <v>566000</v>
      </c>
      <c r="O82" s="334">
        <f t="shared" si="34"/>
        <v>315429.80123732239</v>
      </c>
      <c r="P82" s="334">
        <f t="shared" si="34"/>
        <v>138691.44834648393</v>
      </c>
      <c r="Q82" s="334">
        <f t="shared" si="34"/>
        <v>60228.439767312586</v>
      </c>
      <c r="R82" s="334">
        <f t="shared" si="34"/>
        <v>26481.865410975592</v>
      </c>
      <c r="S82" s="334">
        <f t="shared" si="34"/>
        <v>11500.070515136826</v>
      </c>
      <c r="T82" s="164"/>
      <c r="U82" s="164"/>
      <c r="V82" s="16"/>
      <c r="W82" s="16"/>
      <c r="X82" s="16"/>
      <c r="Y82" s="163"/>
      <c r="Z82" s="2"/>
    </row>
    <row r="83" spans="1:32">
      <c r="A83" s="334"/>
      <c r="B83" s="334">
        <f t="shared" si="35"/>
        <v>805000</v>
      </c>
      <c r="C83" s="334">
        <f t="shared" si="35"/>
        <v>448191.60189627699</v>
      </c>
      <c r="D83" s="334">
        <f t="shared" si="35"/>
        <v>197065.53458136105</v>
      </c>
      <c r="E83" s="334">
        <f t="shared" si="35"/>
        <v>85578.093107048131</v>
      </c>
      <c r="F83" s="334">
        <f t="shared" si="35"/>
        <v>37627.864054661164</v>
      </c>
      <c r="G83" s="334">
        <f t="shared" si="35"/>
        <v>16340.355305304158</v>
      </c>
      <c r="H83" s="11"/>
      <c r="I83" s="11"/>
      <c r="L83" s="165"/>
      <c r="M83" s="334"/>
      <c r="N83" s="334">
        <f t="shared" si="34"/>
        <v>558000</v>
      </c>
      <c r="O83" s="334">
        <f t="shared" si="34"/>
        <v>309899.43478727271</v>
      </c>
      <c r="P83" s="334">
        <f t="shared" si="34"/>
        <v>136259.79943494973</v>
      </c>
      <c r="Q83" s="334">
        <f t="shared" si="34"/>
        <v>59172.466801786177</v>
      </c>
      <c r="R83" s="334">
        <f t="shared" si="34"/>
        <v>26017.564259248327</v>
      </c>
      <c r="S83" s="334">
        <f t="shared" si="34"/>
        <v>11298.442121431986</v>
      </c>
      <c r="T83" s="164"/>
      <c r="U83" s="164"/>
    </row>
    <row r="84" spans="1:32">
      <c r="A84" s="334"/>
      <c r="B84" s="334"/>
      <c r="C84" s="11"/>
      <c r="D84" s="11"/>
      <c r="E84" s="11"/>
      <c r="F84" s="11"/>
      <c r="G84" s="11"/>
      <c r="H84" s="11"/>
      <c r="I84" s="11"/>
      <c r="L84" s="165"/>
      <c r="N84" s="164"/>
      <c r="O84" s="164"/>
      <c r="P84" s="164"/>
      <c r="Q84" s="164"/>
      <c r="R84" s="164"/>
      <c r="S84" s="164"/>
      <c r="T84" s="164"/>
      <c r="U84" s="164"/>
    </row>
    <row r="85" spans="1:32">
      <c r="A85" s="334"/>
      <c r="B85" s="11"/>
      <c r="C85" s="11"/>
      <c r="D85" s="11"/>
      <c r="E85" s="11"/>
      <c r="F85" s="11"/>
      <c r="G85" s="11"/>
      <c r="H85" s="11"/>
      <c r="I85" s="11"/>
      <c r="L85" s="165"/>
    </row>
    <row r="86" spans="1:32">
      <c r="B86" s="11"/>
      <c r="C86" s="11"/>
      <c r="D86" s="11"/>
      <c r="E86" s="11"/>
      <c r="F86" s="11"/>
      <c r="G86" s="11"/>
      <c r="H86" s="11"/>
      <c r="I86" s="11"/>
      <c r="M86" s="16"/>
      <c r="N86" s="16"/>
      <c r="V86" s="16"/>
      <c r="W86" s="16"/>
      <c r="AE86" s="16"/>
      <c r="AF86" s="16"/>
    </row>
  </sheetData>
  <mergeCells count="6">
    <mergeCell ref="C30:G30"/>
    <mergeCell ref="B3:I3"/>
    <mergeCell ref="K3:R3"/>
    <mergeCell ref="T3:AA3"/>
    <mergeCell ref="AC3:AJ3"/>
    <mergeCell ref="N16:P1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N15"/>
  <sheetViews>
    <sheetView view="pageBreakPreview" zoomScale="60" zoomScaleNormal="70" workbookViewId="0"/>
  </sheetViews>
  <sheetFormatPr defaultRowHeight="14.5"/>
  <sheetData>
    <row r="3" spans="1:14" s="78" customFormat="1" ht="13">
      <c r="A3" s="71" t="s">
        <v>581</v>
      </c>
      <c r="B3" s="71"/>
    </row>
    <row r="4" spans="1:14" s="4" customFormat="1" ht="13"/>
    <row r="5" spans="1:14" s="2" customFormat="1" ht="13">
      <c r="A5" s="18" t="s">
        <v>580</v>
      </c>
      <c r="B5" s="18">
        <v>9.8900000000000002E-2</v>
      </c>
      <c r="C5" s="18" t="s">
        <v>565</v>
      </c>
      <c r="D5" s="18">
        <v>1</v>
      </c>
      <c r="E5" s="18">
        <v>98</v>
      </c>
      <c r="F5" s="18">
        <v>5</v>
      </c>
      <c r="G5" s="18"/>
      <c r="H5" s="18">
        <v>0.8</v>
      </c>
      <c r="I5" s="18">
        <v>76</v>
      </c>
      <c r="K5" s="53">
        <f>B5+D5*(0.00405*F5+0.000519*E5-0.11)+F5*(0.0000689*E5-0.0118)+0.0022*E5</f>
        <v>0.25037300000000001</v>
      </c>
      <c r="L5" s="357">
        <f t="shared" ref="L5:L12" si="0">K5*I5*H5</f>
        <v>15.222678400000001</v>
      </c>
      <c r="N5" s="2" t="s">
        <v>579</v>
      </c>
    </row>
    <row r="6" spans="1:14" s="2" customFormat="1" ht="13">
      <c r="A6" s="18" t="s">
        <v>578</v>
      </c>
      <c r="B6" s="18">
        <v>0.85399999999999998</v>
      </c>
      <c r="C6" s="18" t="s">
        <v>565</v>
      </c>
      <c r="D6" s="18">
        <v>1</v>
      </c>
      <c r="E6" s="18">
        <v>108</v>
      </c>
      <c r="F6" s="18">
        <v>5</v>
      </c>
      <c r="G6" s="18"/>
      <c r="H6" s="18">
        <v>0.8</v>
      </c>
      <c r="I6" s="18">
        <v>76</v>
      </c>
      <c r="K6" s="53">
        <f>B6+D6*(0.00231*F6-0.0349)+F6*(0.000309*E6-0.0494)+0.00266*E6</f>
        <v>1.03779</v>
      </c>
      <c r="L6" s="357">
        <f t="shared" si="0"/>
        <v>63.097632000000004</v>
      </c>
      <c r="N6" s="2" t="s">
        <v>577</v>
      </c>
    </row>
    <row r="7" spans="1:14" s="2" customFormat="1" ht="13">
      <c r="A7" s="18" t="s">
        <v>576</v>
      </c>
      <c r="B7" s="18">
        <v>3.0219999999999998</v>
      </c>
      <c r="C7" s="18" t="s">
        <v>565</v>
      </c>
      <c r="D7" s="18">
        <v>1</v>
      </c>
      <c r="E7" s="18">
        <v>55</v>
      </c>
      <c r="F7" s="18">
        <v>5</v>
      </c>
      <c r="G7" s="18"/>
      <c r="H7" s="18">
        <v>0.8</v>
      </c>
      <c r="I7" s="18">
        <v>76</v>
      </c>
      <c r="K7" s="53">
        <f>B7+D7*(0.00745*F7-0.142)+F7*(0.00077*E7-0.111)+0.00199*E7</f>
        <v>2.6834499999999997</v>
      </c>
      <c r="L7" s="357">
        <f t="shared" si="0"/>
        <v>163.15376000000001</v>
      </c>
      <c r="N7" s="2" t="s">
        <v>575</v>
      </c>
    </row>
    <row r="8" spans="1:14" s="2" customFormat="1" ht="13">
      <c r="A8" s="18" t="s">
        <v>574</v>
      </c>
      <c r="B8" s="18">
        <v>5.3680000000000003</v>
      </c>
      <c r="C8" s="18" t="s">
        <v>565</v>
      </c>
      <c r="D8" s="18">
        <v>1</v>
      </c>
      <c r="E8" s="18">
        <v>133</v>
      </c>
      <c r="F8" s="18">
        <v>5</v>
      </c>
      <c r="G8" s="18"/>
      <c r="H8" s="18">
        <v>0.8</v>
      </c>
      <c r="I8" s="18">
        <v>76</v>
      </c>
      <c r="K8" s="53">
        <f>B8+D8*(0.00143*F8-0.0309)+F8*(0.0008*E8-0.134)+0.00219*E8</f>
        <v>5.4975200000000006</v>
      </c>
      <c r="L8" s="357">
        <f t="shared" si="0"/>
        <v>334.24921600000005</v>
      </c>
      <c r="N8" s="2" t="s">
        <v>573</v>
      </c>
    </row>
    <row r="9" spans="1:14" s="2" customFormat="1" ht="13">
      <c r="A9" s="18" t="s">
        <v>572</v>
      </c>
      <c r="B9" s="18">
        <v>0.63600000000000001</v>
      </c>
      <c r="C9" s="18" t="s">
        <v>565</v>
      </c>
      <c r="D9" s="18">
        <v>1</v>
      </c>
      <c r="E9" s="18">
        <v>108</v>
      </c>
      <c r="F9" s="18">
        <v>5</v>
      </c>
      <c r="G9" s="18"/>
      <c r="H9" s="18">
        <v>0.8</v>
      </c>
      <c r="I9" s="18">
        <v>76</v>
      </c>
      <c r="K9" s="53">
        <f>B9+D9*(0.0125*F9+0.0036*E9-0.71)+F9*(0.000329*E9-0.0615)+0.00738*E9</f>
        <v>1.0445000000000002</v>
      </c>
      <c r="L9" s="357">
        <f t="shared" si="0"/>
        <v>63.505600000000015</v>
      </c>
      <c r="N9" s="2" t="s">
        <v>571</v>
      </c>
    </row>
    <row r="10" spans="1:14" s="2" customFormat="1" ht="13">
      <c r="A10" s="18" t="s">
        <v>570</v>
      </c>
      <c r="B10" s="18">
        <v>0.70399999999999996</v>
      </c>
      <c r="C10" s="18" t="s">
        <v>565</v>
      </c>
      <c r="D10" s="18">
        <v>1</v>
      </c>
      <c r="E10" s="18">
        <v>117</v>
      </c>
      <c r="F10" s="18">
        <v>5</v>
      </c>
      <c r="G10" s="18"/>
      <c r="H10" s="18">
        <v>0.8</v>
      </c>
      <c r="I10" s="18">
        <v>76</v>
      </c>
      <c r="K10" s="53">
        <f>B10+D10*(0.00144*F10+0.000262*E10-0.0553)+F10*(0.00018*E10-0.0299)+0.00166*E10</f>
        <v>0.83657399999999993</v>
      </c>
      <c r="L10" s="357">
        <f t="shared" si="0"/>
        <v>50.863699199999999</v>
      </c>
      <c r="N10" s="2" t="s">
        <v>569</v>
      </c>
    </row>
    <row r="11" spans="1:14" s="2" customFormat="1" ht="13">
      <c r="A11" s="18" t="s">
        <v>568</v>
      </c>
      <c r="B11" s="18">
        <v>2.6720000000000002</v>
      </c>
      <c r="C11" s="18" t="s">
        <v>565</v>
      </c>
      <c r="D11" s="18">
        <v>1</v>
      </c>
      <c r="E11" s="18">
        <v>93</v>
      </c>
      <c r="F11" s="18">
        <v>5</v>
      </c>
      <c r="G11" s="18"/>
      <c r="H11" s="18">
        <v>0.8</v>
      </c>
      <c r="I11" s="18">
        <v>76</v>
      </c>
      <c r="K11" s="53">
        <f>B11+F11*(0.000406*E11-0.0611)+0.00228*E11</f>
        <v>2.7673300000000003</v>
      </c>
      <c r="L11" s="357">
        <f t="shared" si="0"/>
        <v>168.25366400000004</v>
      </c>
      <c r="N11" s="2" t="s">
        <v>567</v>
      </c>
    </row>
    <row r="12" spans="1:14" s="2" customFormat="1" ht="13">
      <c r="A12" s="18" t="s">
        <v>566</v>
      </c>
      <c r="B12" s="18">
        <v>2.2919999999999998</v>
      </c>
      <c r="C12" s="18" t="s">
        <v>565</v>
      </c>
      <c r="D12" s="18">
        <v>1</v>
      </c>
      <c r="E12" s="18">
        <v>93</v>
      </c>
      <c r="F12" s="18">
        <v>5</v>
      </c>
      <c r="G12" s="18"/>
      <c r="H12" s="18">
        <v>0.8</v>
      </c>
      <c r="I12" s="18">
        <v>76</v>
      </c>
      <c r="K12" s="53">
        <f>B12+D12*(0.00383*F12-0.0656)+F12*(0.000575*E12-0.0912)+0.00249*E12</f>
        <v>2.2884949999999997</v>
      </c>
      <c r="L12" s="357">
        <f t="shared" si="0"/>
        <v>139.14049599999998</v>
      </c>
      <c r="N12" s="2" t="s">
        <v>564</v>
      </c>
    </row>
    <row r="13" spans="1:14" s="2" customFormat="1" ht="13">
      <c r="K13" s="76">
        <f>AVERAGE(K5:K12)</f>
        <v>2.050754</v>
      </c>
      <c r="L13" s="358">
        <f>AVERAGE(L5:L12)</f>
        <v>124.68584320000001</v>
      </c>
    </row>
    <row r="14" spans="1:14" s="4" customFormat="1" ht="13"/>
    <row r="15" spans="1:14" s="2" customFormat="1" ht="13"/>
  </sheetData>
  <pageMargins left="0.7" right="0.7" top="0.75" bottom="0.75" header="0.3" footer="0.3"/>
  <pageSetup scale="47"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9E4CC8FA0FD34A88BE0C380B684BAB" ma:contentTypeVersion="8" ma:contentTypeDescription="Create a new document." ma:contentTypeScope="" ma:versionID="96189253b603adcdee5e11e8305fdbc1">
  <xsd:schema xmlns:xsd="http://www.w3.org/2001/XMLSchema" xmlns:xs="http://www.w3.org/2001/XMLSchema" xmlns:p="http://schemas.microsoft.com/office/2006/metadata/properties" xmlns:ns3="765227eb-2557-40de-b741-36f4bef2b5cf" targetNamespace="http://schemas.microsoft.com/office/2006/metadata/properties" ma:root="true" ma:fieldsID="262b951d8398fa4a7bed29d482218062" ns3:_="">
    <xsd:import namespace="765227eb-2557-40de-b741-36f4bef2b5c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227eb-2557-40de-b741-36f4bef2b5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50E225D-5012-4D70-BDAD-8A5A760F25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227eb-2557-40de-b741-36f4bef2b5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DE8C989-46C6-42F0-AE87-5B36F368CEE1}">
  <ds:schemaRefs>
    <ds:schemaRef ds:uri="http://schemas.microsoft.com/sharepoint/v3/contenttype/forms"/>
  </ds:schemaRefs>
</ds:datastoreItem>
</file>

<file path=customXml/itemProps3.xml><?xml version="1.0" encoding="utf-8"?>
<ds:datastoreItem xmlns:ds="http://schemas.openxmlformats.org/officeDocument/2006/customXml" ds:itemID="{F9D72A76-590C-4887-BCD6-1810B5DDF92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v8 Revisions</vt:lpstr>
      <vt:lpstr>Program-Level Adjustments Tab</vt:lpstr>
      <vt:lpstr>Measure-Level Adjustments Tab</vt:lpstr>
      <vt:lpstr>WAML</vt:lpstr>
      <vt:lpstr>Unit Savings Calculations</vt:lpstr>
      <vt:lpstr>Pipe Insulation Detail</vt:lpstr>
      <vt:lpstr>Food Equipment Detail</vt:lpstr>
      <vt:lpstr>Behavior</vt:lpstr>
      <vt:lpstr>Thermostat Detail</vt:lpstr>
      <vt:lpstr>Laundromat Boiler Detail</vt:lpstr>
      <vt:lpstr>'Food Equipment Detail'!Print_Area</vt:lpstr>
      <vt:lpstr>'Laundromat Boiler Detail'!Print_Area</vt:lpstr>
      <vt:lpstr>'Measure-Level Adjustments Tab'!Print_Area</vt:lpstr>
      <vt:lpstr>'Pipe Insulation Detail'!Print_Area</vt:lpstr>
      <vt:lpstr>'Program-Level Adjustments Tab'!Print_Area</vt:lpstr>
      <vt:lpstr>'Unit Savings Calculations'!Print_Area</vt:lpstr>
      <vt:lpstr>WAML!Print_Area</vt:lpstr>
      <vt:lpstr>'Measure-Level Adjustments Tab'!Print_Titles</vt:lpstr>
      <vt:lpstr>'Program-Level Adjustments Tab'!Print_Titles</vt:lpstr>
      <vt:lpstr>'Unit Savings Calculations'!Print_Titles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CJ Consulting</cp:lastModifiedBy>
  <cp:lastPrinted>2017-04-10T19:33:53Z</cp:lastPrinted>
  <dcterms:created xsi:type="dcterms:W3CDTF">2015-06-27T00:40:35Z</dcterms:created>
  <dcterms:modified xsi:type="dcterms:W3CDTF">2020-01-30T20:42:05Z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0x010100E99E4CC8FA0FD34A88BE0C380B684BAB</vt:lpwstr>
  </property>
</Properties>
</file>